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glb" ContentType="model/gltf.binary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embeddings/oleObject1.bin" ContentType="application/vnd.openxmlformats-officedocument.oleObject"/>
  <Override PartName="/xl/tables/table3.xml" ContentType="application/vnd.openxmlformats-officedocument.spreadsheetml.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filterPrivacy="1"/>
  <xr:revisionPtr revIDLastSave="0" documentId="13_ncr:1_{74D59E7A-9CD7-49F9-8B6D-F23D7615C282}" xr6:coauthVersionLast="46" xr6:coauthVersionMax="46" xr10:uidLastSave="{00000000-0000-0000-0000-000000000000}"/>
  <bookViews>
    <workbookView xWindow="-15127" yWindow="5002" windowWidth="21599" windowHeight="10561" tabRatio="732" xr2:uid="{00000000-000D-0000-FFFF-FFFF00000000}"/>
  </bookViews>
  <sheets>
    <sheet name="寸法→圧入力" sheetId="37" r:id="rId1"/>
    <sheet name="グラフ" sheetId="38" r:id="rId2"/>
    <sheet name="外力→寸法" sheetId="30" r:id="rId3"/>
    <sheet name="外力→寸法(焼き嵌め）" sheetId="35" r:id="rId4"/>
    <sheet name="はめあい公差表" sheetId="32" r:id="rId5"/>
    <sheet name="Sheet4" sheetId="34" r:id="rId6"/>
    <sheet name="image" sheetId="28" r:id="rId7"/>
    <sheet name="Material Table" sheetId="26" r:id="rId8"/>
    <sheet name="圧入力推定" sheetId="22" r:id="rId9"/>
    <sheet name="圧入力推定 (2)" sheetId="24" r:id="rId10"/>
    <sheet name="円筒近似" sheetId="21" r:id="rId11"/>
    <sheet name="円周応力" sheetId="36" r:id="rId12"/>
  </sheets>
  <definedNames>
    <definedName name="A" localSheetId="1">#REF!</definedName>
    <definedName name="A" localSheetId="9">#REF!</definedName>
    <definedName name="A" localSheetId="0">#REF!</definedName>
    <definedName name="A">#REF!</definedName>
    <definedName name="B" localSheetId="9">#REF!</definedName>
    <definedName name="B">#REF!</definedName>
    <definedName name="d" localSheetId="9">#REF!</definedName>
    <definedName name="d">#REF!</definedName>
    <definedName name="d0" localSheetId="9">#REF!</definedName>
    <definedName name="d0">#REF!</definedName>
    <definedName name="Di" localSheetId="9">#REF!</definedName>
    <definedName name="Di">#REF!</definedName>
    <definedName name="Ei" localSheetId="9">#REF!</definedName>
    <definedName name="Ei">#REF!</definedName>
    <definedName name="Es" localSheetId="9">#REF!</definedName>
    <definedName name="Es">#REF!</definedName>
    <definedName name="K" localSheetId="9">#REF!</definedName>
    <definedName name="K">#REF!</definedName>
    <definedName name="K0" localSheetId="9">#REF!</definedName>
    <definedName name="K0">#REF!</definedName>
    <definedName name="Linear_Expansion_Coefficient_List" localSheetId="1">Material_Table[Linear Expansion Coefficient'[10^-6/K']]</definedName>
    <definedName name="Linear_Expansion_Coefficient_List" localSheetId="3">Material_Table[Linear Expansion Coefficient'[10^-6/K']]</definedName>
    <definedName name="Linear_Expansion_Coefficient_List" localSheetId="0">Material_Table[Linear Expansion Coefficient'[10^-6/K']]</definedName>
    <definedName name="Linear_Expansion_Coefficient_List">Material_Table[Linear Expansion Coefficient'[10^-6/K']]</definedName>
    <definedName name="Material_List" localSheetId="1">Material_Table[Material Name]</definedName>
    <definedName name="Material_List" localSheetId="3">Material_Table[Material Name]</definedName>
    <definedName name="Material_List" localSheetId="0">Material_Table[Material Name]</definedName>
    <definedName name="Material_List">Material_Table[Material Name]</definedName>
    <definedName name="Mi" localSheetId="9">#REF!</definedName>
    <definedName name="Mi">#REF!</definedName>
    <definedName name="Ms" localSheetId="9">#REF!</definedName>
    <definedName name="Ms">#REF!</definedName>
    <definedName name="Pm" localSheetId="9">#REF!</definedName>
    <definedName name="Pm">#REF!</definedName>
    <definedName name="Poissons_Ratio_List" localSheetId="1">Material_Table[Poisson''s Ratio'[-']]</definedName>
    <definedName name="Poissons_Ratio_List" localSheetId="3">Material_Table[Poisson''s Ratio'[-']]</definedName>
    <definedName name="Poissons_Ratio_List" localSheetId="0">Material_Table[Poisson''s Ratio'[-']]</definedName>
    <definedName name="Poissons_Ratio_List">Material_Table[Poisson''s Ratio'[-']]</definedName>
    <definedName name="Yield_Point_List" localSheetId="1">Material_Table[Yield Point'[MPa']]</definedName>
    <definedName name="Yield_Point_List" localSheetId="3">Material_Table[Yield Point'[MPa']]</definedName>
    <definedName name="Yield_Point_List" localSheetId="0">Material_Table[Yield Point'[MPa']]</definedName>
    <definedName name="Yield_Point_List">Material_Table[Yield Point'[MPa']]</definedName>
    <definedName name="Youngs_Modulus_List" localSheetId="1">Material_Table[Young''s Modulus'[MPa']]</definedName>
    <definedName name="Youngs_Modulus_List" localSheetId="3">Material_Table[Young''s Modulus'[MPa']]</definedName>
    <definedName name="Youngs_Modulus_List" localSheetId="0">Material_Table[Young''s Modulus'[MPa']]</definedName>
    <definedName name="Youngs_Modulus_List">Material_Table[Young''s Modulus'[MPa']]</definedName>
    <definedName name="Δd" localSheetId="9">#REF!</definedName>
    <definedName name="Δd">#REF!</definedName>
    <definedName name="μ" localSheetId="9">#REF!</definedName>
    <definedName name="μ">#REF!</definedName>
    <definedName name="ケース横寸法" localSheetId="1">INDEX(image!$G$2:$G$10,MATCH(image!$B$4,image!$F$2:$F$10,0))</definedName>
    <definedName name="ケース横寸法" localSheetId="0">INDEX(image!$G$2:$G$10,MATCH(image!$B$4,image!$F$2:$F$10,0))</definedName>
    <definedName name="ケース横寸法">INDEX(image!$G$2:$G$10,MATCH(image!$B$4,image!$F$2:$F$10,0))</definedName>
    <definedName name="ケース縦寸法" localSheetId="1">INDEX(image!$H$2:$H$10,MATCH(image!$B$5,image!$F$2:$F$10,0))</definedName>
    <definedName name="ケース縦寸法" localSheetId="0">INDEX(image!$H$2:$H$10,MATCH(image!$B$5,image!$F$2:$F$10,0))</definedName>
    <definedName name="ケース縦寸法">INDEX(image!$H$2:$H$10,MATCH(image!$B$5,image!$F$2:$F$10,0))</definedName>
    <definedName name="シャフト横寸法" localSheetId="1">INDEX(image!$I$2:$I$10,MATCH(image!$B$6,image!$F$2:$F$10,0))</definedName>
    <definedName name="シャフト横寸法" localSheetId="0">INDEX(image!$I$2:$I$10,MATCH(image!$B$6,image!$F$2:$F$10,0))</definedName>
    <definedName name="シャフト横寸法">INDEX(image!$I$2:$I$10,MATCH(image!$B$6,image!$F$2:$F$10,0))</definedName>
    <definedName name="シャフト縦寸法" localSheetId="1">INDEX(image!$J$2:$J$10,MATCH(image!$B$7,image!$F$2:$F$10,0))</definedName>
    <definedName name="シャフト縦寸法" localSheetId="0">INDEX(image!$J$2:$J$10,MATCH(image!$B$7,image!$F$2:$F$10,0))</definedName>
    <definedName name="シャフト縦寸法">INDEX(image!$J$2:$J$10,MATCH(image!$B$7,image!$F$2:$F$10,0))</definedName>
    <definedName name="ポアソン比" localSheetId="9">#REF!</definedName>
    <definedName name="ポアソン比">#REF!</definedName>
    <definedName name="ポアソン比ボス" localSheetId="9">#REF!</definedName>
    <definedName name="ポアソン比ボス">#REF!</definedName>
    <definedName name="ポアソン比軸" localSheetId="9">#REF!</definedName>
    <definedName name="ポアソン比軸">#REF!</definedName>
    <definedName name="ボスNom" localSheetId="9">#REF!</definedName>
    <definedName name="ボスNom">#REF!</definedName>
    <definedName name="外径" localSheetId="9">#REF!</definedName>
    <definedName name="外径">#REF!</definedName>
    <definedName name="合成画像" localSheetId="1">image!$C$3</definedName>
    <definedName name="合成画像" localSheetId="0">image!$C$3</definedName>
    <definedName name="合成画像">image!$C$3</definedName>
    <definedName name="軸Nom" localSheetId="9">#REF!</definedName>
    <definedName name="軸Nom">#REF!</definedName>
    <definedName name="縦弾性係数ボス" localSheetId="9">#REF!</definedName>
    <definedName name="縦弾性係数ボス">#REF!</definedName>
    <definedName name="縦弾性係数軸" localSheetId="9">#REF!</definedName>
    <definedName name="縦弾性係数軸">#REF!</definedName>
    <definedName name="締め代_片側" localSheetId="9">#REF!</definedName>
    <definedName name="締め代_片側">#REF!</definedName>
    <definedName name="内径" localSheetId="9">#REF!</definedName>
    <definedName name="内径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80" i="37" l="1"/>
  <c r="E80" i="37"/>
  <c r="E94" i="37"/>
  <c r="E56" i="37"/>
  <c r="E15" i="37"/>
  <c r="D15" i="37" l="1"/>
  <c r="D73" i="37"/>
  <c r="D42" i="37" a="1"/>
  <c r="D42" i="37" s="1"/>
  <c r="F47" i="37"/>
  <c r="D47" i="37"/>
  <c r="E47" i="37"/>
  <c r="F93" i="37"/>
  <c r="F94" i="37" s="1"/>
  <c r="D93" i="37"/>
  <c r="D94" i="37" s="1"/>
  <c r="D44" i="37"/>
  <c r="F44" i="37"/>
  <c r="F4" i="37"/>
  <c r="D4" i="37"/>
  <c r="N7" i="38"/>
  <c r="F46" i="37" l="1"/>
  <c r="D46" i="37"/>
  <c r="N8" i="38"/>
  <c r="A56" i="38"/>
  <c r="A55" i="38"/>
  <c r="A54" i="38"/>
  <c r="A53" i="38"/>
  <c r="A52" i="38"/>
  <c r="A51" i="38"/>
  <c r="A50" i="38"/>
  <c r="A49" i="38"/>
  <c r="A48" i="38"/>
  <c r="A47" i="38"/>
  <c r="A46" i="38"/>
  <c r="A45" i="38"/>
  <c r="A44" i="38"/>
  <c r="A43" i="38"/>
  <c r="A42" i="38"/>
  <c r="A41" i="38"/>
  <c r="A40" i="38"/>
  <c r="A39" i="38"/>
  <c r="A38" i="38"/>
  <c r="A37" i="38"/>
  <c r="A36" i="38"/>
  <c r="A35" i="38"/>
  <c r="A34" i="38"/>
  <c r="A33" i="38"/>
  <c r="A32" i="38"/>
  <c r="A31" i="38"/>
  <c r="A30" i="38"/>
  <c r="A29" i="38"/>
  <c r="A28" i="38"/>
  <c r="A27" i="38"/>
  <c r="A26" i="38"/>
  <c r="A25" i="38"/>
  <c r="A24" i="38"/>
  <c r="A23" i="38"/>
  <c r="A22" i="38"/>
  <c r="A21" i="38"/>
  <c r="A20" i="38"/>
  <c r="A19" i="38"/>
  <c r="A18" i="38"/>
  <c r="A17" i="38"/>
  <c r="A16" i="38"/>
  <c r="A15" i="38"/>
  <c r="A14" i="38"/>
  <c r="A13" i="38"/>
  <c r="A12" i="38"/>
  <c r="A11" i="38"/>
  <c r="A10" i="38"/>
  <c r="A9" i="38"/>
  <c r="A8" i="38"/>
  <c r="A7" i="38"/>
  <c r="C80" i="37"/>
  <c r="C66" i="37"/>
  <c r="D39" i="37" a="1"/>
  <c r="D39" i="37" s="1"/>
  <c r="D38" i="37" a="1"/>
  <c r="D38" i="37" s="1"/>
  <c r="D37" i="37" a="1"/>
  <c r="D37" i="37" s="1"/>
  <c r="D36" i="37" a="1"/>
  <c r="D36" i="37" s="1"/>
  <c r="D33" i="37"/>
  <c r="E32" i="37"/>
  <c r="D30" i="37" a="1"/>
  <c r="D30" i="37" s="1"/>
  <c r="D29" i="37" a="1"/>
  <c r="D29" i="37" s="1"/>
  <c r="D28" i="37" a="1"/>
  <c r="D28" i="37" s="1"/>
  <c r="D27" i="37" a="1"/>
  <c r="D27" i="37" s="1"/>
  <c r="F25" i="37"/>
  <c r="D25" i="37"/>
  <c r="D24" i="37"/>
  <c r="E23" i="37"/>
  <c r="D16" i="37"/>
  <c r="D17" i="37" s="1"/>
  <c r="F15" i="37"/>
  <c r="F16" i="37" s="1"/>
  <c r="F17" i="37" s="1"/>
  <c r="E16" i="37"/>
  <c r="E17" i="37" s="1"/>
  <c r="E12" i="37"/>
  <c r="F11" i="37"/>
  <c r="D11" i="37"/>
  <c r="E10" i="37"/>
  <c r="E11" i="37" s="1"/>
  <c r="B21" i="36"/>
  <c r="D5" i="36"/>
  <c r="B5" i="36"/>
  <c r="P23" i="21"/>
  <c r="O23" i="21"/>
  <c r="N23" i="21"/>
  <c r="M23" i="21"/>
  <c r="L23" i="21"/>
  <c r="K23" i="21"/>
  <c r="H23" i="21"/>
  <c r="P22" i="21"/>
  <c r="O22" i="21"/>
  <c r="N22" i="21"/>
  <c r="M22" i="21"/>
  <c r="L22" i="21"/>
  <c r="K22" i="21"/>
  <c r="H22" i="21"/>
  <c r="P21" i="21"/>
  <c r="O21" i="21"/>
  <c r="N21" i="21"/>
  <c r="M21" i="21"/>
  <c r="L21" i="21"/>
  <c r="K21" i="21"/>
  <c r="H21" i="21"/>
  <c r="P20" i="21"/>
  <c r="O20" i="21"/>
  <c r="N20" i="21"/>
  <c r="M20" i="21"/>
  <c r="L20" i="21"/>
  <c r="K20" i="21"/>
  <c r="H20" i="21"/>
  <c r="P19" i="21"/>
  <c r="O19" i="21"/>
  <c r="N19" i="21"/>
  <c r="M19" i="21"/>
  <c r="L19" i="21"/>
  <c r="K19" i="21"/>
  <c r="H19" i="21"/>
  <c r="P18" i="21"/>
  <c r="O18" i="21"/>
  <c r="N18" i="21"/>
  <c r="M18" i="21"/>
  <c r="L18" i="21"/>
  <c r="K18" i="21"/>
  <c r="H18" i="21"/>
  <c r="P17" i="21"/>
  <c r="O17" i="21"/>
  <c r="N17" i="21"/>
  <c r="M17" i="21"/>
  <c r="L17" i="21"/>
  <c r="K17" i="21"/>
  <c r="H17" i="21"/>
  <c r="P16" i="21"/>
  <c r="O16" i="21"/>
  <c r="N16" i="21"/>
  <c r="M16" i="21"/>
  <c r="L16" i="21"/>
  <c r="K16" i="21"/>
  <c r="H16" i="21"/>
  <c r="P15" i="21"/>
  <c r="O15" i="21"/>
  <c r="N15" i="21"/>
  <c r="M15" i="21"/>
  <c r="L15" i="21"/>
  <c r="K15" i="21"/>
  <c r="H15" i="21"/>
  <c r="P14" i="21"/>
  <c r="O14" i="21"/>
  <c r="N14" i="21"/>
  <c r="M14" i="21"/>
  <c r="L14" i="21"/>
  <c r="K14" i="21"/>
  <c r="H14" i="21"/>
  <c r="P13" i="21"/>
  <c r="O13" i="21"/>
  <c r="N13" i="21"/>
  <c r="M13" i="21"/>
  <c r="L13" i="21"/>
  <c r="K13" i="21"/>
  <c r="H13" i="21"/>
  <c r="P12" i="21"/>
  <c r="O12" i="21"/>
  <c r="N12" i="21"/>
  <c r="M12" i="21"/>
  <c r="L12" i="21"/>
  <c r="K12" i="21"/>
  <c r="H12" i="21"/>
  <c r="P11" i="21"/>
  <c r="O11" i="21"/>
  <c r="N11" i="21"/>
  <c r="M11" i="21"/>
  <c r="L11" i="21"/>
  <c r="K11" i="21"/>
  <c r="H11" i="21"/>
  <c r="P10" i="21"/>
  <c r="O10" i="21"/>
  <c r="N10" i="21"/>
  <c r="M10" i="21"/>
  <c r="L10" i="21"/>
  <c r="K10" i="21"/>
  <c r="H10" i="21"/>
  <c r="P9" i="21"/>
  <c r="O9" i="21"/>
  <c r="N9" i="21"/>
  <c r="M9" i="21"/>
  <c r="L9" i="21"/>
  <c r="K9" i="21"/>
  <c r="H9" i="21"/>
  <c r="P8" i="21"/>
  <c r="O8" i="21"/>
  <c r="N8" i="21"/>
  <c r="M8" i="21"/>
  <c r="L8" i="21"/>
  <c r="K8" i="21"/>
  <c r="H8" i="21"/>
  <c r="P7" i="21"/>
  <c r="O7" i="21"/>
  <c r="N7" i="21"/>
  <c r="M7" i="21"/>
  <c r="L7" i="21"/>
  <c r="K7" i="21"/>
  <c r="H7" i="21"/>
  <c r="P6" i="21"/>
  <c r="O6" i="21"/>
  <c r="N6" i="21"/>
  <c r="M6" i="21"/>
  <c r="L6" i="21"/>
  <c r="K6" i="21"/>
  <c r="H6" i="21"/>
  <c r="P5" i="21"/>
  <c r="O5" i="21"/>
  <c r="N5" i="21"/>
  <c r="M5" i="21"/>
  <c r="L5" i="21"/>
  <c r="K5" i="21"/>
  <c r="H5" i="21"/>
  <c r="P4" i="21"/>
  <c r="O4" i="21"/>
  <c r="N4" i="21"/>
  <c r="M4" i="21"/>
  <c r="L4" i="21"/>
  <c r="K4" i="21"/>
  <c r="H4" i="21"/>
  <c r="P3" i="21"/>
  <c r="O3" i="21"/>
  <c r="N3" i="21"/>
  <c r="M3" i="21"/>
  <c r="L3" i="21"/>
  <c r="K3" i="21"/>
  <c r="H3" i="21"/>
  <c r="W37" i="24"/>
  <c r="V37" i="24"/>
  <c r="U37" i="24"/>
  <c r="T37" i="24"/>
  <c r="S37" i="24"/>
  <c r="R37" i="24"/>
  <c r="Q37" i="24"/>
  <c r="O37" i="24"/>
  <c r="N37" i="24"/>
  <c r="M37" i="24"/>
  <c r="L37" i="24"/>
  <c r="K37" i="24"/>
  <c r="J37" i="24"/>
  <c r="I37" i="24"/>
  <c r="H37" i="24"/>
  <c r="G37" i="24"/>
  <c r="F37" i="24"/>
  <c r="E37" i="24"/>
  <c r="D37" i="24"/>
  <c r="C37" i="24"/>
  <c r="B37" i="24"/>
  <c r="W36" i="24"/>
  <c r="V36" i="24"/>
  <c r="U36" i="24"/>
  <c r="T36" i="24"/>
  <c r="S36" i="24"/>
  <c r="R36" i="24"/>
  <c r="Q36" i="24"/>
  <c r="O36" i="24"/>
  <c r="N36" i="24"/>
  <c r="M36" i="24"/>
  <c r="L36" i="24"/>
  <c r="K36" i="24"/>
  <c r="J36" i="24"/>
  <c r="I36" i="24"/>
  <c r="H36" i="24"/>
  <c r="G36" i="24"/>
  <c r="F36" i="24"/>
  <c r="E36" i="24"/>
  <c r="D36" i="24"/>
  <c r="C36" i="24"/>
  <c r="B36" i="24"/>
  <c r="W35" i="24"/>
  <c r="V35" i="24"/>
  <c r="U35" i="24"/>
  <c r="T35" i="24"/>
  <c r="S35" i="24"/>
  <c r="R35" i="24"/>
  <c r="Q35" i="24"/>
  <c r="O35" i="24"/>
  <c r="N35" i="24"/>
  <c r="M35" i="24"/>
  <c r="L35" i="24"/>
  <c r="K35" i="24"/>
  <c r="J35" i="24"/>
  <c r="I35" i="24"/>
  <c r="H35" i="24"/>
  <c r="G35" i="24"/>
  <c r="F35" i="24"/>
  <c r="E35" i="24"/>
  <c r="D35" i="24"/>
  <c r="C35" i="24"/>
  <c r="B35" i="24"/>
  <c r="W34" i="24"/>
  <c r="V34" i="24"/>
  <c r="U34" i="24"/>
  <c r="T34" i="24"/>
  <c r="S34" i="24"/>
  <c r="R34" i="24"/>
  <c r="Q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33" i="24"/>
  <c r="V33" i="24"/>
  <c r="U33" i="24"/>
  <c r="T33" i="24"/>
  <c r="S33" i="24"/>
  <c r="R33" i="24"/>
  <c r="Q33" i="24"/>
  <c r="O33" i="24"/>
  <c r="N33" i="24"/>
  <c r="M33" i="24"/>
  <c r="L33" i="24"/>
  <c r="K33" i="24"/>
  <c r="J33" i="24"/>
  <c r="I33" i="24"/>
  <c r="H33" i="24"/>
  <c r="G33" i="24"/>
  <c r="F33" i="24"/>
  <c r="E33" i="24"/>
  <c r="D33" i="24"/>
  <c r="C33" i="24"/>
  <c r="B33" i="24"/>
  <c r="W32" i="24"/>
  <c r="V32" i="24"/>
  <c r="U32" i="24"/>
  <c r="T32" i="24"/>
  <c r="S32" i="24"/>
  <c r="R32" i="24"/>
  <c r="Q32" i="24"/>
  <c r="O32" i="24"/>
  <c r="N32" i="24"/>
  <c r="M32" i="24"/>
  <c r="L32" i="24"/>
  <c r="K32" i="24"/>
  <c r="J32" i="24"/>
  <c r="I32" i="24"/>
  <c r="H32" i="24"/>
  <c r="G32" i="24"/>
  <c r="F32" i="24"/>
  <c r="E32" i="24"/>
  <c r="D32" i="24"/>
  <c r="C32" i="24"/>
  <c r="B32" i="24"/>
  <c r="W31" i="24"/>
  <c r="V31" i="24"/>
  <c r="U31" i="24"/>
  <c r="T31" i="24"/>
  <c r="S31" i="24"/>
  <c r="R31" i="24"/>
  <c r="Q31" i="24"/>
  <c r="O31" i="24"/>
  <c r="N31" i="24"/>
  <c r="M31" i="24"/>
  <c r="L31" i="24"/>
  <c r="K31" i="24"/>
  <c r="J31" i="24"/>
  <c r="I31" i="24"/>
  <c r="H31" i="24"/>
  <c r="G31" i="24"/>
  <c r="F31" i="24"/>
  <c r="E31" i="24"/>
  <c r="D31" i="24"/>
  <c r="C31" i="24"/>
  <c r="B31" i="24"/>
  <c r="W30" i="24"/>
  <c r="V30" i="24"/>
  <c r="U30" i="24"/>
  <c r="T30" i="24"/>
  <c r="S30" i="24"/>
  <c r="R30" i="24"/>
  <c r="Q30" i="24"/>
  <c r="O30" i="24"/>
  <c r="N30" i="24"/>
  <c r="M30" i="24"/>
  <c r="L30" i="24"/>
  <c r="K30" i="24"/>
  <c r="J30" i="24"/>
  <c r="I30" i="24"/>
  <c r="H30" i="24"/>
  <c r="G30" i="24"/>
  <c r="F30" i="24"/>
  <c r="E30" i="24"/>
  <c r="D30" i="24"/>
  <c r="C30" i="24"/>
  <c r="B30" i="24"/>
  <c r="W29" i="24"/>
  <c r="V29" i="24"/>
  <c r="U29" i="24"/>
  <c r="T29" i="24"/>
  <c r="S29" i="24"/>
  <c r="R29" i="24"/>
  <c r="Q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6" i="24"/>
  <c r="V26" i="24"/>
  <c r="U26" i="24"/>
  <c r="T26" i="24"/>
  <c r="S26" i="24"/>
  <c r="R26" i="24"/>
  <c r="Q26" i="24"/>
  <c r="O26" i="24"/>
  <c r="N26" i="24"/>
  <c r="M26" i="24"/>
  <c r="L26" i="24"/>
  <c r="K26" i="24"/>
  <c r="J26" i="24"/>
  <c r="I26" i="24"/>
  <c r="H26" i="24"/>
  <c r="G26" i="24"/>
  <c r="F26" i="24"/>
  <c r="E26" i="24"/>
  <c r="D26" i="24"/>
  <c r="C26" i="24"/>
  <c r="B26" i="24"/>
  <c r="W25" i="24"/>
  <c r="V25" i="24"/>
  <c r="U25" i="24"/>
  <c r="T25" i="24"/>
  <c r="S25" i="24"/>
  <c r="R25" i="24"/>
  <c r="Q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B25" i="24"/>
  <c r="W24" i="24"/>
  <c r="V24" i="24"/>
  <c r="U24" i="24"/>
  <c r="T24" i="24"/>
  <c r="S24" i="24"/>
  <c r="R24" i="24"/>
  <c r="Q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B24" i="24"/>
  <c r="W23" i="24"/>
  <c r="V23" i="24"/>
  <c r="U23" i="24"/>
  <c r="T23" i="24"/>
  <c r="S23" i="24"/>
  <c r="R23" i="24"/>
  <c r="Q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B23" i="24"/>
  <c r="W22" i="24"/>
  <c r="V22" i="24"/>
  <c r="U22" i="24"/>
  <c r="T22" i="24"/>
  <c r="S22" i="24"/>
  <c r="R22" i="24"/>
  <c r="Q22" i="24"/>
  <c r="O22" i="24"/>
  <c r="N22" i="24"/>
  <c r="M22" i="24"/>
  <c r="L22" i="24"/>
  <c r="K22" i="24"/>
  <c r="J22" i="24"/>
  <c r="I22" i="24"/>
  <c r="H22" i="24"/>
  <c r="G22" i="24"/>
  <c r="F22" i="24"/>
  <c r="E22" i="24"/>
  <c r="D22" i="24"/>
  <c r="C22" i="24"/>
  <c r="B22" i="24"/>
  <c r="W21" i="24"/>
  <c r="V21" i="24"/>
  <c r="U21" i="24"/>
  <c r="T21" i="24"/>
  <c r="S21" i="24"/>
  <c r="R21" i="24"/>
  <c r="Q21" i="24"/>
  <c r="O21" i="24"/>
  <c r="N21" i="24"/>
  <c r="M21" i="24"/>
  <c r="L21" i="24"/>
  <c r="K21" i="24"/>
  <c r="J21" i="24"/>
  <c r="I21" i="24"/>
  <c r="H21" i="24"/>
  <c r="G21" i="24"/>
  <c r="F21" i="24"/>
  <c r="E21" i="24"/>
  <c r="D21" i="24"/>
  <c r="C21" i="24"/>
  <c r="B21" i="24"/>
  <c r="W20" i="24"/>
  <c r="V20" i="24"/>
  <c r="U20" i="24"/>
  <c r="T20" i="24"/>
  <c r="S20" i="24"/>
  <c r="R20" i="24"/>
  <c r="Q20" i="24"/>
  <c r="O20" i="24"/>
  <c r="N20" i="24"/>
  <c r="M20" i="24"/>
  <c r="L20" i="24"/>
  <c r="K20" i="24"/>
  <c r="J20" i="24"/>
  <c r="I20" i="24"/>
  <c r="H20" i="24"/>
  <c r="G20" i="24"/>
  <c r="F20" i="24"/>
  <c r="E20" i="24"/>
  <c r="D20" i="24"/>
  <c r="C20" i="24"/>
  <c r="B20" i="24"/>
  <c r="W19" i="24"/>
  <c r="V19" i="24"/>
  <c r="U19" i="24"/>
  <c r="T19" i="24"/>
  <c r="S19" i="24"/>
  <c r="R19" i="24"/>
  <c r="Q19" i="24"/>
  <c r="O19" i="24"/>
  <c r="N19" i="24"/>
  <c r="M19" i="24"/>
  <c r="L19" i="24"/>
  <c r="K19" i="24"/>
  <c r="J19" i="24"/>
  <c r="I19" i="24"/>
  <c r="H19" i="24"/>
  <c r="G19" i="24"/>
  <c r="F19" i="24"/>
  <c r="E19" i="24"/>
  <c r="D19" i="24"/>
  <c r="C19" i="24"/>
  <c r="B19" i="24"/>
  <c r="W18" i="24"/>
  <c r="V18" i="24"/>
  <c r="U18" i="24"/>
  <c r="T18" i="24"/>
  <c r="S18" i="24"/>
  <c r="R18" i="24"/>
  <c r="Q18" i="24"/>
  <c r="O18" i="24"/>
  <c r="N18" i="24"/>
  <c r="M18" i="24"/>
  <c r="L18" i="24"/>
  <c r="K18" i="24"/>
  <c r="J18" i="24"/>
  <c r="I18" i="24"/>
  <c r="H18" i="24"/>
  <c r="G18" i="24"/>
  <c r="F18" i="24"/>
  <c r="E18" i="24"/>
  <c r="D18" i="24"/>
  <c r="C18" i="24"/>
  <c r="B18" i="24"/>
  <c r="W17" i="24"/>
  <c r="V17" i="24"/>
  <c r="U17" i="24"/>
  <c r="T17" i="24"/>
  <c r="S17" i="24"/>
  <c r="R17" i="24"/>
  <c r="Q17" i="24"/>
  <c r="O17" i="24"/>
  <c r="N17" i="24"/>
  <c r="M17" i="24"/>
  <c r="L17" i="24"/>
  <c r="K17" i="24"/>
  <c r="J17" i="24"/>
  <c r="I17" i="24"/>
  <c r="H17" i="24"/>
  <c r="G17" i="24"/>
  <c r="F17" i="24"/>
  <c r="E17" i="24"/>
  <c r="D17" i="24"/>
  <c r="C17" i="24"/>
  <c r="B17" i="24"/>
  <c r="W16" i="24"/>
  <c r="V16" i="24"/>
  <c r="U16" i="24"/>
  <c r="T16" i="24"/>
  <c r="S16" i="24"/>
  <c r="R16" i="24"/>
  <c r="Q16" i="24"/>
  <c r="O16" i="24"/>
  <c r="N16" i="24"/>
  <c r="M16" i="24"/>
  <c r="L16" i="24"/>
  <c r="K16" i="24"/>
  <c r="J16" i="24"/>
  <c r="I16" i="24"/>
  <c r="H16" i="24"/>
  <c r="G16" i="24"/>
  <c r="F16" i="24"/>
  <c r="E16" i="24"/>
  <c r="D16" i="24"/>
  <c r="C16" i="24"/>
  <c r="B16" i="24"/>
  <c r="W14" i="24"/>
  <c r="V14" i="24"/>
  <c r="U14" i="24"/>
  <c r="T14" i="24"/>
  <c r="S14" i="24"/>
  <c r="R14" i="24"/>
  <c r="Q14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D14" i="24"/>
  <c r="C14" i="24"/>
  <c r="B14" i="24"/>
  <c r="W13" i="24"/>
  <c r="V13" i="24"/>
  <c r="U13" i="24"/>
  <c r="T13" i="24"/>
  <c r="S13" i="24"/>
  <c r="R13" i="24"/>
  <c r="Q13" i="24"/>
  <c r="P13" i="24"/>
  <c r="O13" i="24"/>
  <c r="N13" i="24"/>
  <c r="M13" i="24"/>
  <c r="L13" i="24"/>
  <c r="K13" i="24"/>
  <c r="J13" i="24"/>
  <c r="I13" i="24"/>
  <c r="H13" i="24"/>
  <c r="G13" i="24"/>
  <c r="F13" i="24"/>
  <c r="E13" i="24"/>
  <c r="D13" i="24"/>
  <c r="C13" i="24"/>
  <c r="B13" i="24"/>
  <c r="W12" i="24"/>
  <c r="V12" i="24"/>
  <c r="U12" i="24"/>
  <c r="T12" i="24"/>
  <c r="S12" i="24"/>
  <c r="R12" i="24"/>
  <c r="Q12" i="24"/>
  <c r="P12" i="24"/>
  <c r="O12" i="24"/>
  <c r="N12" i="24"/>
  <c r="M12" i="24"/>
  <c r="L12" i="24"/>
  <c r="K12" i="24"/>
  <c r="J12" i="24"/>
  <c r="I12" i="24"/>
  <c r="H12" i="24"/>
  <c r="G12" i="24"/>
  <c r="F12" i="24"/>
  <c r="E12" i="24"/>
  <c r="D12" i="24"/>
  <c r="C12" i="24"/>
  <c r="B12" i="24"/>
  <c r="W6" i="24"/>
  <c r="V6" i="24"/>
  <c r="U6" i="24"/>
  <c r="T6" i="24"/>
  <c r="S6" i="24"/>
  <c r="R6" i="24"/>
  <c r="Q6" i="24"/>
  <c r="W5" i="24"/>
  <c r="V5" i="24"/>
  <c r="U5" i="24"/>
  <c r="T5" i="24"/>
  <c r="S5" i="24"/>
  <c r="R5" i="24"/>
  <c r="Q5" i="24"/>
  <c r="W4" i="24"/>
  <c r="V4" i="24"/>
  <c r="U4" i="24"/>
  <c r="T4" i="24"/>
  <c r="S4" i="24"/>
  <c r="R4" i="24"/>
  <c r="Q4" i="24"/>
  <c r="V4" i="22"/>
  <c r="U4" i="22"/>
  <c r="T4" i="22"/>
  <c r="S4" i="22"/>
  <c r="R4" i="22"/>
  <c r="Q4" i="22"/>
  <c r="M41" i="32" a="1"/>
  <c r="M41" i="32" s="1"/>
  <c r="AK38" i="32"/>
  <c r="AJ38" i="32"/>
  <c r="AI38" i="32"/>
  <c r="AH38" i="32"/>
  <c r="AG38" i="32"/>
  <c r="AF38" i="32"/>
  <c r="AE38" i="32"/>
  <c r="AD38" i="32"/>
  <c r="AC38" i="32"/>
  <c r="AB38" i="32"/>
  <c r="AA38" i="32"/>
  <c r="Z38" i="32"/>
  <c r="Y38" i="32"/>
  <c r="X38" i="32"/>
  <c r="W38" i="32"/>
  <c r="V38" i="32"/>
  <c r="U38" i="32"/>
  <c r="T38" i="32"/>
  <c r="S38" i="32"/>
  <c r="R38" i="32"/>
  <c r="Q38" i="32"/>
  <c r="P38" i="32"/>
  <c r="O38" i="32"/>
  <c r="N38" i="32"/>
  <c r="M38" i="32"/>
  <c r="L38" i="32"/>
  <c r="K38" i="32"/>
  <c r="J38" i="32"/>
  <c r="I38" i="32"/>
  <c r="H38" i="32"/>
  <c r="G38" i="32"/>
  <c r="F38" i="32"/>
  <c r="E38" i="32"/>
  <c r="D38" i="32"/>
  <c r="AK37" i="32"/>
  <c r="AJ37" i="32"/>
  <c r="AI37" i="32"/>
  <c r="AH37" i="32"/>
  <c r="AG37" i="32"/>
  <c r="AF37" i="32"/>
  <c r="AE37" i="32"/>
  <c r="AD37" i="32"/>
  <c r="AC37" i="32"/>
  <c r="AB37" i="32"/>
  <c r="AA37" i="32"/>
  <c r="Z37" i="32"/>
  <c r="Y37" i="32"/>
  <c r="X37" i="32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AK36" i="32"/>
  <c r="AJ36" i="32"/>
  <c r="AI36" i="32"/>
  <c r="AH36" i="32"/>
  <c r="AG36" i="32"/>
  <c r="AF36" i="32"/>
  <c r="AE36" i="32"/>
  <c r="AD36" i="32"/>
  <c r="AC36" i="32"/>
  <c r="AB36" i="32"/>
  <c r="AA36" i="32"/>
  <c r="Z36" i="32"/>
  <c r="Y36" i="32"/>
  <c r="X36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AK35" i="32"/>
  <c r="AJ35" i="32"/>
  <c r="AI35" i="32"/>
  <c r="AH35" i="32"/>
  <c r="AG35" i="32"/>
  <c r="AF35" i="32"/>
  <c r="AE35" i="32"/>
  <c r="AD35" i="32"/>
  <c r="AC35" i="32"/>
  <c r="AB35" i="32"/>
  <c r="AA35" i="32"/>
  <c r="Z35" i="32"/>
  <c r="Y35" i="32"/>
  <c r="X35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AK34" i="32"/>
  <c r="AJ34" i="32"/>
  <c r="AI34" i="32"/>
  <c r="AH34" i="32"/>
  <c r="AG34" i="32"/>
  <c r="AF34" i="32"/>
  <c r="AE34" i="32"/>
  <c r="AD34" i="32"/>
  <c r="AC34" i="32"/>
  <c r="AB34" i="32"/>
  <c r="AA34" i="32"/>
  <c r="Z34" i="32"/>
  <c r="Y34" i="32"/>
  <c r="X34" i="32"/>
  <c r="W34" i="32"/>
  <c r="V34" i="32"/>
  <c r="U34" i="32"/>
  <c r="T34" i="32"/>
  <c r="S34" i="32"/>
  <c r="R34" i="32"/>
  <c r="Q34" i="32"/>
  <c r="P34" i="32"/>
  <c r="O34" i="32"/>
  <c r="N34" i="32"/>
  <c r="M34" i="32"/>
  <c r="L34" i="32"/>
  <c r="K34" i="32"/>
  <c r="J34" i="32"/>
  <c r="I34" i="32"/>
  <c r="H34" i="32"/>
  <c r="G34" i="32"/>
  <c r="F34" i="32"/>
  <c r="E34" i="32"/>
  <c r="D34" i="32"/>
  <c r="AK33" i="32"/>
  <c r="AJ33" i="32"/>
  <c r="AI33" i="32"/>
  <c r="AH33" i="32"/>
  <c r="AG33" i="32"/>
  <c r="AF33" i="32"/>
  <c r="AE33" i="32"/>
  <c r="AD33" i="32"/>
  <c r="AC33" i="32"/>
  <c r="AB33" i="32"/>
  <c r="AA33" i="32"/>
  <c r="Z33" i="32"/>
  <c r="Y33" i="32"/>
  <c r="X33" i="32"/>
  <c r="W33" i="32"/>
  <c r="V33" i="32"/>
  <c r="U33" i="32"/>
  <c r="T33" i="32"/>
  <c r="S33" i="32"/>
  <c r="R33" i="32"/>
  <c r="Q33" i="32"/>
  <c r="P33" i="32"/>
  <c r="O33" i="32"/>
  <c r="N33" i="32"/>
  <c r="M33" i="32"/>
  <c r="L33" i="32"/>
  <c r="K33" i="32"/>
  <c r="J33" i="32"/>
  <c r="I33" i="32"/>
  <c r="H33" i="32"/>
  <c r="G33" i="32"/>
  <c r="F33" i="32"/>
  <c r="E33" i="32"/>
  <c r="D33" i="32"/>
  <c r="AK32" i="32"/>
  <c r="AJ32" i="32"/>
  <c r="AI32" i="32"/>
  <c r="AH32" i="32"/>
  <c r="AG32" i="32"/>
  <c r="AF32" i="32"/>
  <c r="AE32" i="32"/>
  <c r="AD32" i="32"/>
  <c r="AC32" i="32"/>
  <c r="AB32" i="32"/>
  <c r="AA32" i="32"/>
  <c r="Z32" i="32"/>
  <c r="Y32" i="32"/>
  <c r="X32" i="32"/>
  <c r="W32" i="32"/>
  <c r="V32" i="32"/>
  <c r="U32" i="32"/>
  <c r="T32" i="32"/>
  <c r="S32" i="32"/>
  <c r="R32" i="32"/>
  <c r="Q32" i="32"/>
  <c r="P32" i="32"/>
  <c r="O32" i="32"/>
  <c r="N32" i="32"/>
  <c r="M32" i="32"/>
  <c r="L32" i="32"/>
  <c r="K32" i="32"/>
  <c r="J32" i="32"/>
  <c r="I32" i="32"/>
  <c r="H32" i="32"/>
  <c r="G32" i="32"/>
  <c r="F32" i="32"/>
  <c r="E32" i="32"/>
  <c r="D32" i="32"/>
  <c r="AK31" i="32"/>
  <c r="AJ31" i="32"/>
  <c r="AI31" i="32"/>
  <c r="AH31" i="32"/>
  <c r="AG31" i="32"/>
  <c r="AF31" i="32"/>
  <c r="AE31" i="32"/>
  <c r="AD31" i="32"/>
  <c r="AC31" i="32"/>
  <c r="AB31" i="32"/>
  <c r="AA31" i="32"/>
  <c r="Z31" i="32"/>
  <c r="Y31" i="32"/>
  <c r="X31" i="32"/>
  <c r="W31" i="32"/>
  <c r="V31" i="32"/>
  <c r="U31" i="32"/>
  <c r="T31" i="32"/>
  <c r="S31" i="32"/>
  <c r="R31" i="32"/>
  <c r="Q31" i="32"/>
  <c r="P31" i="32"/>
  <c r="O31" i="32"/>
  <c r="N31" i="32"/>
  <c r="M31" i="32"/>
  <c r="L31" i="32"/>
  <c r="K31" i="32"/>
  <c r="J31" i="32"/>
  <c r="I31" i="32"/>
  <c r="H31" i="32"/>
  <c r="G31" i="32"/>
  <c r="F31" i="32"/>
  <c r="E31" i="32"/>
  <c r="D31" i="32"/>
  <c r="AK30" i="32"/>
  <c r="AJ30" i="32"/>
  <c r="AI30" i="32"/>
  <c r="AH30" i="32"/>
  <c r="AG30" i="32"/>
  <c r="AF30" i="32"/>
  <c r="AE30" i="32"/>
  <c r="AD30" i="32"/>
  <c r="AC30" i="32"/>
  <c r="AB30" i="32"/>
  <c r="AA30" i="32"/>
  <c r="Z30" i="32"/>
  <c r="Y30" i="32"/>
  <c r="X30" i="32"/>
  <c r="W30" i="32"/>
  <c r="V30" i="32"/>
  <c r="U30" i="32"/>
  <c r="T30" i="32"/>
  <c r="S30" i="32"/>
  <c r="R30" i="32"/>
  <c r="Q30" i="32"/>
  <c r="P30" i="32"/>
  <c r="O30" i="32"/>
  <c r="N30" i="32"/>
  <c r="M30" i="32"/>
  <c r="L30" i="32"/>
  <c r="K30" i="32"/>
  <c r="J30" i="32"/>
  <c r="I30" i="32"/>
  <c r="H30" i="32"/>
  <c r="G30" i="32"/>
  <c r="F30" i="32"/>
  <c r="E30" i="32"/>
  <c r="D30" i="32"/>
  <c r="AK29" i="32"/>
  <c r="AJ29" i="32"/>
  <c r="AI29" i="32"/>
  <c r="AH29" i="32"/>
  <c r="AG29" i="32"/>
  <c r="AF29" i="32"/>
  <c r="AE29" i="32"/>
  <c r="AD29" i="32"/>
  <c r="AC29" i="32"/>
  <c r="AB29" i="32"/>
  <c r="AA29" i="32"/>
  <c r="Z29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AK28" i="32"/>
  <c r="AJ28" i="32"/>
  <c r="AI28" i="32"/>
  <c r="AH28" i="32"/>
  <c r="AG28" i="32"/>
  <c r="AF28" i="32"/>
  <c r="AE28" i="32"/>
  <c r="AD28" i="32"/>
  <c r="AC28" i="32"/>
  <c r="AB28" i="32"/>
  <c r="AA28" i="32"/>
  <c r="Z28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AK27" i="32"/>
  <c r="AJ27" i="32"/>
  <c r="AI27" i="32"/>
  <c r="AH27" i="32"/>
  <c r="AG27" i="32"/>
  <c r="AF27" i="32"/>
  <c r="AE27" i="32"/>
  <c r="AD27" i="32"/>
  <c r="AC27" i="32"/>
  <c r="AB27" i="32"/>
  <c r="AA27" i="32"/>
  <c r="Z27" i="32"/>
  <c r="Y27" i="32"/>
  <c r="X27" i="32"/>
  <c r="W27" i="32"/>
  <c r="V27" i="32"/>
  <c r="U27" i="32"/>
  <c r="T27" i="32"/>
  <c r="S27" i="32"/>
  <c r="R27" i="32"/>
  <c r="Q27" i="32"/>
  <c r="P27" i="32"/>
  <c r="O27" i="32"/>
  <c r="N27" i="32"/>
  <c r="M27" i="32"/>
  <c r="L27" i="32"/>
  <c r="K27" i="32"/>
  <c r="J27" i="32"/>
  <c r="I27" i="32"/>
  <c r="H27" i="32"/>
  <c r="G27" i="32"/>
  <c r="F27" i="32"/>
  <c r="E27" i="32"/>
  <c r="D27" i="32"/>
  <c r="AK26" i="32"/>
  <c r="AJ26" i="32"/>
  <c r="AI26" i="32"/>
  <c r="AH26" i="32"/>
  <c r="AG26" i="32"/>
  <c r="AF26" i="32"/>
  <c r="AE26" i="32"/>
  <c r="AD26" i="32"/>
  <c r="AC26" i="32"/>
  <c r="AB26" i="32"/>
  <c r="AA26" i="32"/>
  <c r="Z26" i="32"/>
  <c r="Y26" i="32"/>
  <c r="X26" i="32"/>
  <c r="W26" i="32"/>
  <c r="V26" i="32"/>
  <c r="U26" i="32"/>
  <c r="T26" i="32"/>
  <c r="S26" i="32"/>
  <c r="R26" i="32"/>
  <c r="Q26" i="32"/>
  <c r="P26" i="32"/>
  <c r="O26" i="32"/>
  <c r="N26" i="32"/>
  <c r="M26" i="32"/>
  <c r="L26" i="32"/>
  <c r="K26" i="32"/>
  <c r="J26" i="32"/>
  <c r="I26" i="32"/>
  <c r="H26" i="32"/>
  <c r="G26" i="32"/>
  <c r="F26" i="32"/>
  <c r="E26" i="32"/>
  <c r="D26" i="32"/>
  <c r="AK25" i="32"/>
  <c r="AJ25" i="32"/>
  <c r="AI25" i="32"/>
  <c r="AH25" i="32"/>
  <c r="AG25" i="32"/>
  <c r="AF25" i="32"/>
  <c r="AE25" i="32"/>
  <c r="AD25" i="32"/>
  <c r="AC25" i="32"/>
  <c r="AB25" i="32"/>
  <c r="AA25" i="32"/>
  <c r="Z25" i="32"/>
  <c r="Y25" i="32"/>
  <c r="X25" i="32"/>
  <c r="W25" i="32"/>
  <c r="V25" i="32"/>
  <c r="U25" i="32"/>
  <c r="T25" i="32"/>
  <c r="S25" i="32"/>
  <c r="R25" i="32"/>
  <c r="Q25" i="32"/>
  <c r="P25" i="32"/>
  <c r="O25" i="32"/>
  <c r="N25" i="32"/>
  <c r="M25" i="32"/>
  <c r="L25" i="32"/>
  <c r="K25" i="32"/>
  <c r="J25" i="32"/>
  <c r="I25" i="32"/>
  <c r="H25" i="32"/>
  <c r="G25" i="32"/>
  <c r="F25" i="32"/>
  <c r="E25" i="32"/>
  <c r="D25" i="32"/>
  <c r="AK24" i="32"/>
  <c r="AJ24" i="32"/>
  <c r="AI24" i="32"/>
  <c r="AH24" i="32"/>
  <c r="AG24" i="32"/>
  <c r="AF24" i="32"/>
  <c r="AE24" i="32"/>
  <c r="AD24" i="32"/>
  <c r="AC24" i="32"/>
  <c r="AB24" i="32"/>
  <c r="AA24" i="32"/>
  <c r="Z24" i="32"/>
  <c r="Y24" i="32"/>
  <c r="X24" i="32"/>
  <c r="W24" i="32"/>
  <c r="V24" i="32"/>
  <c r="U24" i="32"/>
  <c r="T24" i="32"/>
  <c r="S24" i="32"/>
  <c r="R24" i="32"/>
  <c r="Q24" i="32"/>
  <c r="P24" i="32"/>
  <c r="O24" i="32"/>
  <c r="N24" i="32"/>
  <c r="M24" i="32"/>
  <c r="L24" i="32"/>
  <c r="K24" i="32"/>
  <c r="J24" i="32"/>
  <c r="I24" i="32"/>
  <c r="H24" i="32"/>
  <c r="G24" i="32"/>
  <c r="F24" i="32"/>
  <c r="E24" i="32"/>
  <c r="D24" i="32"/>
  <c r="AK23" i="32"/>
  <c r="AJ23" i="32"/>
  <c r="AI23" i="32"/>
  <c r="AH23" i="32"/>
  <c r="AG23" i="32"/>
  <c r="AF23" i="32"/>
  <c r="AE23" i="32"/>
  <c r="AD23" i="32"/>
  <c r="AC23" i="32"/>
  <c r="AB23" i="32"/>
  <c r="AA23" i="32"/>
  <c r="Z23" i="32"/>
  <c r="Y23" i="32"/>
  <c r="X23" i="32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AK22" i="32"/>
  <c r="AJ22" i="32"/>
  <c r="AI22" i="32"/>
  <c r="AH22" i="32"/>
  <c r="AG22" i="32"/>
  <c r="AF22" i="32"/>
  <c r="AE22" i="32"/>
  <c r="AD22" i="32"/>
  <c r="AC22" i="32"/>
  <c r="AB22" i="32"/>
  <c r="AA22" i="32"/>
  <c r="Z22" i="32"/>
  <c r="Y22" i="32"/>
  <c r="X22" i="32"/>
  <c r="W22" i="32"/>
  <c r="V22" i="32"/>
  <c r="U22" i="32"/>
  <c r="T22" i="32"/>
  <c r="S22" i="32"/>
  <c r="R22" i="32"/>
  <c r="Q22" i="32"/>
  <c r="P22" i="32"/>
  <c r="O22" i="32"/>
  <c r="N22" i="32"/>
  <c r="M22" i="32"/>
  <c r="L22" i="32"/>
  <c r="K22" i="32"/>
  <c r="J22" i="32"/>
  <c r="I22" i="32"/>
  <c r="H22" i="32"/>
  <c r="G22" i="32"/>
  <c r="F22" i="32"/>
  <c r="E22" i="32"/>
  <c r="D22" i="32"/>
  <c r="AK21" i="32"/>
  <c r="AJ21" i="32"/>
  <c r="AI21" i="32"/>
  <c r="AH21" i="32"/>
  <c r="AG21" i="32"/>
  <c r="AF21" i="32"/>
  <c r="AE21" i="32"/>
  <c r="AD21" i="32"/>
  <c r="AC21" i="32"/>
  <c r="AB21" i="32"/>
  <c r="AA21" i="32"/>
  <c r="Z21" i="32"/>
  <c r="Y21" i="32"/>
  <c r="X21" i="32"/>
  <c r="W21" i="32"/>
  <c r="V21" i="32"/>
  <c r="U21" i="32"/>
  <c r="T21" i="32"/>
  <c r="S21" i="32"/>
  <c r="R21" i="32"/>
  <c r="Q21" i="32"/>
  <c r="P21" i="32"/>
  <c r="O21" i="32"/>
  <c r="N21" i="32"/>
  <c r="M21" i="32"/>
  <c r="L21" i="32"/>
  <c r="K21" i="32"/>
  <c r="J21" i="32"/>
  <c r="I21" i="32"/>
  <c r="H21" i="32"/>
  <c r="G21" i="32"/>
  <c r="F21" i="32"/>
  <c r="E21" i="32"/>
  <c r="D21" i="32"/>
  <c r="AK20" i="32"/>
  <c r="AJ20" i="32"/>
  <c r="AI20" i="32"/>
  <c r="AH20" i="32"/>
  <c r="AG20" i="32"/>
  <c r="AF20" i="32"/>
  <c r="AE20" i="32"/>
  <c r="AD20" i="32"/>
  <c r="AC20" i="32"/>
  <c r="AB20" i="32"/>
  <c r="AA20" i="32"/>
  <c r="Z20" i="32"/>
  <c r="Y20" i="32"/>
  <c r="X20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AK19" i="32"/>
  <c r="AJ19" i="32"/>
  <c r="AI19" i="32"/>
  <c r="AH19" i="32"/>
  <c r="AG19" i="32"/>
  <c r="AF19" i="32"/>
  <c r="AE19" i="32"/>
  <c r="AD19" i="32"/>
  <c r="AC19" i="32"/>
  <c r="AB19" i="32"/>
  <c r="AA19" i="32"/>
  <c r="Z19" i="32"/>
  <c r="Y19" i="32"/>
  <c r="X19" i="32"/>
  <c r="W19" i="32"/>
  <c r="V19" i="32"/>
  <c r="U19" i="32"/>
  <c r="T19" i="32"/>
  <c r="S19" i="32"/>
  <c r="R19" i="32"/>
  <c r="Q19" i="32"/>
  <c r="P19" i="32"/>
  <c r="O19" i="32"/>
  <c r="N19" i="32"/>
  <c r="M19" i="32"/>
  <c r="L19" i="32"/>
  <c r="K19" i="32"/>
  <c r="J19" i="32"/>
  <c r="I19" i="32"/>
  <c r="H19" i="32"/>
  <c r="G19" i="32"/>
  <c r="F19" i="32"/>
  <c r="E19" i="32"/>
  <c r="D19" i="32"/>
  <c r="AK18" i="32"/>
  <c r="AJ18" i="32"/>
  <c r="AI18" i="32"/>
  <c r="AH18" i="32"/>
  <c r="AG18" i="32"/>
  <c r="AF18" i="32"/>
  <c r="AE18" i="32"/>
  <c r="AD18" i="32"/>
  <c r="AC18" i="32"/>
  <c r="AB18" i="32"/>
  <c r="AA18" i="32"/>
  <c r="Z18" i="32"/>
  <c r="Y18" i="32"/>
  <c r="X18" i="32"/>
  <c r="W18" i="32"/>
  <c r="V18" i="32"/>
  <c r="U18" i="32"/>
  <c r="T18" i="32"/>
  <c r="S18" i="32"/>
  <c r="R18" i="32"/>
  <c r="Q18" i="32"/>
  <c r="P18" i="32"/>
  <c r="O18" i="32"/>
  <c r="N18" i="32"/>
  <c r="M18" i="32"/>
  <c r="L18" i="32"/>
  <c r="K18" i="32"/>
  <c r="J18" i="32"/>
  <c r="I18" i="32"/>
  <c r="H18" i="32"/>
  <c r="G18" i="32"/>
  <c r="F18" i="32"/>
  <c r="E18" i="32"/>
  <c r="D18" i="32"/>
  <c r="AK17" i="32"/>
  <c r="AJ17" i="32"/>
  <c r="AI17" i="32"/>
  <c r="AH17" i="32"/>
  <c r="AG17" i="32"/>
  <c r="AF17" i="32"/>
  <c r="AE17" i="32"/>
  <c r="AD17" i="32"/>
  <c r="AC17" i="32"/>
  <c r="AB17" i="32"/>
  <c r="AA17" i="32"/>
  <c r="Z17" i="32"/>
  <c r="Y17" i="32"/>
  <c r="X17" i="32"/>
  <c r="W17" i="32"/>
  <c r="V17" i="32"/>
  <c r="U17" i="32"/>
  <c r="T17" i="32"/>
  <c r="S17" i="32"/>
  <c r="R17" i="32"/>
  <c r="Q17" i="32"/>
  <c r="P17" i="32"/>
  <c r="O17" i="32"/>
  <c r="N17" i="32"/>
  <c r="M17" i="32"/>
  <c r="L17" i="32"/>
  <c r="K17" i="32"/>
  <c r="J17" i="32"/>
  <c r="I17" i="32"/>
  <c r="H17" i="32"/>
  <c r="G17" i="32"/>
  <c r="F17" i="32"/>
  <c r="E17" i="32"/>
  <c r="D17" i="32"/>
  <c r="AK16" i="32"/>
  <c r="AJ16" i="32"/>
  <c r="AI16" i="32"/>
  <c r="AH16" i="32"/>
  <c r="AG16" i="32"/>
  <c r="AF16" i="32"/>
  <c r="AE16" i="32"/>
  <c r="AD16" i="32"/>
  <c r="AC16" i="32"/>
  <c r="AB16" i="32"/>
  <c r="AA16" i="32"/>
  <c r="Z16" i="32"/>
  <c r="Y16" i="32"/>
  <c r="X16" i="32"/>
  <c r="W16" i="32"/>
  <c r="V16" i="32"/>
  <c r="U16" i="32"/>
  <c r="T16" i="32"/>
  <c r="S16" i="32"/>
  <c r="R16" i="32"/>
  <c r="Q16" i="32"/>
  <c r="P16" i="32"/>
  <c r="O16" i="32"/>
  <c r="N16" i="32"/>
  <c r="M16" i="32"/>
  <c r="L16" i="32"/>
  <c r="K16" i="32"/>
  <c r="J16" i="32"/>
  <c r="I16" i="32"/>
  <c r="H16" i="32"/>
  <c r="G16" i="32"/>
  <c r="F16" i="32"/>
  <c r="E16" i="32"/>
  <c r="D16" i="32"/>
  <c r="AK15" i="32"/>
  <c r="AJ15" i="32"/>
  <c r="AI15" i="32"/>
  <c r="AH15" i="32"/>
  <c r="AG15" i="32"/>
  <c r="AF15" i="32"/>
  <c r="AE15" i="32"/>
  <c r="AD15" i="32"/>
  <c r="AC15" i="32"/>
  <c r="AB15" i="32"/>
  <c r="AA15" i="32"/>
  <c r="Z15" i="32"/>
  <c r="Y15" i="32"/>
  <c r="X15" i="32"/>
  <c r="W15" i="32"/>
  <c r="V15" i="32"/>
  <c r="U15" i="32"/>
  <c r="T15" i="32"/>
  <c r="S15" i="32"/>
  <c r="R15" i="32"/>
  <c r="Q15" i="32"/>
  <c r="P15" i="32"/>
  <c r="O15" i="32"/>
  <c r="N15" i="32"/>
  <c r="M15" i="32"/>
  <c r="L15" i="32"/>
  <c r="K15" i="32"/>
  <c r="J15" i="32"/>
  <c r="I15" i="32"/>
  <c r="H15" i="32"/>
  <c r="G15" i="32"/>
  <c r="F15" i="32"/>
  <c r="E15" i="32"/>
  <c r="D15" i="32"/>
  <c r="AK14" i="32"/>
  <c r="AJ14" i="32"/>
  <c r="AI14" i="32"/>
  <c r="AH14" i="32"/>
  <c r="AG14" i="32"/>
  <c r="AF14" i="32"/>
  <c r="AE14" i="32"/>
  <c r="AD14" i="32"/>
  <c r="AC14" i="32"/>
  <c r="AB14" i="32"/>
  <c r="AA14" i="32"/>
  <c r="Z14" i="32"/>
  <c r="Y14" i="32"/>
  <c r="X14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AK13" i="32"/>
  <c r="AJ13" i="32"/>
  <c r="AI13" i="32"/>
  <c r="AH13" i="32"/>
  <c r="AG13" i="32"/>
  <c r="AF13" i="32"/>
  <c r="AE13" i="32"/>
  <c r="AD13" i="32"/>
  <c r="AC13" i="32"/>
  <c r="AB13" i="32"/>
  <c r="AA13" i="32"/>
  <c r="Z13" i="32"/>
  <c r="Y13" i="32"/>
  <c r="X13" i="32"/>
  <c r="W13" i="32"/>
  <c r="V13" i="32"/>
  <c r="U13" i="32"/>
  <c r="T13" i="32"/>
  <c r="S13" i="32"/>
  <c r="R13" i="32"/>
  <c r="Q13" i="32"/>
  <c r="P13" i="32"/>
  <c r="O13" i="32"/>
  <c r="N13" i="32"/>
  <c r="M13" i="32"/>
  <c r="L13" i="32"/>
  <c r="K13" i="32"/>
  <c r="J13" i="32"/>
  <c r="I13" i="32"/>
  <c r="H13" i="32"/>
  <c r="G13" i="32"/>
  <c r="F13" i="32"/>
  <c r="E13" i="32"/>
  <c r="D13" i="32"/>
  <c r="AK12" i="32"/>
  <c r="AJ12" i="32"/>
  <c r="AI12" i="32"/>
  <c r="AH12" i="32"/>
  <c r="AG12" i="32"/>
  <c r="AF12" i="32"/>
  <c r="AE12" i="32"/>
  <c r="AD12" i="32"/>
  <c r="AC12" i="32"/>
  <c r="AB12" i="32"/>
  <c r="AA12" i="32"/>
  <c r="Z12" i="32"/>
  <c r="Y12" i="32"/>
  <c r="X12" i="32"/>
  <c r="W12" i="32"/>
  <c r="V12" i="32"/>
  <c r="U12" i="32"/>
  <c r="T12" i="32"/>
  <c r="S12" i="32"/>
  <c r="R12" i="32"/>
  <c r="Q12" i="32"/>
  <c r="P12" i="32"/>
  <c r="O12" i="32"/>
  <c r="N12" i="32"/>
  <c r="M12" i="32"/>
  <c r="L12" i="32"/>
  <c r="K12" i="32"/>
  <c r="J12" i="32"/>
  <c r="I12" i="32"/>
  <c r="H12" i="32"/>
  <c r="G12" i="32"/>
  <c r="F12" i="32"/>
  <c r="E12" i="32"/>
  <c r="D12" i="32"/>
  <c r="AK11" i="32"/>
  <c r="AJ11" i="32"/>
  <c r="AI11" i="32"/>
  <c r="AH11" i="32"/>
  <c r="AG11" i="32"/>
  <c r="AF11" i="32"/>
  <c r="AE11" i="32"/>
  <c r="AD11" i="32"/>
  <c r="AC11" i="32"/>
  <c r="AB11" i="32"/>
  <c r="AA11" i="32"/>
  <c r="Z11" i="32"/>
  <c r="Y11" i="32"/>
  <c r="X11" i="32"/>
  <c r="W11" i="32"/>
  <c r="V11" i="32"/>
  <c r="U11" i="32"/>
  <c r="T11" i="32"/>
  <c r="S11" i="32"/>
  <c r="R11" i="32"/>
  <c r="Q11" i="32"/>
  <c r="P11" i="32"/>
  <c r="O11" i="32"/>
  <c r="N11" i="32"/>
  <c r="M11" i="32"/>
  <c r="L11" i="32"/>
  <c r="K11" i="32"/>
  <c r="J11" i="32"/>
  <c r="I11" i="32"/>
  <c r="H11" i="32"/>
  <c r="G11" i="32"/>
  <c r="F11" i="32"/>
  <c r="E11" i="32"/>
  <c r="D11" i="32"/>
  <c r="AK10" i="32"/>
  <c r="AJ10" i="32"/>
  <c r="AI10" i="32"/>
  <c r="AH10" i="32"/>
  <c r="AG10" i="32"/>
  <c r="AF10" i="32"/>
  <c r="AE10" i="32"/>
  <c r="AD10" i="32"/>
  <c r="AC10" i="32"/>
  <c r="AB10" i="32"/>
  <c r="AA10" i="32"/>
  <c r="Z10" i="32"/>
  <c r="Y10" i="32"/>
  <c r="X10" i="32"/>
  <c r="W10" i="32"/>
  <c r="V10" i="32"/>
  <c r="U10" i="32"/>
  <c r="T10" i="32"/>
  <c r="S10" i="32"/>
  <c r="R10" i="32"/>
  <c r="Q10" i="32"/>
  <c r="P10" i="32"/>
  <c r="O10" i="32"/>
  <c r="N10" i="32"/>
  <c r="M10" i="32"/>
  <c r="L10" i="32"/>
  <c r="K10" i="32"/>
  <c r="J10" i="32"/>
  <c r="I10" i="32"/>
  <c r="H10" i="32"/>
  <c r="G10" i="32"/>
  <c r="F10" i="32"/>
  <c r="E10" i="32"/>
  <c r="D10" i="32"/>
  <c r="AK9" i="32"/>
  <c r="AJ9" i="32"/>
  <c r="AI9" i="32"/>
  <c r="AH9" i="32"/>
  <c r="AG9" i="32"/>
  <c r="AF9" i="32"/>
  <c r="AE9" i="32"/>
  <c r="AD9" i="32"/>
  <c r="AC9" i="32"/>
  <c r="AB9" i="32"/>
  <c r="AA9" i="32"/>
  <c r="Z9" i="32"/>
  <c r="Y9" i="32"/>
  <c r="X9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AK8" i="32"/>
  <c r="AJ8" i="32"/>
  <c r="AI8" i="32"/>
  <c r="AH8" i="32"/>
  <c r="AG8" i="32"/>
  <c r="AF8" i="32"/>
  <c r="AE8" i="32"/>
  <c r="AD8" i="32"/>
  <c r="AC8" i="32"/>
  <c r="AB8" i="32"/>
  <c r="AA8" i="32"/>
  <c r="Z8" i="32"/>
  <c r="Y8" i="32"/>
  <c r="X8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I4" i="32"/>
  <c r="N3" i="32"/>
  <c r="K3" i="32"/>
  <c r="I3" i="32"/>
  <c r="F3" i="32"/>
  <c r="D3" i="32"/>
  <c r="F90" i="35"/>
  <c r="D90" i="35"/>
  <c r="F89" i="35"/>
  <c r="D58" i="35"/>
  <c r="D57" i="35"/>
  <c r="D56" i="35"/>
  <c r="D42" i="35" a="1"/>
  <c r="D42" i="35" s="1"/>
  <c r="D41" i="35"/>
  <c r="D41" i="35" a="1"/>
  <c r="D40" i="35" a="1"/>
  <c r="D40" i="35" s="1"/>
  <c r="D39" i="35" a="1"/>
  <c r="D39" i="35" s="1"/>
  <c r="D33" i="35" a="1"/>
  <c r="D33" i="35" s="1"/>
  <c r="F51" i="35" s="1"/>
  <c r="D32" i="35" a="1"/>
  <c r="D32" i="35" s="1"/>
  <c r="D31" i="35"/>
  <c r="D31" i="35" a="1"/>
  <c r="D30" i="35" a="1"/>
  <c r="D30" i="35" s="1"/>
  <c r="F28" i="35"/>
  <c r="D28" i="35"/>
  <c r="D24" i="35"/>
  <c r="D23" i="35"/>
  <c r="D21" i="35"/>
  <c r="D19" i="35"/>
  <c r="E14" i="35"/>
  <c r="F13" i="35"/>
  <c r="E13" i="35"/>
  <c r="D13" i="35"/>
  <c r="E11" i="35"/>
  <c r="F90" i="30"/>
  <c r="D90" i="30"/>
  <c r="F89" i="30"/>
  <c r="D58" i="30"/>
  <c r="D57" i="30"/>
  <c r="D56" i="30"/>
  <c r="D42" i="30" a="1"/>
  <c r="D42" i="30" s="1"/>
  <c r="D41" i="30" a="1"/>
  <c r="D41" i="30" s="1"/>
  <c r="D40" i="30" a="1"/>
  <c r="D40" i="30" s="1"/>
  <c r="D39" i="30" a="1"/>
  <c r="D39" i="30" s="1"/>
  <c r="D33" i="30" a="1"/>
  <c r="D33" i="30" s="1"/>
  <c r="D32" i="30" a="1"/>
  <c r="D32" i="30" s="1"/>
  <c r="D31" i="30" a="1"/>
  <c r="D31" i="30" s="1"/>
  <c r="D30" i="30" a="1"/>
  <c r="D30" i="30" s="1"/>
  <c r="F28" i="30"/>
  <c r="D28" i="30"/>
  <c r="D24" i="30"/>
  <c r="D23" i="30"/>
  <c r="D21" i="30"/>
  <c r="D19" i="30"/>
  <c r="E14" i="30"/>
  <c r="F13" i="30"/>
  <c r="E13" i="30"/>
  <c r="D13" i="30"/>
  <c r="E11" i="30"/>
  <c r="D20" i="37" l="1"/>
  <c r="E4" i="37"/>
  <c r="E46" i="37" s="1"/>
  <c r="E24" i="37"/>
  <c r="F24" i="37" s="1"/>
  <c r="E33" i="37"/>
  <c r="Q7" i="38"/>
  <c r="X7" i="38" s="1"/>
  <c r="E20" i="37"/>
  <c r="I20" i="38"/>
  <c r="AR11" i="38"/>
  <c r="AR22" i="38"/>
  <c r="AR38" i="38"/>
  <c r="AR54" i="38"/>
  <c r="AR6" i="38"/>
  <c r="AR23" i="38"/>
  <c r="AR39" i="38"/>
  <c r="AR55" i="38"/>
  <c r="AR7" i="38"/>
  <c r="AR24" i="38"/>
  <c r="AR40" i="38"/>
  <c r="AR56" i="38"/>
  <c r="AR8" i="38"/>
  <c r="AR25" i="38"/>
  <c r="AR41" i="38"/>
  <c r="AR9" i="38"/>
  <c r="AR26" i="38"/>
  <c r="AR42" i="38"/>
  <c r="AR10" i="38"/>
  <c r="AR27" i="38"/>
  <c r="AR43" i="38"/>
  <c r="AR12" i="38"/>
  <c r="AR28" i="38"/>
  <c r="AR44" i="38"/>
  <c r="AR13" i="38"/>
  <c r="AR29" i="38"/>
  <c r="AR45" i="38"/>
  <c r="AR14" i="38"/>
  <c r="AR30" i="38"/>
  <c r="AR46" i="38"/>
  <c r="AR15" i="38"/>
  <c r="AR31" i="38"/>
  <c r="AR47" i="38"/>
  <c r="AR16" i="38"/>
  <c r="AR32" i="38"/>
  <c r="AR48" i="38"/>
  <c r="AR17" i="38"/>
  <c r="AR33" i="38"/>
  <c r="AR49" i="38"/>
  <c r="AR18" i="38"/>
  <c r="AR34" i="38"/>
  <c r="AR50" i="38"/>
  <c r="AR19" i="38"/>
  <c r="AR20" i="38"/>
  <c r="AR21" i="38"/>
  <c r="AR35" i="38"/>
  <c r="AR51" i="38"/>
  <c r="AR52" i="38"/>
  <c r="AR53" i="38"/>
  <c r="AR36" i="38"/>
  <c r="AR37" i="38"/>
  <c r="R7" i="38"/>
  <c r="Y7" i="38" s="1"/>
  <c r="AF7" i="38" s="1"/>
  <c r="O7" i="38"/>
  <c r="V7" i="38" s="1"/>
  <c r="AK7" i="38" s="1"/>
  <c r="U6" i="38"/>
  <c r="AB6" i="38" s="1"/>
  <c r="T6" i="38"/>
  <c r="AA6" i="38" s="1"/>
  <c r="S6" i="38"/>
  <c r="Z6" i="38" s="1"/>
  <c r="R6" i="38"/>
  <c r="Y6" i="38" s="1"/>
  <c r="Q6" i="38"/>
  <c r="X6" i="38" s="1"/>
  <c r="P6" i="38"/>
  <c r="W6" i="38" s="1"/>
  <c r="O6" i="38"/>
  <c r="V6" i="38" s="1"/>
  <c r="H7" i="38"/>
  <c r="AJ20" i="38"/>
  <c r="AJ36" i="38"/>
  <c r="AJ52" i="38"/>
  <c r="AJ21" i="38"/>
  <c r="AJ37" i="38"/>
  <c r="AJ53" i="38"/>
  <c r="AJ22" i="38"/>
  <c r="AJ38" i="38"/>
  <c r="AJ54" i="38"/>
  <c r="AJ6" i="38"/>
  <c r="AJ23" i="38"/>
  <c r="AJ39" i="38"/>
  <c r="AJ55" i="38"/>
  <c r="AJ7" i="38"/>
  <c r="AJ24" i="38"/>
  <c r="AJ40" i="38"/>
  <c r="AJ56" i="38"/>
  <c r="AJ8" i="38"/>
  <c r="AJ25" i="38"/>
  <c r="AJ41" i="38"/>
  <c r="AJ9" i="38"/>
  <c r="AJ26" i="38"/>
  <c r="AJ42" i="38"/>
  <c r="AJ10" i="38"/>
  <c r="AJ27" i="38"/>
  <c r="AJ43" i="38"/>
  <c r="AJ12" i="38"/>
  <c r="AJ28" i="38"/>
  <c r="AJ44" i="38"/>
  <c r="AJ13" i="38"/>
  <c r="AJ29" i="38"/>
  <c r="AJ45" i="38"/>
  <c r="AJ14" i="38"/>
  <c r="AJ30" i="38"/>
  <c r="AJ46" i="38"/>
  <c r="AJ15" i="38"/>
  <c r="AJ31" i="38"/>
  <c r="AJ47" i="38"/>
  <c r="AJ16" i="38"/>
  <c r="AJ32" i="38"/>
  <c r="AJ48" i="38"/>
  <c r="AJ11" i="38"/>
  <c r="AJ50" i="38"/>
  <c r="AJ17" i="38"/>
  <c r="AJ18" i="38"/>
  <c r="AJ19" i="38"/>
  <c r="AJ33" i="38"/>
  <c r="AJ49" i="38"/>
  <c r="AJ51" i="38"/>
  <c r="AJ34" i="38"/>
  <c r="AJ35" i="38"/>
  <c r="S7" i="38"/>
  <c r="Z7" i="38" s="1"/>
  <c r="AG7" i="38" s="1"/>
  <c r="F33" i="37"/>
  <c r="D80" i="37" s="1"/>
  <c r="D81" i="37" s="1"/>
  <c r="T7" i="38"/>
  <c r="AA7" i="38" s="1"/>
  <c r="AH7" i="38" s="1"/>
  <c r="U7" i="38"/>
  <c r="AB7" i="38" s="1"/>
  <c r="P7" i="38"/>
  <c r="W7" i="38" s="1"/>
  <c r="AE7" i="38"/>
  <c r="N9" i="38"/>
  <c r="U8" i="38"/>
  <c r="AB8" i="38" s="1"/>
  <c r="T8" i="38"/>
  <c r="AA8" i="38" s="1"/>
  <c r="P8" i="38"/>
  <c r="W8" i="38" s="1"/>
  <c r="S8" i="38"/>
  <c r="Z8" i="38" s="1"/>
  <c r="Q8" i="38"/>
  <c r="X8" i="38" s="1"/>
  <c r="O8" i="38"/>
  <c r="V8" i="38" s="1"/>
  <c r="R8" i="38"/>
  <c r="Y8" i="38" s="1"/>
  <c r="H51" i="38"/>
  <c r="H45" i="38"/>
  <c r="B37" i="38"/>
  <c r="F37" i="38" s="1"/>
  <c r="I51" i="38"/>
  <c r="H38" i="38"/>
  <c r="D23" i="38"/>
  <c r="I50" i="38"/>
  <c r="H37" i="38"/>
  <c r="I48" i="38"/>
  <c r="H35" i="38"/>
  <c r="I42" i="38"/>
  <c r="H29" i="38"/>
  <c r="I35" i="38"/>
  <c r="H22" i="38"/>
  <c r="I34" i="38"/>
  <c r="H21" i="38"/>
  <c r="I32" i="38"/>
  <c r="H19" i="38"/>
  <c r="I26" i="38"/>
  <c r="H13" i="38"/>
  <c r="C17" i="38"/>
  <c r="J17" i="38" s="1"/>
  <c r="C33" i="38"/>
  <c r="J33" i="38" s="1"/>
  <c r="C49" i="38"/>
  <c r="J49" i="38" s="1"/>
  <c r="I19" i="38"/>
  <c r="H6" i="38"/>
  <c r="I18" i="38"/>
  <c r="B56" i="38"/>
  <c r="I16" i="38"/>
  <c r="B24" i="38"/>
  <c r="I10" i="38"/>
  <c r="B6" i="38"/>
  <c r="H54" i="38"/>
  <c r="C43" i="38"/>
  <c r="J43" i="38" s="1"/>
  <c r="H53" i="38"/>
  <c r="C42" i="38"/>
  <c r="J42" i="38" s="1"/>
  <c r="C18" i="38"/>
  <c r="J18" i="38" s="1"/>
  <c r="C50" i="38"/>
  <c r="J50" i="38" s="1"/>
  <c r="D55" i="38"/>
  <c r="B21" i="38"/>
  <c r="F21" i="38" s="1"/>
  <c r="C34" i="38"/>
  <c r="J34" i="38" s="1"/>
  <c r="C19" i="38"/>
  <c r="J19" i="38" s="1"/>
  <c r="C35" i="38"/>
  <c r="J35" i="38" s="1"/>
  <c r="C51" i="38"/>
  <c r="J51" i="38" s="1"/>
  <c r="I49" i="38"/>
  <c r="I33" i="38"/>
  <c r="I17" i="38"/>
  <c r="H52" i="38"/>
  <c r="H36" i="38"/>
  <c r="H20" i="38"/>
  <c r="D53" i="38"/>
  <c r="B8" i="38"/>
  <c r="F8" i="38" s="1"/>
  <c r="C52" i="38"/>
  <c r="J52" i="38" s="1"/>
  <c r="C22" i="38"/>
  <c r="K22" i="38" s="1"/>
  <c r="C38" i="38"/>
  <c r="J38" i="38" s="1"/>
  <c r="C54" i="38"/>
  <c r="J54" i="38" s="1"/>
  <c r="I46" i="38"/>
  <c r="I30" i="38"/>
  <c r="I14" i="38"/>
  <c r="H49" i="38"/>
  <c r="H33" i="38"/>
  <c r="H17" i="38"/>
  <c r="D39" i="38"/>
  <c r="D7" i="38"/>
  <c r="B23" i="38"/>
  <c r="C39" i="38"/>
  <c r="K39" i="38" s="1"/>
  <c r="C55" i="38"/>
  <c r="J55" i="38" s="1"/>
  <c r="I45" i="38"/>
  <c r="I29" i="38"/>
  <c r="I13" i="38"/>
  <c r="H48" i="38"/>
  <c r="H32" i="38"/>
  <c r="H16" i="38"/>
  <c r="D37" i="38"/>
  <c r="C27" i="38"/>
  <c r="J27" i="38" s="1"/>
  <c r="C20" i="38"/>
  <c r="K20" i="38" s="1"/>
  <c r="C21" i="38"/>
  <c r="J21" i="38" s="1"/>
  <c r="C37" i="38"/>
  <c r="J37" i="38" s="1"/>
  <c r="C53" i="38"/>
  <c r="J53" i="38" s="1"/>
  <c r="I47" i="38"/>
  <c r="I31" i="38"/>
  <c r="I15" i="38"/>
  <c r="H50" i="38"/>
  <c r="H34" i="38"/>
  <c r="H18" i="38"/>
  <c r="D49" i="38"/>
  <c r="D8" i="38"/>
  <c r="D24" i="38"/>
  <c r="D40" i="38"/>
  <c r="D56" i="38"/>
  <c r="I44" i="38"/>
  <c r="I28" i="38"/>
  <c r="I12" i="38"/>
  <c r="H47" i="38"/>
  <c r="H31" i="38"/>
  <c r="H15" i="38"/>
  <c r="D36" i="38"/>
  <c r="C26" i="38"/>
  <c r="J26" i="38" s="1"/>
  <c r="D52" i="38"/>
  <c r="B9" i="38"/>
  <c r="E9" i="38" s="1"/>
  <c r="B25" i="38"/>
  <c r="F25" i="38" s="1"/>
  <c r="B41" i="38"/>
  <c r="I43" i="38"/>
  <c r="I27" i="38"/>
  <c r="I11" i="38"/>
  <c r="H46" i="38"/>
  <c r="H30" i="38"/>
  <c r="H14" i="38"/>
  <c r="D33" i="38"/>
  <c r="C11" i="38"/>
  <c r="C10" i="38"/>
  <c r="K10" i="38" s="1"/>
  <c r="C6" i="38"/>
  <c r="C36" i="38"/>
  <c r="J36" i="38" s="1"/>
  <c r="B42" i="38"/>
  <c r="C12" i="38"/>
  <c r="J12" i="38" s="1"/>
  <c r="C28" i="38"/>
  <c r="K28" i="38" s="1"/>
  <c r="C44" i="38"/>
  <c r="K44" i="38" s="1"/>
  <c r="I56" i="38"/>
  <c r="I40" i="38"/>
  <c r="I24" i="38"/>
  <c r="I8" i="38"/>
  <c r="H43" i="38"/>
  <c r="H27" i="38"/>
  <c r="H11" i="38"/>
  <c r="D20" i="38"/>
  <c r="D6" i="38"/>
  <c r="B10" i="38"/>
  <c r="F10" i="38" s="1"/>
  <c r="B11" i="38"/>
  <c r="B43" i="38"/>
  <c r="F43" i="38" s="1"/>
  <c r="D21" i="38"/>
  <c r="C13" i="38"/>
  <c r="K13" i="38" s="1"/>
  <c r="C45" i="38"/>
  <c r="K45" i="38" s="1"/>
  <c r="I55" i="38"/>
  <c r="I39" i="38"/>
  <c r="I23" i="38"/>
  <c r="I7" i="38"/>
  <c r="H42" i="38"/>
  <c r="H10" i="38"/>
  <c r="C14" i="38"/>
  <c r="J14" i="38" s="1"/>
  <c r="C30" i="38"/>
  <c r="K30" i="38" s="1"/>
  <c r="C46" i="38"/>
  <c r="J46" i="38" s="1"/>
  <c r="I54" i="38"/>
  <c r="I38" i="38"/>
  <c r="I22" i="38"/>
  <c r="I6" i="38"/>
  <c r="H41" i="38"/>
  <c r="H25" i="38"/>
  <c r="H9" i="38"/>
  <c r="B53" i="38"/>
  <c r="F53" i="38" s="1"/>
  <c r="B40" i="38"/>
  <c r="B26" i="38"/>
  <c r="F26" i="38" s="1"/>
  <c r="B27" i="38"/>
  <c r="I41" i="38"/>
  <c r="I25" i="38"/>
  <c r="I9" i="38"/>
  <c r="H44" i="38"/>
  <c r="H28" i="38"/>
  <c r="H12" i="38"/>
  <c r="C29" i="38"/>
  <c r="J29" i="38" s="1"/>
  <c r="H26" i="38"/>
  <c r="C15" i="38"/>
  <c r="J15" i="38" s="1"/>
  <c r="C31" i="38"/>
  <c r="J31" i="38" s="1"/>
  <c r="C47" i="38"/>
  <c r="J47" i="38" s="1"/>
  <c r="I53" i="38"/>
  <c r="I37" i="38"/>
  <c r="I21" i="38"/>
  <c r="H56" i="38"/>
  <c r="H40" i="38"/>
  <c r="H24" i="38"/>
  <c r="H8" i="38"/>
  <c r="C16" i="38"/>
  <c r="J16" i="38" s="1"/>
  <c r="C32" i="38"/>
  <c r="J32" i="38" s="1"/>
  <c r="C48" i="38"/>
  <c r="J48" i="38" s="1"/>
  <c r="I52" i="38"/>
  <c r="I36" i="38"/>
  <c r="H55" i="38"/>
  <c r="H39" i="38"/>
  <c r="H23" i="38"/>
  <c r="D54" i="38"/>
  <c r="D38" i="38"/>
  <c r="D22" i="38"/>
  <c r="B55" i="38"/>
  <c r="B39" i="38"/>
  <c r="B54" i="38"/>
  <c r="B38" i="38"/>
  <c r="B22" i="38"/>
  <c r="C41" i="38"/>
  <c r="C25" i="38"/>
  <c r="C9" i="38"/>
  <c r="C56" i="38"/>
  <c r="C40" i="38"/>
  <c r="C24" i="38"/>
  <c r="C8" i="38"/>
  <c r="D51" i="38"/>
  <c r="D35" i="38"/>
  <c r="D19" i="38"/>
  <c r="B52" i="38"/>
  <c r="B36" i="38"/>
  <c r="B20" i="38"/>
  <c r="C23" i="38"/>
  <c r="C7" i="38"/>
  <c r="D50" i="38"/>
  <c r="D34" i="38"/>
  <c r="D18" i="38"/>
  <c r="B51" i="38"/>
  <c r="B35" i="38"/>
  <c r="B19" i="38"/>
  <c r="D17" i="38"/>
  <c r="B50" i="38"/>
  <c r="B34" i="38"/>
  <c r="B18" i="38"/>
  <c r="D48" i="38"/>
  <c r="D32" i="38"/>
  <c r="D16" i="38"/>
  <c r="B49" i="38"/>
  <c r="B33" i="38"/>
  <c r="B17" i="38"/>
  <c r="D47" i="38"/>
  <c r="D31" i="38"/>
  <c r="D15" i="38"/>
  <c r="B48" i="38"/>
  <c r="B32" i="38"/>
  <c r="B16" i="38"/>
  <c r="D46" i="38"/>
  <c r="D30" i="38"/>
  <c r="D14" i="38"/>
  <c r="B47" i="38"/>
  <c r="B31" i="38"/>
  <c r="B15" i="38"/>
  <c r="K43" i="38"/>
  <c r="D45" i="38"/>
  <c r="D29" i="38"/>
  <c r="D13" i="38"/>
  <c r="B46" i="38"/>
  <c r="B30" i="38"/>
  <c r="B14" i="38"/>
  <c r="B7" i="38"/>
  <c r="D44" i="38"/>
  <c r="D28" i="38"/>
  <c r="D12" i="38"/>
  <c r="B45" i="38"/>
  <c r="B29" i="38"/>
  <c r="B13" i="38"/>
  <c r="D43" i="38"/>
  <c r="D27" i="38"/>
  <c r="D11" i="38"/>
  <c r="B44" i="38"/>
  <c r="B28" i="38"/>
  <c r="B12" i="38"/>
  <c r="D42" i="38"/>
  <c r="D26" i="38"/>
  <c r="D10" i="38"/>
  <c r="D41" i="38"/>
  <c r="D25" i="38"/>
  <c r="D9" i="38"/>
  <c r="F9" i="35"/>
  <c r="F93" i="35"/>
  <c r="F52" i="35"/>
  <c r="F83" i="35"/>
  <c r="F84" i="35" s="1"/>
  <c r="D59" i="35"/>
  <c r="D83" i="35"/>
  <c r="D84" i="35" s="1"/>
  <c r="D59" i="30"/>
  <c r="F83" i="30"/>
  <c r="F84" i="30" s="1"/>
  <c r="D83" i="30"/>
  <c r="D84" i="30" s="1"/>
  <c r="F52" i="37"/>
  <c r="F53" i="37" s="1"/>
  <c r="F61" i="37" s="1"/>
  <c r="F62" i="37" s="1"/>
  <c r="F66" i="37"/>
  <c r="F67" i="37" s="1"/>
  <c r="F81" i="37"/>
  <c r="F9" i="30"/>
  <c r="F8" i="30"/>
  <c r="F10" i="30" s="1"/>
  <c r="F85" i="30" s="1"/>
  <c r="F86" i="30" s="1"/>
  <c r="F63" i="30"/>
  <c r="F64" i="30" s="1"/>
  <c r="F65" i="30" s="1"/>
  <c r="F66" i="30" s="1"/>
  <c r="F67" i="30" s="1"/>
  <c r="D93" i="30"/>
  <c r="F51" i="30"/>
  <c r="F52" i="30" s="1"/>
  <c r="F53" i="30" s="1"/>
  <c r="F93" i="30"/>
  <c r="E52" i="37"/>
  <c r="E53" i="37" s="1"/>
  <c r="D8" i="30"/>
  <c r="D10" i="30" s="1"/>
  <c r="D85" i="30" s="1"/>
  <c r="D86" i="30" s="1"/>
  <c r="F20" i="37"/>
  <c r="D9" i="30"/>
  <c r="E81" i="37"/>
  <c r="D8" i="35"/>
  <c r="F63" i="35"/>
  <c r="F64" i="35" s="1"/>
  <c r="F65" i="35" s="1"/>
  <c r="F66" i="35" s="1"/>
  <c r="F67" i="35" s="1"/>
  <c r="D93" i="35"/>
  <c r="E66" i="37"/>
  <c r="E67" i="37" s="1"/>
  <c r="F8" i="35"/>
  <c r="F10" i="35" s="1"/>
  <c r="F85" i="35" s="1"/>
  <c r="F86" i="35" s="1"/>
  <c r="D9" i="35"/>
  <c r="F83" i="37" l="1"/>
  <c r="D89" i="37"/>
  <c r="D90" i="37" s="1"/>
  <c r="D83" i="37"/>
  <c r="F89" i="37"/>
  <c r="F90" i="37" s="1"/>
  <c r="E54" i="37"/>
  <c r="E61" i="37"/>
  <c r="E62" i="37" s="1"/>
  <c r="E83" i="37"/>
  <c r="E89" i="37"/>
  <c r="E90" i="37" s="1"/>
  <c r="E75" i="37"/>
  <c r="E76" i="37" s="1"/>
  <c r="E74" i="37"/>
  <c r="F74" i="37"/>
  <c r="F75" i="37"/>
  <c r="F76" i="37" s="1"/>
  <c r="AM7" i="38"/>
  <c r="K38" i="38"/>
  <c r="K33" i="38"/>
  <c r="K35" i="38"/>
  <c r="AQ7" i="38"/>
  <c r="K34" i="38"/>
  <c r="K17" i="38"/>
  <c r="D66" i="37"/>
  <c r="D67" i="37" s="1"/>
  <c r="D52" i="37"/>
  <c r="D53" i="37" s="1"/>
  <c r="AP7" i="38"/>
  <c r="AO7" i="38"/>
  <c r="K42" i="38"/>
  <c r="E37" i="38"/>
  <c r="G9" i="38"/>
  <c r="E8" i="38"/>
  <c r="AC7" i="38"/>
  <c r="G40" i="38"/>
  <c r="G41" i="38"/>
  <c r="K54" i="38"/>
  <c r="E21" i="38"/>
  <c r="K49" i="38"/>
  <c r="K50" i="38"/>
  <c r="E40" i="38"/>
  <c r="K18" i="38"/>
  <c r="G21" i="38"/>
  <c r="G8" i="38"/>
  <c r="AK6" i="38"/>
  <c r="AC6" i="38"/>
  <c r="G37" i="38"/>
  <c r="AD6" i="38"/>
  <c r="AL6" i="38"/>
  <c r="J22" i="38"/>
  <c r="K52" i="38"/>
  <c r="G42" i="38"/>
  <c r="AE6" i="38"/>
  <c r="AM6" i="38"/>
  <c r="G23" i="38"/>
  <c r="AF6" i="38"/>
  <c r="AN6" i="38"/>
  <c r="G11" i="38"/>
  <c r="G6" i="38"/>
  <c r="AO6" i="38"/>
  <c r="AG6" i="38"/>
  <c r="AN7" i="38"/>
  <c r="AP6" i="38"/>
  <c r="AH6" i="38"/>
  <c r="G24" i="38"/>
  <c r="AQ6" i="38"/>
  <c r="AI6" i="38"/>
  <c r="E25" i="38"/>
  <c r="AL7" i="38"/>
  <c r="AD7" i="38"/>
  <c r="G25" i="38"/>
  <c r="G56" i="38"/>
  <c r="F40" i="38"/>
  <c r="D69" i="37"/>
  <c r="F71" i="37"/>
  <c r="AI7" i="38"/>
  <c r="G27" i="38"/>
  <c r="K51" i="38"/>
  <c r="AL8" i="38"/>
  <c r="AD8" i="38"/>
  <c r="AQ8" i="38"/>
  <c r="AI8" i="38"/>
  <c r="K27" i="38"/>
  <c r="N10" i="38"/>
  <c r="N11" i="38" s="1"/>
  <c r="P9" i="38"/>
  <c r="W9" i="38" s="1"/>
  <c r="U9" i="38"/>
  <c r="AB9" i="38" s="1"/>
  <c r="T9" i="38"/>
  <c r="AA9" i="38" s="1"/>
  <c r="R9" i="38"/>
  <c r="Y9" i="38" s="1"/>
  <c r="Q9" i="38"/>
  <c r="X9" i="38" s="1"/>
  <c r="S9" i="38"/>
  <c r="Z9" i="38" s="1"/>
  <c r="O9" i="38"/>
  <c r="V9" i="38" s="1"/>
  <c r="AP8" i="38"/>
  <c r="AH8" i="38"/>
  <c r="E56" i="38"/>
  <c r="K19" i="38"/>
  <c r="K46" i="38"/>
  <c r="J28" i="38"/>
  <c r="K21" i="38"/>
  <c r="F56" i="38"/>
  <c r="G26" i="38"/>
  <c r="AF8" i="38"/>
  <c r="AN8" i="38"/>
  <c r="AK8" i="38"/>
  <c r="AC8" i="38"/>
  <c r="AE8" i="38"/>
  <c r="AM8" i="38"/>
  <c r="F9" i="38"/>
  <c r="AG8" i="38"/>
  <c r="AO8" i="38"/>
  <c r="K32" i="38"/>
  <c r="K53" i="38"/>
  <c r="K16" i="38"/>
  <c r="K14" i="38"/>
  <c r="E26" i="38"/>
  <c r="J45" i="38"/>
  <c r="F27" i="38"/>
  <c r="J20" i="38"/>
  <c r="E41" i="38"/>
  <c r="F41" i="38"/>
  <c r="E27" i="38"/>
  <c r="E53" i="38"/>
  <c r="K29" i="38"/>
  <c r="J44" i="38"/>
  <c r="E24" i="38"/>
  <c r="J10" i="38"/>
  <c r="K37" i="38"/>
  <c r="E23" i="38"/>
  <c r="K15" i="38"/>
  <c r="F24" i="38"/>
  <c r="G10" i="38"/>
  <c r="K36" i="38"/>
  <c r="J30" i="38"/>
  <c r="E6" i="38"/>
  <c r="E11" i="38"/>
  <c r="F11" i="38"/>
  <c r="F6" i="38"/>
  <c r="E43" i="38"/>
  <c r="F23" i="38"/>
  <c r="G53" i="38"/>
  <c r="G43" i="38"/>
  <c r="K12" i="38"/>
  <c r="J6" i="38"/>
  <c r="K6" i="38"/>
  <c r="J11" i="38"/>
  <c r="K11" i="38"/>
  <c r="J13" i="38"/>
  <c r="E42" i="38"/>
  <c r="F42" i="38"/>
  <c r="K55" i="38"/>
  <c r="K26" i="38"/>
  <c r="K47" i="38"/>
  <c r="J39" i="38"/>
  <c r="K31" i="38"/>
  <c r="K48" i="38"/>
  <c r="E10" i="38"/>
  <c r="D82" i="37"/>
  <c r="G7" i="38"/>
  <c r="F7" i="38"/>
  <c r="E7" i="38"/>
  <c r="E15" i="38"/>
  <c r="G15" i="38"/>
  <c r="F15" i="38"/>
  <c r="E17" i="38"/>
  <c r="F17" i="38"/>
  <c r="G17" i="38"/>
  <c r="J25" i="38"/>
  <c r="K25" i="38"/>
  <c r="G31" i="38"/>
  <c r="E31" i="38"/>
  <c r="F31" i="38"/>
  <c r="E33" i="38"/>
  <c r="G33" i="38"/>
  <c r="F33" i="38"/>
  <c r="J41" i="38"/>
  <c r="K41" i="38"/>
  <c r="E47" i="38"/>
  <c r="G47" i="38"/>
  <c r="F47" i="38"/>
  <c r="E49" i="38"/>
  <c r="G49" i="38"/>
  <c r="F49" i="38"/>
  <c r="J7" i="38"/>
  <c r="K7" i="38"/>
  <c r="G22" i="38"/>
  <c r="F22" i="38"/>
  <c r="E22" i="38"/>
  <c r="G12" i="38"/>
  <c r="F12" i="38"/>
  <c r="E12" i="38"/>
  <c r="J23" i="38"/>
  <c r="K23" i="38"/>
  <c r="G38" i="38"/>
  <c r="F38" i="38"/>
  <c r="E38" i="38"/>
  <c r="G28" i="38"/>
  <c r="F28" i="38"/>
  <c r="E28" i="38"/>
  <c r="F20" i="38"/>
  <c r="E20" i="38"/>
  <c r="G20" i="38"/>
  <c r="G54" i="38"/>
  <c r="F54" i="38"/>
  <c r="E54" i="38"/>
  <c r="G44" i="38"/>
  <c r="F44" i="38"/>
  <c r="E44" i="38"/>
  <c r="F36" i="38"/>
  <c r="E36" i="38"/>
  <c r="G36" i="38"/>
  <c r="G39" i="38"/>
  <c r="F39" i="38"/>
  <c r="E39" i="38"/>
  <c r="J9" i="38"/>
  <c r="K9" i="38"/>
  <c r="E16" i="38"/>
  <c r="G16" i="38"/>
  <c r="F16" i="38"/>
  <c r="E18" i="38"/>
  <c r="G18" i="38"/>
  <c r="F18" i="38"/>
  <c r="F52" i="38"/>
  <c r="E52" i="38"/>
  <c r="G52" i="38"/>
  <c r="G55" i="38"/>
  <c r="F55" i="38"/>
  <c r="E55" i="38"/>
  <c r="E32" i="38"/>
  <c r="G32" i="38"/>
  <c r="F32" i="38"/>
  <c r="E34" i="38"/>
  <c r="G34" i="38"/>
  <c r="F34" i="38"/>
  <c r="E14" i="38"/>
  <c r="G14" i="38"/>
  <c r="F14" i="38"/>
  <c r="E48" i="38"/>
  <c r="G48" i="38"/>
  <c r="F48" i="38"/>
  <c r="F50" i="38"/>
  <c r="E50" i="38"/>
  <c r="G50" i="38"/>
  <c r="G13" i="38"/>
  <c r="F13" i="38"/>
  <c r="E13" i="38"/>
  <c r="E30" i="38"/>
  <c r="G30" i="38"/>
  <c r="F30" i="38"/>
  <c r="G29" i="38"/>
  <c r="F29" i="38"/>
  <c r="E29" i="38"/>
  <c r="E46" i="38"/>
  <c r="G46" i="38"/>
  <c r="F46" i="38"/>
  <c r="J8" i="38"/>
  <c r="K8" i="38"/>
  <c r="G45" i="38"/>
  <c r="F45" i="38"/>
  <c r="E45" i="38"/>
  <c r="F19" i="38"/>
  <c r="E19" i="38"/>
  <c r="G19" i="38"/>
  <c r="J24" i="38"/>
  <c r="K24" i="38"/>
  <c r="F35" i="38"/>
  <c r="E35" i="38"/>
  <c r="G35" i="38"/>
  <c r="K40" i="38"/>
  <c r="J40" i="38"/>
  <c r="F51" i="38"/>
  <c r="E51" i="38"/>
  <c r="G51" i="38"/>
  <c r="J56" i="38"/>
  <c r="K56" i="38"/>
  <c r="F69" i="30"/>
  <c r="E82" i="37"/>
  <c r="F82" i="37"/>
  <c r="D97" i="37"/>
  <c r="F56" i="37"/>
  <c r="D58" i="37" s="1"/>
  <c r="F60" i="37"/>
  <c r="F57" i="37"/>
  <c r="D59" i="37" s="1"/>
  <c r="D87" i="30"/>
  <c r="D88" i="30" s="1"/>
  <c r="D92" i="30" s="1"/>
  <c r="F91" i="30"/>
  <c r="D91" i="35"/>
  <c r="F87" i="35"/>
  <c r="F88" i="35" s="1"/>
  <c r="F92" i="35" s="1"/>
  <c r="D71" i="37"/>
  <c r="F73" i="37" s="1"/>
  <c r="D70" i="37"/>
  <c r="F72" i="37" s="1"/>
  <c r="D60" i="30"/>
  <c r="D69" i="30" s="1"/>
  <c r="E57" i="37"/>
  <c r="E59" i="37" s="1"/>
  <c r="E58" i="37"/>
  <c r="E60" i="37"/>
  <c r="E71" i="37"/>
  <c r="E73" i="37" s="1"/>
  <c r="E70" i="37"/>
  <c r="E72" i="37" s="1"/>
  <c r="D68" i="37"/>
  <c r="D85" i="37"/>
  <c r="F87" i="37" s="1"/>
  <c r="D84" i="37"/>
  <c r="F86" i="37" s="1"/>
  <c r="D88" i="37"/>
  <c r="E68" i="37"/>
  <c r="F53" i="35"/>
  <c r="F69" i="35" s="1"/>
  <c r="D10" i="35"/>
  <c r="D85" i="35" s="1"/>
  <c r="D86" i="35" s="1"/>
  <c r="F72" i="30"/>
  <c r="F73" i="30" s="1"/>
  <c r="F70" i="30"/>
  <c r="F71" i="30" s="1"/>
  <c r="D76" i="30" s="1"/>
  <c r="D55" i="37"/>
  <c r="E84" i="37"/>
  <c r="E86" i="37" s="1"/>
  <c r="E88" i="37"/>
  <c r="E85" i="37"/>
  <c r="E87" i="37" s="1"/>
  <c r="E55" i="37"/>
  <c r="E69" i="37"/>
  <c r="F68" i="37"/>
  <c r="F54" i="37"/>
  <c r="F87" i="30"/>
  <c r="F88" i="30" s="1"/>
  <c r="F92" i="30" s="1"/>
  <c r="D91" i="30"/>
  <c r="F55" i="37"/>
  <c r="F70" i="37"/>
  <c r="D72" i="37" s="1"/>
  <c r="D54" i="37"/>
  <c r="F69" i="37"/>
  <c r="F84" i="37"/>
  <c r="D86" i="37" s="1"/>
  <c r="F88" i="37"/>
  <c r="F85" i="37"/>
  <c r="D87" i="37" s="1"/>
  <c r="D60" i="37" l="1"/>
  <c r="D61" i="37"/>
  <c r="D62" i="37" s="1"/>
  <c r="D75" i="37"/>
  <c r="D76" i="37" s="1"/>
  <c r="D74" i="37"/>
  <c r="D56" i="37"/>
  <c r="F58" i="37" s="1"/>
  <c r="D57" i="37"/>
  <c r="F59" i="37" s="1"/>
  <c r="F97" i="37"/>
  <c r="D92" i="37"/>
  <c r="P11" i="38"/>
  <c r="W11" i="38" s="1"/>
  <c r="O11" i="38"/>
  <c r="V11" i="38" s="1"/>
  <c r="Q11" i="38"/>
  <c r="X11" i="38" s="1"/>
  <c r="R11" i="38"/>
  <c r="Y11" i="38" s="1"/>
  <c r="S11" i="38"/>
  <c r="Z11" i="38" s="1"/>
  <c r="T11" i="38"/>
  <c r="AA11" i="38" s="1"/>
  <c r="U11" i="38"/>
  <c r="AB11" i="38" s="1"/>
  <c r="AG9" i="38"/>
  <c r="AO9" i="38"/>
  <c r="AE9" i="38"/>
  <c r="AM9" i="38"/>
  <c r="AF9" i="38"/>
  <c r="AN9" i="38"/>
  <c r="AP9" i="38"/>
  <c r="AH9" i="38"/>
  <c r="AQ9" i="38"/>
  <c r="AI9" i="38"/>
  <c r="AL9" i="38"/>
  <c r="AD9" i="38"/>
  <c r="Q10" i="38"/>
  <c r="X10" i="38" s="1"/>
  <c r="U10" i="38"/>
  <c r="AB10" i="38" s="1"/>
  <c r="T10" i="38"/>
  <c r="AA10" i="38" s="1"/>
  <c r="P10" i="38"/>
  <c r="W10" i="38" s="1"/>
  <c r="R10" i="38"/>
  <c r="Y10" i="38" s="1"/>
  <c r="O10" i="38"/>
  <c r="V10" i="38" s="1"/>
  <c r="S10" i="38"/>
  <c r="Z10" i="38" s="1"/>
  <c r="AK9" i="38"/>
  <c r="AC9" i="38"/>
  <c r="D70" i="30"/>
  <c r="D71" i="30" s="1"/>
  <c r="D72" i="30"/>
  <c r="D73" i="30" s="1"/>
  <c r="F72" i="35"/>
  <c r="F73" i="35" s="1"/>
  <c r="F70" i="35"/>
  <c r="F71" i="35" s="1"/>
  <c r="D76" i="35" s="1"/>
  <c r="D60" i="35"/>
  <c r="D69" i="35" s="1"/>
  <c r="F96" i="37"/>
  <c r="F95" i="37"/>
  <c r="D78" i="30"/>
  <c r="F74" i="30"/>
  <c r="F75" i="30" s="1"/>
  <c r="F79" i="30" s="1"/>
  <c r="D87" i="35"/>
  <c r="D88" i="35" s="1"/>
  <c r="D92" i="35" s="1"/>
  <c r="F91" i="35"/>
  <c r="E97" i="37"/>
  <c r="D77" i="30"/>
  <c r="F80" i="30" s="1"/>
  <c r="F76" i="30"/>
  <c r="F77" i="30" s="1"/>
  <c r="D80" i="30" s="1"/>
  <c r="D95" i="37"/>
  <c r="D96" i="37"/>
  <c r="AI11" i="38" l="1"/>
  <c r="AQ11" i="38"/>
  <c r="AH11" i="38"/>
  <c r="AP11" i="38"/>
  <c r="AG11" i="38"/>
  <c r="AO11" i="38"/>
  <c r="AF11" i="38"/>
  <c r="AN11" i="38"/>
  <c r="AE11" i="38"/>
  <c r="AM11" i="38"/>
  <c r="AK11" i="38"/>
  <c r="AC11" i="38"/>
  <c r="AD11" i="38"/>
  <c r="AL11" i="38"/>
  <c r="AM10" i="38"/>
  <c r="AE10" i="38"/>
  <c r="AH10" i="38"/>
  <c r="AP10" i="38"/>
  <c r="N12" i="38"/>
  <c r="AG10" i="38"/>
  <c r="AO10" i="38"/>
  <c r="AC10" i="38"/>
  <c r="AK10" i="38"/>
  <c r="AF10" i="38"/>
  <c r="AN10" i="38"/>
  <c r="AQ10" i="38"/>
  <c r="AI10" i="38"/>
  <c r="AL10" i="38"/>
  <c r="AD10" i="38"/>
  <c r="D72" i="35"/>
  <c r="D73" i="35" s="1"/>
  <c r="D70" i="35"/>
  <c r="D71" i="35" s="1"/>
  <c r="D77" i="35"/>
  <c r="F80" i="35" s="1"/>
  <c r="F76" i="35"/>
  <c r="F77" i="35" s="1"/>
  <c r="D80" i="35" s="1"/>
  <c r="D78" i="35"/>
  <c r="F74" i="35"/>
  <c r="F75" i="35" s="1"/>
  <c r="F79" i="35" s="1"/>
  <c r="E95" i="37"/>
  <c r="E96" i="37"/>
  <c r="D74" i="30"/>
  <c r="D75" i="30" s="1"/>
  <c r="D79" i="30" s="1"/>
  <c r="F78" i="30"/>
  <c r="N13" i="38" l="1"/>
  <c r="Q12" i="38"/>
  <c r="X12" i="38" s="1"/>
  <c r="P12" i="38"/>
  <c r="W12" i="38" s="1"/>
  <c r="U12" i="38"/>
  <c r="AB12" i="38" s="1"/>
  <c r="S12" i="38"/>
  <c r="Z12" i="38" s="1"/>
  <c r="O12" i="38"/>
  <c r="V12" i="38" s="1"/>
  <c r="T12" i="38"/>
  <c r="AA12" i="38" s="1"/>
  <c r="R12" i="38"/>
  <c r="Y12" i="38" s="1"/>
  <c r="F78" i="35"/>
  <c r="D74" i="35"/>
  <c r="D75" i="35" s="1"/>
  <c r="D79" i="35" s="1"/>
  <c r="AM12" i="38" l="1"/>
  <c r="AE12" i="38"/>
  <c r="AF12" i="38"/>
  <c r="AN12" i="38"/>
  <c r="AC12" i="38"/>
  <c r="AK12" i="38"/>
  <c r="AG12" i="38"/>
  <c r="AO12" i="38"/>
  <c r="AQ12" i="38"/>
  <c r="AI12" i="38"/>
  <c r="N14" i="38"/>
  <c r="R13" i="38"/>
  <c r="Y13" i="38" s="1"/>
  <c r="U13" i="38"/>
  <c r="AB13" i="38" s="1"/>
  <c r="T13" i="38"/>
  <c r="AA13" i="38" s="1"/>
  <c r="O13" i="38"/>
  <c r="V13" i="38" s="1"/>
  <c r="P13" i="38"/>
  <c r="W13" i="38" s="1"/>
  <c r="S13" i="38"/>
  <c r="Z13" i="38" s="1"/>
  <c r="Q13" i="38"/>
  <c r="X13" i="38" s="1"/>
  <c r="AH12" i="38"/>
  <c r="AP12" i="38"/>
  <c r="AL12" i="38"/>
  <c r="AD12" i="38"/>
  <c r="AC13" i="38" l="1"/>
  <c r="AK13" i="38"/>
  <c r="AN13" i="38"/>
  <c r="AF13" i="38"/>
  <c r="AH13" i="38"/>
  <c r="AP13" i="38"/>
  <c r="N15" i="38"/>
  <c r="Q14" i="38"/>
  <c r="X14" i="38" s="1"/>
  <c r="P14" i="38"/>
  <c r="W14" i="38" s="1"/>
  <c r="O14" i="38"/>
  <c r="V14" i="38" s="1"/>
  <c r="T14" i="38"/>
  <c r="AA14" i="38" s="1"/>
  <c r="U14" i="38"/>
  <c r="AB14" i="38" s="1"/>
  <c r="S14" i="38"/>
  <c r="Z14" i="38" s="1"/>
  <c r="R14" i="38"/>
  <c r="Y14" i="38" s="1"/>
  <c r="AL13" i="38"/>
  <c r="AD13" i="38"/>
  <c r="AM13" i="38"/>
  <c r="AE13" i="38"/>
  <c r="AI13" i="38"/>
  <c r="AQ13" i="38"/>
  <c r="AG13" i="38"/>
  <c r="AO13" i="38"/>
  <c r="AI14" i="38" l="1"/>
  <c r="AQ14" i="38"/>
  <c r="AG14" i="38"/>
  <c r="AO14" i="38"/>
  <c r="N16" i="38"/>
  <c r="R15" i="38"/>
  <c r="Y15" i="38" s="1"/>
  <c r="Q15" i="38"/>
  <c r="X15" i="38" s="1"/>
  <c r="T15" i="38"/>
  <c r="AA15" i="38" s="1"/>
  <c r="S15" i="38"/>
  <c r="Z15" i="38" s="1"/>
  <c r="P15" i="38"/>
  <c r="W15" i="38" s="1"/>
  <c r="O15" i="38"/>
  <c r="V15" i="38" s="1"/>
  <c r="U15" i="38"/>
  <c r="AB15" i="38" s="1"/>
  <c r="AN14" i="38"/>
  <c r="AF14" i="38"/>
  <c r="AH14" i="38"/>
  <c r="AP14" i="38"/>
  <c r="AM14" i="38"/>
  <c r="AE14" i="38"/>
  <c r="AC14" i="38"/>
  <c r="AK14" i="38"/>
  <c r="AD14" i="38"/>
  <c r="AL14" i="38"/>
  <c r="AI15" i="38" l="1"/>
  <c r="AQ15" i="38"/>
  <c r="AC15" i="38"/>
  <c r="AK15" i="38"/>
  <c r="AD15" i="38"/>
  <c r="AL15" i="38"/>
  <c r="AG15" i="38"/>
  <c r="AO15" i="38"/>
  <c r="AH15" i="38"/>
  <c r="AP15" i="38"/>
  <c r="AM15" i="38"/>
  <c r="AE15" i="38"/>
  <c r="AN15" i="38"/>
  <c r="AF15" i="38"/>
  <c r="N17" i="38"/>
  <c r="S16" i="38"/>
  <c r="Z16" i="38" s="1"/>
  <c r="U16" i="38"/>
  <c r="AB16" i="38" s="1"/>
  <c r="T16" i="38"/>
  <c r="AA16" i="38" s="1"/>
  <c r="P16" i="38"/>
  <c r="W16" i="38" s="1"/>
  <c r="O16" i="38"/>
  <c r="V16" i="38" s="1"/>
  <c r="Q16" i="38"/>
  <c r="X16" i="38" s="1"/>
  <c r="R16" i="38"/>
  <c r="Y16" i="38" s="1"/>
  <c r="AO16" i="38" l="1"/>
  <c r="AG16" i="38"/>
  <c r="N18" i="38"/>
  <c r="R17" i="38"/>
  <c r="Y17" i="38" s="1"/>
  <c r="Q17" i="38"/>
  <c r="X17" i="38" s="1"/>
  <c r="U17" i="38"/>
  <c r="AB17" i="38" s="1"/>
  <c r="S17" i="38"/>
  <c r="Z17" i="38" s="1"/>
  <c r="T17" i="38"/>
  <c r="AA17" i="38" s="1"/>
  <c r="P17" i="38"/>
  <c r="W17" i="38" s="1"/>
  <c r="O17" i="38"/>
  <c r="V17" i="38" s="1"/>
  <c r="AK16" i="38"/>
  <c r="AC16" i="38"/>
  <c r="AD16" i="38"/>
  <c r="AL16" i="38"/>
  <c r="AN16" i="38"/>
  <c r="AF16" i="38"/>
  <c r="AH16" i="38"/>
  <c r="AP16" i="38"/>
  <c r="AM16" i="38"/>
  <c r="AE16" i="38"/>
  <c r="AI16" i="38"/>
  <c r="AQ16" i="38"/>
  <c r="AO17" i="38" l="1"/>
  <c r="AG17" i="38"/>
  <c r="AD17" i="38"/>
  <c r="AL17" i="38"/>
  <c r="AK17" i="38"/>
  <c r="AC17" i="38"/>
  <c r="AE17" i="38"/>
  <c r="AM17" i="38"/>
  <c r="AH17" i="38"/>
  <c r="AP17" i="38"/>
  <c r="AN17" i="38"/>
  <c r="AF17" i="38"/>
  <c r="AI17" i="38"/>
  <c r="AQ17" i="38"/>
  <c r="N19" i="38"/>
  <c r="S18" i="38"/>
  <c r="Z18" i="38" s="1"/>
  <c r="R18" i="38"/>
  <c r="Y18" i="38" s="1"/>
  <c r="U18" i="38"/>
  <c r="AB18" i="38" s="1"/>
  <c r="Q18" i="38"/>
  <c r="X18" i="38" s="1"/>
  <c r="P18" i="38"/>
  <c r="W18" i="38" s="1"/>
  <c r="O18" i="38"/>
  <c r="V18" i="38" s="1"/>
  <c r="T18" i="38"/>
  <c r="AA18" i="38" s="1"/>
  <c r="N20" i="38" l="1"/>
  <c r="T19" i="38"/>
  <c r="AA19" i="38" s="1"/>
  <c r="U19" i="38"/>
  <c r="AB19" i="38" s="1"/>
  <c r="S19" i="38"/>
  <c r="Z19" i="38" s="1"/>
  <c r="Q19" i="38"/>
  <c r="X19" i="38" s="1"/>
  <c r="R19" i="38"/>
  <c r="Y19" i="38" s="1"/>
  <c r="O19" i="38"/>
  <c r="V19" i="38" s="1"/>
  <c r="P19" i="38"/>
  <c r="W19" i="38" s="1"/>
  <c r="AO18" i="38"/>
  <c r="AG18" i="38"/>
  <c r="AP18" i="38"/>
  <c r="AH18" i="38"/>
  <c r="AD18" i="38"/>
  <c r="AL18" i="38"/>
  <c r="AC18" i="38"/>
  <c r="AK18" i="38"/>
  <c r="AI18" i="38"/>
  <c r="AQ18" i="38"/>
  <c r="AE18" i="38"/>
  <c r="AM18" i="38"/>
  <c r="AN18" i="38"/>
  <c r="AF18" i="38"/>
  <c r="AC19" i="38" l="1"/>
  <c r="AK19" i="38"/>
  <c r="AN19" i="38"/>
  <c r="AF19" i="38"/>
  <c r="AE19" i="38"/>
  <c r="AM19" i="38"/>
  <c r="AD19" i="38"/>
  <c r="AL19" i="38"/>
  <c r="AO19" i="38"/>
  <c r="AG19" i="38"/>
  <c r="AI19" i="38"/>
  <c r="AQ19" i="38"/>
  <c r="AP19" i="38"/>
  <c r="AH19" i="38"/>
  <c r="N21" i="38"/>
  <c r="T20" i="38"/>
  <c r="AA20" i="38" s="1"/>
  <c r="S20" i="38"/>
  <c r="Z20" i="38" s="1"/>
  <c r="R20" i="38"/>
  <c r="Y20" i="38" s="1"/>
  <c r="U20" i="38"/>
  <c r="AB20" i="38" s="1"/>
  <c r="Q20" i="38"/>
  <c r="X20" i="38" s="1"/>
  <c r="O20" i="38"/>
  <c r="V20" i="38" s="1"/>
  <c r="P20" i="38"/>
  <c r="W20" i="38" s="1"/>
  <c r="AD20" i="38" l="1"/>
  <c r="AL20" i="38"/>
  <c r="N22" i="38"/>
  <c r="T21" i="38"/>
  <c r="AA21" i="38" s="1"/>
  <c r="S21" i="38"/>
  <c r="Z21" i="38" s="1"/>
  <c r="R21" i="38"/>
  <c r="Y21" i="38" s="1"/>
  <c r="Q21" i="38"/>
  <c r="X21" i="38" s="1"/>
  <c r="P21" i="38"/>
  <c r="W21" i="38" s="1"/>
  <c r="O21" i="38"/>
  <c r="V21" i="38" s="1"/>
  <c r="U21" i="38"/>
  <c r="AB21" i="38" s="1"/>
  <c r="AE20" i="38"/>
  <c r="AM20" i="38"/>
  <c r="AI20" i="38"/>
  <c r="AQ20" i="38"/>
  <c r="AF20" i="38"/>
  <c r="AN20" i="38"/>
  <c r="AP20" i="38"/>
  <c r="AH20" i="38"/>
  <c r="AK20" i="38"/>
  <c r="AC20" i="38"/>
  <c r="AO20" i="38"/>
  <c r="AG20" i="38"/>
  <c r="AQ21" i="38" l="1"/>
  <c r="AI21" i="38"/>
  <c r="AF21" i="38"/>
  <c r="AN21" i="38"/>
  <c r="AO21" i="38"/>
  <c r="AG21" i="38"/>
  <c r="AP21" i="38"/>
  <c r="AH21" i="38"/>
  <c r="AE21" i="38"/>
  <c r="AM21" i="38"/>
  <c r="AK21" i="38"/>
  <c r="AC21" i="38"/>
  <c r="AD21" i="38"/>
  <c r="AL21" i="38"/>
  <c r="N23" i="38"/>
  <c r="U22" i="38"/>
  <c r="AB22" i="38" s="1"/>
  <c r="S22" i="38"/>
  <c r="Z22" i="38" s="1"/>
  <c r="R22" i="38"/>
  <c r="Y22" i="38" s="1"/>
  <c r="O22" i="38"/>
  <c r="V22" i="38" s="1"/>
  <c r="Q22" i="38"/>
  <c r="X22" i="38" s="1"/>
  <c r="P22" i="38"/>
  <c r="W22" i="38" s="1"/>
  <c r="T22" i="38"/>
  <c r="AA22" i="38" s="1"/>
  <c r="AQ22" i="38" l="1"/>
  <c r="AI22" i="38"/>
  <c r="N24" i="38"/>
  <c r="U23" i="38"/>
  <c r="AB23" i="38" s="1"/>
  <c r="T23" i="38"/>
  <c r="AA23" i="38" s="1"/>
  <c r="S23" i="38"/>
  <c r="Z23" i="38" s="1"/>
  <c r="R23" i="38"/>
  <c r="Y23" i="38" s="1"/>
  <c r="P23" i="38"/>
  <c r="W23" i="38" s="1"/>
  <c r="Q23" i="38"/>
  <c r="X23" i="38" s="1"/>
  <c r="O23" i="38"/>
  <c r="V23" i="38" s="1"/>
  <c r="AL22" i="38"/>
  <c r="AD22" i="38"/>
  <c r="AP22" i="38"/>
  <c r="AH22" i="38"/>
  <c r="AK22" i="38"/>
  <c r="AC22" i="38"/>
  <c r="AE22" i="38"/>
  <c r="AM22" i="38"/>
  <c r="AF22" i="38"/>
  <c r="AN22" i="38"/>
  <c r="AO22" i="38"/>
  <c r="AG22" i="38"/>
  <c r="AK23" i="38" l="1"/>
  <c r="AC23" i="38"/>
  <c r="AG23" i="38"/>
  <c r="AO23" i="38"/>
  <c r="AE23" i="38"/>
  <c r="AM23" i="38"/>
  <c r="AL23" i="38"/>
  <c r="AD23" i="38"/>
  <c r="AP23" i="38"/>
  <c r="AH23" i="38"/>
  <c r="AF23" i="38"/>
  <c r="AN23" i="38"/>
  <c r="AQ23" i="38"/>
  <c r="AI23" i="38"/>
  <c r="N25" i="38"/>
  <c r="U24" i="38"/>
  <c r="AB24" i="38" s="1"/>
  <c r="T24" i="38"/>
  <c r="AA24" i="38" s="1"/>
  <c r="S24" i="38"/>
  <c r="Z24" i="38" s="1"/>
  <c r="R24" i="38"/>
  <c r="Y24" i="38" s="1"/>
  <c r="Q24" i="38"/>
  <c r="X24" i="38" s="1"/>
  <c r="P24" i="38"/>
  <c r="W24" i="38" s="1"/>
  <c r="O24" i="38"/>
  <c r="V24" i="38" s="1"/>
  <c r="AL24" i="38" l="1"/>
  <c r="AD24" i="38"/>
  <c r="AK24" i="38"/>
  <c r="AC24" i="38"/>
  <c r="AF24" i="38"/>
  <c r="AN24" i="38"/>
  <c r="AQ24" i="38"/>
  <c r="AI24" i="38"/>
  <c r="AG24" i="38"/>
  <c r="AO24" i="38"/>
  <c r="N26" i="38"/>
  <c r="P25" i="38"/>
  <c r="W25" i="38" s="1"/>
  <c r="T25" i="38"/>
  <c r="AA25" i="38" s="1"/>
  <c r="R25" i="38"/>
  <c r="Y25" i="38" s="1"/>
  <c r="S25" i="38"/>
  <c r="Z25" i="38" s="1"/>
  <c r="Q25" i="38"/>
  <c r="X25" i="38" s="1"/>
  <c r="U25" i="38"/>
  <c r="AB25" i="38" s="1"/>
  <c r="O25" i="38"/>
  <c r="V25" i="38" s="1"/>
  <c r="AE24" i="38"/>
  <c r="AM24" i="38"/>
  <c r="AP24" i="38"/>
  <c r="AH24" i="38"/>
  <c r="AG25" i="38" l="1"/>
  <c r="AO25" i="38"/>
  <c r="AL25" i="38"/>
  <c r="AD25" i="38"/>
  <c r="AF25" i="38"/>
  <c r="AN25" i="38"/>
  <c r="AE25" i="38"/>
  <c r="AM25" i="38"/>
  <c r="AP25" i="38"/>
  <c r="AH25" i="38"/>
  <c r="N27" i="38"/>
  <c r="Q26" i="38"/>
  <c r="X26" i="38" s="1"/>
  <c r="U26" i="38"/>
  <c r="AB26" i="38" s="1"/>
  <c r="T26" i="38"/>
  <c r="AA26" i="38" s="1"/>
  <c r="S26" i="38"/>
  <c r="Z26" i="38" s="1"/>
  <c r="R26" i="38"/>
  <c r="Y26" i="38" s="1"/>
  <c r="P26" i="38"/>
  <c r="W26" i="38" s="1"/>
  <c r="O26" i="38"/>
  <c r="V26" i="38" s="1"/>
  <c r="AK25" i="38"/>
  <c r="AC25" i="38"/>
  <c r="AQ25" i="38"/>
  <c r="AI25" i="38"/>
  <c r="AF26" i="38" l="1"/>
  <c r="AN26" i="38"/>
  <c r="AH26" i="38"/>
  <c r="AP26" i="38"/>
  <c r="N28" i="38"/>
  <c r="P27" i="38"/>
  <c r="W27" i="38" s="1"/>
  <c r="U27" i="38"/>
  <c r="AB27" i="38" s="1"/>
  <c r="Q27" i="38"/>
  <c r="X27" i="38" s="1"/>
  <c r="O27" i="38"/>
  <c r="V27" i="38" s="1"/>
  <c r="S27" i="38"/>
  <c r="Z27" i="38" s="1"/>
  <c r="R27" i="38"/>
  <c r="Y27" i="38" s="1"/>
  <c r="T27" i="38"/>
  <c r="AA27" i="38" s="1"/>
  <c r="AQ26" i="38"/>
  <c r="AI26" i="38"/>
  <c r="AM26" i="38"/>
  <c r="AE26" i="38"/>
  <c r="AC26" i="38"/>
  <c r="AK26" i="38"/>
  <c r="AG26" i="38"/>
  <c r="AO26" i="38"/>
  <c r="AL26" i="38"/>
  <c r="AD26" i="38"/>
  <c r="AF27" i="38" l="1"/>
  <c r="AN27" i="38"/>
  <c r="AQ27" i="38"/>
  <c r="AI27" i="38"/>
  <c r="N29" i="38"/>
  <c r="Q28" i="38"/>
  <c r="X28" i="38" s="1"/>
  <c r="U28" i="38"/>
  <c r="AB28" i="38" s="1"/>
  <c r="S28" i="38"/>
  <c r="Z28" i="38" s="1"/>
  <c r="O28" i="38"/>
  <c r="V28" i="38" s="1"/>
  <c r="R28" i="38"/>
  <c r="Y28" i="38" s="1"/>
  <c r="T28" i="38"/>
  <c r="AA28" i="38" s="1"/>
  <c r="P28" i="38"/>
  <c r="W28" i="38" s="1"/>
  <c r="AC27" i="38"/>
  <c r="AK27" i="38"/>
  <c r="AG27" i="38"/>
  <c r="AO27" i="38"/>
  <c r="AM27" i="38"/>
  <c r="AE27" i="38"/>
  <c r="AH27" i="38"/>
  <c r="AP27" i="38"/>
  <c r="AL27" i="38"/>
  <c r="AD27" i="38"/>
  <c r="AL28" i="38" l="1"/>
  <c r="AD28" i="38"/>
  <c r="AH28" i="38"/>
  <c r="AP28" i="38"/>
  <c r="AC28" i="38"/>
  <c r="AK28" i="38"/>
  <c r="AG28" i="38"/>
  <c r="AO28" i="38"/>
  <c r="AQ28" i="38"/>
  <c r="AI28" i="38"/>
  <c r="AN28" i="38"/>
  <c r="AF28" i="38"/>
  <c r="AM28" i="38"/>
  <c r="AE28" i="38"/>
  <c r="N30" i="38"/>
  <c r="R29" i="38"/>
  <c r="Y29" i="38" s="1"/>
  <c r="U29" i="38"/>
  <c r="AB29" i="38" s="1"/>
  <c r="O29" i="38"/>
  <c r="V29" i="38" s="1"/>
  <c r="Q29" i="38"/>
  <c r="X29" i="38" s="1"/>
  <c r="P29" i="38"/>
  <c r="W29" i="38" s="1"/>
  <c r="S29" i="38"/>
  <c r="Z29" i="38" s="1"/>
  <c r="T29" i="38"/>
  <c r="AA29" i="38" s="1"/>
  <c r="AN29" i="38" l="1"/>
  <c r="AF29" i="38"/>
  <c r="AL29" i="38"/>
  <c r="AD29" i="38"/>
  <c r="AH29" i="38"/>
  <c r="AP29" i="38"/>
  <c r="AM29" i="38"/>
  <c r="AE29" i="38"/>
  <c r="AC29" i="38"/>
  <c r="AK29" i="38"/>
  <c r="N31" i="38"/>
  <c r="Q30" i="38"/>
  <c r="X30" i="38" s="1"/>
  <c r="P30" i="38"/>
  <c r="W30" i="38" s="1"/>
  <c r="O30" i="38"/>
  <c r="V30" i="38" s="1"/>
  <c r="U30" i="38"/>
  <c r="AB30" i="38" s="1"/>
  <c r="S30" i="38"/>
  <c r="Z30" i="38" s="1"/>
  <c r="R30" i="38"/>
  <c r="Y30" i="38" s="1"/>
  <c r="T30" i="38"/>
  <c r="AA30" i="38" s="1"/>
  <c r="AG29" i="38"/>
  <c r="AO29" i="38"/>
  <c r="AI29" i="38"/>
  <c r="AQ29" i="38"/>
  <c r="AI30" i="38" l="1"/>
  <c r="AQ30" i="38"/>
  <c r="AG30" i="38"/>
  <c r="AO30" i="38"/>
  <c r="AM30" i="38"/>
  <c r="AE30" i="38"/>
  <c r="AD30" i="38"/>
  <c r="AL30" i="38"/>
  <c r="N32" i="38"/>
  <c r="R31" i="38"/>
  <c r="Y31" i="38" s="1"/>
  <c r="Q31" i="38"/>
  <c r="X31" i="38" s="1"/>
  <c r="T31" i="38"/>
  <c r="AA31" i="38" s="1"/>
  <c r="U31" i="38"/>
  <c r="AB31" i="38" s="1"/>
  <c r="P31" i="38"/>
  <c r="W31" i="38" s="1"/>
  <c r="O31" i="38"/>
  <c r="V31" i="38" s="1"/>
  <c r="S31" i="38"/>
  <c r="Z31" i="38" s="1"/>
  <c r="AC30" i="38"/>
  <c r="AK30" i="38"/>
  <c r="AH30" i="38"/>
  <c r="AP30" i="38"/>
  <c r="AN30" i="38"/>
  <c r="AF30" i="38"/>
  <c r="AG31" i="38" l="1"/>
  <c r="AO31" i="38"/>
  <c r="AC31" i="38"/>
  <c r="AK31" i="38"/>
  <c r="AH31" i="38"/>
  <c r="AP31" i="38"/>
  <c r="AD31" i="38"/>
  <c r="AL31" i="38"/>
  <c r="N33" i="38"/>
  <c r="S32" i="38"/>
  <c r="Z32" i="38" s="1"/>
  <c r="U32" i="38"/>
  <c r="AB32" i="38" s="1"/>
  <c r="P32" i="38"/>
  <c r="W32" i="38" s="1"/>
  <c r="T32" i="38"/>
  <c r="AA32" i="38" s="1"/>
  <c r="R32" i="38"/>
  <c r="Y32" i="38" s="1"/>
  <c r="O32" i="38"/>
  <c r="V32" i="38" s="1"/>
  <c r="Q32" i="38"/>
  <c r="X32" i="38" s="1"/>
  <c r="AM31" i="38"/>
  <c r="AE31" i="38"/>
  <c r="AI31" i="38"/>
  <c r="AQ31" i="38"/>
  <c r="AN31" i="38"/>
  <c r="AF31" i="38"/>
  <c r="AM32" i="38" l="1"/>
  <c r="AE32" i="38"/>
  <c r="AK32" i="38"/>
  <c r="AC32" i="38"/>
  <c r="AO32" i="38"/>
  <c r="AG32" i="38"/>
  <c r="AN32" i="38"/>
  <c r="AF32" i="38"/>
  <c r="N34" i="38"/>
  <c r="R33" i="38"/>
  <c r="Y33" i="38" s="1"/>
  <c r="Q33" i="38"/>
  <c r="X33" i="38" s="1"/>
  <c r="U33" i="38"/>
  <c r="AB33" i="38" s="1"/>
  <c r="P33" i="38"/>
  <c r="W33" i="38" s="1"/>
  <c r="O33" i="38"/>
  <c r="V33" i="38" s="1"/>
  <c r="T33" i="38"/>
  <c r="AA33" i="38" s="1"/>
  <c r="S33" i="38"/>
  <c r="Z33" i="38" s="1"/>
  <c r="AH32" i="38"/>
  <c r="AP32" i="38"/>
  <c r="AI32" i="38"/>
  <c r="AQ32" i="38"/>
  <c r="AD32" i="38"/>
  <c r="AL32" i="38"/>
  <c r="AO33" i="38" l="1"/>
  <c r="AG33" i="38"/>
  <c r="AH33" i="38"/>
  <c r="AP33" i="38"/>
  <c r="AI33" i="38"/>
  <c r="AQ33" i="38"/>
  <c r="AN33" i="38"/>
  <c r="AF33" i="38"/>
  <c r="AD33" i="38"/>
  <c r="AL33" i="38"/>
  <c r="AK33" i="38"/>
  <c r="AC33" i="38"/>
  <c r="N35" i="38"/>
  <c r="S34" i="38"/>
  <c r="Z34" i="38" s="1"/>
  <c r="R34" i="38"/>
  <c r="Y34" i="38" s="1"/>
  <c r="U34" i="38"/>
  <c r="AB34" i="38" s="1"/>
  <c r="P34" i="38"/>
  <c r="W34" i="38" s="1"/>
  <c r="Q34" i="38"/>
  <c r="X34" i="38" s="1"/>
  <c r="O34" i="38"/>
  <c r="V34" i="38" s="1"/>
  <c r="T34" i="38"/>
  <c r="AA34" i="38" s="1"/>
  <c r="AE33" i="38"/>
  <c r="AM33" i="38"/>
  <c r="AN34" i="38" l="1"/>
  <c r="AF34" i="38"/>
  <c r="AO34" i="38"/>
  <c r="AG34" i="38"/>
  <c r="N36" i="38"/>
  <c r="T35" i="38"/>
  <c r="AA35" i="38" s="1"/>
  <c r="U35" i="38"/>
  <c r="AB35" i="38" s="1"/>
  <c r="P35" i="38"/>
  <c r="W35" i="38" s="1"/>
  <c r="R35" i="38"/>
  <c r="Y35" i="38" s="1"/>
  <c r="O35" i="38"/>
  <c r="V35" i="38" s="1"/>
  <c r="S35" i="38"/>
  <c r="Z35" i="38" s="1"/>
  <c r="Q35" i="38"/>
  <c r="X35" i="38" s="1"/>
  <c r="AC34" i="38"/>
  <c r="AK34" i="38"/>
  <c r="AE34" i="38"/>
  <c r="AM34" i="38"/>
  <c r="AI34" i="38"/>
  <c r="AQ34" i="38"/>
  <c r="AH34" i="38"/>
  <c r="AP34" i="38"/>
  <c r="AD34" i="38"/>
  <c r="AL34" i="38"/>
  <c r="AE35" i="38" l="1"/>
  <c r="AM35" i="38"/>
  <c r="AC35" i="38"/>
  <c r="AK35" i="38"/>
  <c r="AP35" i="38"/>
  <c r="AH35" i="38"/>
  <c r="AD35" i="38"/>
  <c r="AL35" i="38"/>
  <c r="N37" i="38"/>
  <c r="T36" i="38"/>
  <c r="AA36" i="38" s="1"/>
  <c r="S36" i="38"/>
  <c r="Z36" i="38" s="1"/>
  <c r="R36" i="38"/>
  <c r="Y36" i="38" s="1"/>
  <c r="U36" i="38"/>
  <c r="AB36" i="38" s="1"/>
  <c r="O36" i="38"/>
  <c r="V36" i="38" s="1"/>
  <c r="P36" i="38"/>
  <c r="W36" i="38" s="1"/>
  <c r="Q36" i="38"/>
  <c r="X36" i="38" s="1"/>
  <c r="AI35" i="38"/>
  <c r="AQ35" i="38"/>
  <c r="AN35" i="38"/>
  <c r="AF35" i="38"/>
  <c r="AO35" i="38"/>
  <c r="AG35" i="38"/>
  <c r="AE36" i="38" l="1"/>
  <c r="AM36" i="38"/>
  <c r="AD36" i="38"/>
  <c r="AL36" i="38"/>
  <c r="AF36" i="38"/>
  <c r="AN36" i="38"/>
  <c r="AO36" i="38"/>
  <c r="AG36" i="38"/>
  <c r="N38" i="38"/>
  <c r="T37" i="38"/>
  <c r="AA37" i="38" s="1"/>
  <c r="S37" i="38"/>
  <c r="Z37" i="38" s="1"/>
  <c r="O37" i="38"/>
  <c r="V37" i="38" s="1"/>
  <c r="Q37" i="38"/>
  <c r="X37" i="38" s="1"/>
  <c r="U37" i="38"/>
  <c r="AB37" i="38" s="1"/>
  <c r="P37" i="38"/>
  <c r="W37" i="38" s="1"/>
  <c r="R37" i="38"/>
  <c r="Y37" i="38" s="1"/>
  <c r="AK36" i="38"/>
  <c r="AC36" i="38"/>
  <c r="AI36" i="38"/>
  <c r="AQ36" i="38"/>
  <c r="AP36" i="38"/>
  <c r="AH36" i="38"/>
  <c r="AI37" i="38" l="1"/>
  <c r="AQ37" i="38"/>
  <c r="AF37" i="38"/>
  <c r="AN37" i="38"/>
  <c r="AO37" i="38"/>
  <c r="AG37" i="38"/>
  <c r="AK37" i="38"/>
  <c r="AC37" i="38"/>
  <c r="AE37" i="38"/>
  <c r="AM37" i="38"/>
  <c r="AD37" i="38"/>
  <c r="AL37" i="38"/>
  <c r="AP37" i="38"/>
  <c r="AH37" i="38"/>
  <c r="N39" i="38"/>
  <c r="U38" i="38"/>
  <c r="AB38" i="38" s="1"/>
  <c r="P38" i="38"/>
  <c r="W38" i="38" s="1"/>
  <c r="O38" i="38"/>
  <c r="V38" i="38" s="1"/>
  <c r="R38" i="38"/>
  <c r="Y38" i="38" s="1"/>
  <c r="S38" i="38"/>
  <c r="Z38" i="38" s="1"/>
  <c r="Q38" i="38"/>
  <c r="X38" i="38" s="1"/>
  <c r="T38" i="38"/>
  <c r="AA38" i="38" s="1"/>
  <c r="AQ38" i="38" l="1"/>
  <c r="AI38" i="38"/>
  <c r="AP38" i="38"/>
  <c r="AH38" i="38"/>
  <c r="N40" i="38"/>
  <c r="U39" i="38"/>
  <c r="AB39" i="38" s="1"/>
  <c r="T39" i="38"/>
  <c r="AA39" i="38" s="1"/>
  <c r="S39" i="38"/>
  <c r="Z39" i="38" s="1"/>
  <c r="Q39" i="38"/>
  <c r="X39" i="38" s="1"/>
  <c r="P39" i="38"/>
  <c r="W39" i="38" s="1"/>
  <c r="O39" i="38"/>
  <c r="V39" i="38" s="1"/>
  <c r="R39" i="38"/>
  <c r="Y39" i="38" s="1"/>
  <c r="AE38" i="38"/>
  <c r="AM38" i="38"/>
  <c r="AF38" i="38"/>
  <c r="AN38" i="38"/>
  <c r="AK38" i="38"/>
  <c r="AC38" i="38"/>
  <c r="AO38" i="38"/>
  <c r="AG38" i="38"/>
  <c r="AD38" i="38"/>
  <c r="AL38" i="38"/>
  <c r="AF39" i="38" l="1"/>
  <c r="AN39" i="38"/>
  <c r="AK39" i="38"/>
  <c r="AC39" i="38"/>
  <c r="AE39" i="38"/>
  <c r="AM39" i="38"/>
  <c r="N41" i="38"/>
  <c r="U40" i="38"/>
  <c r="AB40" i="38" s="1"/>
  <c r="T40" i="38"/>
  <c r="AA40" i="38" s="1"/>
  <c r="Q40" i="38"/>
  <c r="X40" i="38" s="1"/>
  <c r="O40" i="38"/>
  <c r="V40" i="38" s="1"/>
  <c r="P40" i="38"/>
  <c r="W40" i="38" s="1"/>
  <c r="S40" i="38"/>
  <c r="Z40" i="38" s="1"/>
  <c r="R40" i="38"/>
  <c r="Y40" i="38" s="1"/>
  <c r="AG39" i="38"/>
  <c r="AO39" i="38"/>
  <c r="AL39" i="38"/>
  <c r="AD39" i="38"/>
  <c r="AQ39" i="38"/>
  <c r="AI39" i="38"/>
  <c r="AP39" i="38"/>
  <c r="AH39" i="38"/>
  <c r="AG40" i="38" l="1"/>
  <c r="AO40" i="38"/>
  <c r="AF40" i="38"/>
  <c r="AN40" i="38"/>
  <c r="AE40" i="38"/>
  <c r="AM40" i="38"/>
  <c r="AP40" i="38"/>
  <c r="AH40" i="38"/>
  <c r="AK40" i="38"/>
  <c r="AC40" i="38"/>
  <c r="N42" i="38"/>
  <c r="T41" i="38"/>
  <c r="AA41" i="38" s="1"/>
  <c r="Q41" i="38"/>
  <c r="X41" i="38" s="1"/>
  <c r="P41" i="38"/>
  <c r="W41" i="38" s="1"/>
  <c r="U41" i="38"/>
  <c r="AB41" i="38" s="1"/>
  <c r="R41" i="38"/>
  <c r="Y41" i="38" s="1"/>
  <c r="S41" i="38"/>
  <c r="Z41" i="38" s="1"/>
  <c r="O41" i="38"/>
  <c r="V41" i="38" s="1"/>
  <c r="AL40" i="38"/>
  <c r="AD40" i="38"/>
  <c r="AQ40" i="38"/>
  <c r="AI40" i="38"/>
  <c r="AQ41" i="38" l="1"/>
  <c r="AI41" i="38"/>
  <c r="AP41" i="38"/>
  <c r="AH41" i="38"/>
  <c r="N43" i="38"/>
  <c r="U42" i="38"/>
  <c r="AB42" i="38" s="1"/>
  <c r="T42" i="38"/>
  <c r="AA42" i="38" s="1"/>
  <c r="O42" i="38"/>
  <c r="V42" i="38" s="1"/>
  <c r="Q42" i="38"/>
  <c r="X42" i="38" s="1"/>
  <c r="P42" i="38"/>
  <c r="W42" i="38" s="1"/>
  <c r="S42" i="38"/>
  <c r="Z42" i="38" s="1"/>
  <c r="R42" i="38"/>
  <c r="Y42" i="38" s="1"/>
  <c r="AL41" i="38"/>
  <c r="AD41" i="38"/>
  <c r="AF41" i="38"/>
  <c r="AN41" i="38"/>
  <c r="AK41" i="38"/>
  <c r="AC41" i="38"/>
  <c r="AM41" i="38"/>
  <c r="AE41" i="38"/>
  <c r="AG41" i="38"/>
  <c r="AO41" i="38"/>
  <c r="AF42" i="38" l="1"/>
  <c r="AN42" i="38"/>
  <c r="AG42" i="38"/>
  <c r="AO42" i="38"/>
  <c r="AC42" i="38"/>
  <c r="AK42" i="38"/>
  <c r="AL42" i="38"/>
  <c r="AD42" i="38"/>
  <c r="AM42" i="38"/>
  <c r="AE42" i="38"/>
  <c r="AQ42" i="38"/>
  <c r="AI42" i="38"/>
  <c r="AH42" i="38"/>
  <c r="AP42" i="38"/>
  <c r="N44" i="38"/>
  <c r="U43" i="38"/>
  <c r="AB43" i="38" s="1"/>
  <c r="R43" i="38"/>
  <c r="Y43" i="38" s="1"/>
  <c r="P43" i="38"/>
  <c r="W43" i="38" s="1"/>
  <c r="Q43" i="38"/>
  <c r="X43" i="38" s="1"/>
  <c r="T43" i="38"/>
  <c r="AA43" i="38" s="1"/>
  <c r="S43" i="38"/>
  <c r="Z43" i="38" s="1"/>
  <c r="O43" i="38"/>
  <c r="V43" i="38" s="1"/>
  <c r="N45" i="38" l="1"/>
  <c r="Q44" i="38"/>
  <c r="X44" i="38" s="1"/>
  <c r="U44" i="38"/>
  <c r="AB44" i="38" s="1"/>
  <c r="S44" i="38"/>
  <c r="Z44" i="38" s="1"/>
  <c r="O44" i="38"/>
  <c r="V44" i="38" s="1"/>
  <c r="R44" i="38"/>
  <c r="Y44" i="38" s="1"/>
  <c r="T44" i="38"/>
  <c r="AA44" i="38" s="1"/>
  <c r="P44" i="38"/>
  <c r="W44" i="38" s="1"/>
  <c r="AC43" i="38"/>
  <c r="AK43" i="38"/>
  <c r="AG43" i="38"/>
  <c r="AO43" i="38"/>
  <c r="AM43" i="38"/>
  <c r="AE43" i="38"/>
  <c r="AQ43" i="38"/>
  <c r="AI43" i="38"/>
  <c r="AL43" i="38"/>
  <c r="AD43" i="38"/>
  <c r="AH43" i="38"/>
  <c r="AP43" i="38"/>
  <c r="AF43" i="38"/>
  <c r="AN43" i="38"/>
  <c r="AL44" i="38" l="1"/>
  <c r="AD44" i="38"/>
  <c r="AH44" i="38"/>
  <c r="AP44" i="38"/>
  <c r="AF44" i="38"/>
  <c r="AN44" i="38"/>
  <c r="AC44" i="38"/>
  <c r="AK44" i="38"/>
  <c r="AG44" i="38"/>
  <c r="AO44" i="38"/>
  <c r="AQ44" i="38"/>
  <c r="AI44" i="38"/>
  <c r="AM44" i="38"/>
  <c r="AE44" i="38"/>
  <c r="N46" i="38"/>
  <c r="R45" i="38"/>
  <c r="Y45" i="38" s="1"/>
  <c r="U45" i="38"/>
  <c r="AB45" i="38" s="1"/>
  <c r="T45" i="38"/>
  <c r="AA45" i="38" s="1"/>
  <c r="S45" i="38"/>
  <c r="Z45" i="38" s="1"/>
  <c r="O45" i="38"/>
  <c r="V45" i="38" s="1"/>
  <c r="P45" i="38"/>
  <c r="W45" i="38" s="1"/>
  <c r="Q45" i="38"/>
  <c r="X45" i="38" s="1"/>
  <c r="AN45" i="38" l="1"/>
  <c r="AF45" i="38"/>
  <c r="AM45" i="38"/>
  <c r="AE45" i="38"/>
  <c r="N47" i="38"/>
  <c r="Q46" i="38"/>
  <c r="X46" i="38" s="1"/>
  <c r="R46" i="38"/>
  <c r="Y46" i="38" s="1"/>
  <c r="T46" i="38"/>
  <c r="AA46" i="38" s="1"/>
  <c r="S46" i="38"/>
  <c r="Z46" i="38" s="1"/>
  <c r="O46" i="38"/>
  <c r="V46" i="38" s="1"/>
  <c r="U46" i="38"/>
  <c r="AB46" i="38" s="1"/>
  <c r="P46" i="38"/>
  <c r="W46" i="38" s="1"/>
  <c r="AL45" i="38"/>
  <c r="AD45" i="38"/>
  <c r="AG45" i="38"/>
  <c r="AO45" i="38"/>
  <c r="AH45" i="38"/>
  <c r="AP45" i="38"/>
  <c r="AC45" i="38"/>
  <c r="AK45" i="38"/>
  <c r="AI45" i="38"/>
  <c r="AQ45" i="38"/>
  <c r="AD46" i="38" l="1"/>
  <c r="AL46" i="38"/>
  <c r="AI46" i="38"/>
  <c r="AQ46" i="38"/>
  <c r="AH46" i="38"/>
  <c r="AP46" i="38"/>
  <c r="N48" i="38"/>
  <c r="R47" i="38"/>
  <c r="Y47" i="38" s="1"/>
  <c r="Q47" i="38"/>
  <c r="X47" i="38" s="1"/>
  <c r="T47" i="38"/>
  <c r="AA47" i="38" s="1"/>
  <c r="P47" i="38"/>
  <c r="W47" i="38" s="1"/>
  <c r="S47" i="38"/>
  <c r="Z47" i="38" s="1"/>
  <c r="O47" i="38"/>
  <c r="V47" i="38" s="1"/>
  <c r="U47" i="38"/>
  <c r="AB47" i="38" s="1"/>
  <c r="AC46" i="38"/>
  <c r="AK46" i="38"/>
  <c r="AM46" i="38"/>
  <c r="AE46" i="38"/>
  <c r="AG46" i="38"/>
  <c r="AO46" i="38"/>
  <c r="AN46" i="38"/>
  <c r="AF46" i="38"/>
  <c r="AI47" i="38" l="1"/>
  <c r="AQ47" i="38"/>
  <c r="AC47" i="38"/>
  <c r="AK47" i="38"/>
  <c r="AD47" i="38"/>
  <c r="AL47" i="38"/>
  <c r="AM47" i="38"/>
  <c r="AE47" i="38"/>
  <c r="AH47" i="38"/>
  <c r="AP47" i="38"/>
  <c r="N49" i="38"/>
  <c r="S48" i="38"/>
  <c r="Z48" i="38" s="1"/>
  <c r="P48" i="38"/>
  <c r="W48" i="38" s="1"/>
  <c r="T48" i="38"/>
  <c r="AA48" i="38" s="1"/>
  <c r="R48" i="38"/>
  <c r="Y48" i="38" s="1"/>
  <c r="O48" i="38"/>
  <c r="V48" i="38" s="1"/>
  <c r="Q48" i="38"/>
  <c r="X48" i="38" s="1"/>
  <c r="U48" i="38"/>
  <c r="AB48" i="38" s="1"/>
  <c r="AG47" i="38"/>
  <c r="AO47" i="38"/>
  <c r="AN47" i="38"/>
  <c r="AF47" i="38"/>
  <c r="AK48" i="38" l="1"/>
  <c r="AC48" i="38"/>
  <c r="AD48" i="38"/>
  <c r="AL48" i="38"/>
  <c r="AN48" i="38"/>
  <c r="AF48" i="38"/>
  <c r="AH48" i="38"/>
  <c r="AP48" i="38"/>
  <c r="AI48" i="38"/>
  <c r="AQ48" i="38"/>
  <c r="AO48" i="38"/>
  <c r="AG48" i="38"/>
  <c r="N50" i="38"/>
  <c r="R49" i="38"/>
  <c r="Y49" i="38" s="1"/>
  <c r="Q49" i="38"/>
  <c r="X49" i="38" s="1"/>
  <c r="P49" i="38"/>
  <c r="W49" i="38" s="1"/>
  <c r="T49" i="38"/>
  <c r="AA49" i="38" s="1"/>
  <c r="S49" i="38"/>
  <c r="Z49" i="38" s="1"/>
  <c r="O49" i="38"/>
  <c r="V49" i="38" s="1"/>
  <c r="U49" i="38"/>
  <c r="AB49" i="38" s="1"/>
  <c r="AM48" i="38"/>
  <c r="AE48" i="38"/>
  <c r="AD49" i="38" l="1"/>
  <c r="AL49" i="38"/>
  <c r="AN49" i="38"/>
  <c r="AF49" i="38"/>
  <c r="N51" i="38"/>
  <c r="S50" i="38"/>
  <c r="Z50" i="38" s="1"/>
  <c r="R50" i="38"/>
  <c r="Y50" i="38" s="1"/>
  <c r="U50" i="38"/>
  <c r="AB50" i="38" s="1"/>
  <c r="P50" i="38"/>
  <c r="W50" i="38" s="1"/>
  <c r="T50" i="38"/>
  <c r="AA50" i="38" s="1"/>
  <c r="O50" i="38"/>
  <c r="V50" i="38" s="1"/>
  <c r="Q50" i="38"/>
  <c r="X50" i="38" s="1"/>
  <c r="AK49" i="38"/>
  <c r="AC49" i="38"/>
  <c r="AE49" i="38"/>
  <c r="AM49" i="38"/>
  <c r="AO49" i="38"/>
  <c r="AG49" i="38"/>
  <c r="AI49" i="38"/>
  <c r="AQ49" i="38"/>
  <c r="AH49" i="38"/>
  <c r="AP49" i="38"/>
  <c r="AP50" i="38" l="1"/>
  <c r="AH50" i="38"/>
  <c r="AD50" i="38"/>
  <c r="AL50" i="38"/>
  <c r="AC50" i="38"/>
  <c r="AK50" i="38"/>
  <c r="AI50" i="38"/>
  <c r="AQ50" i="38"/>
  <c r="AN50" i="38"/>
  <c r="AF50" i="38"/>
  <c r="AE50" i="38"/>
  <c r="AM50" i="38"/>
  <c r="AO50" i="38"/>
  <c r="AG50" i="38"/>
  <c r="N52" i="38"/>
  <c r="T51" i="38"/>
  <c r="AA51" i="38" s="1"/>
  <c r="O51" i="38"/>
  <c r="V51" i="38" s="1"/>
  <c r="Q51" i="38"/>
  <c r="X51" i="38" s="1"/>
  <c r="S51" i="38"/>
  <c r="Z51" i="38" s="1"/>
  <c r="R51" i="38"/>
  <c r="Y51" i="38" s="1"/>
  <c r="P51" i="38"/>
  <c r="W51" i="38" s="1"/>
  <c r="U51" i="38"/>
  <c r="AB51" i="38" s="1"/>
  <c r="AP51" i="38" l="1"/>
  <c r="AH51" i="38"/>
  <c r="AI51" i="38"/>
  <c r="AQ51" i="38"/>
  <c r="N53" i="38"/>
  <c r="S52" i="38"/>
  <c r="Z52" i="38" s="1"/>
  <c r="R52" i="38"/>
  <c r="Y52" i="38" s="1"/>
  <c r="U52" i="38"/>
  <c r="AB52" i="38" s="1"/>
  <c r="P52" i="38"/>
  <c r="W52" i="38" s="1"/>
  <c r="T52" i="38"/>
  <c r="AA52" i="38" s="1"/>
  <c r="O52" i="38"/>
  <c r="V52" i="38" s="1"/>
  <c r="Q52" i="38"/>
  <c r="X52" i="38" s="1"/>
  <c r="AD51" i="38"/>
  <c r="AL51" i="38"/>
  <c r="AO51" i="38"/>
  <c r="AG51" i="38"/>
  <c r="AE51" i="38"/>
  <c r="AM51" i="38"/>
  <c r="AN51" i="38"/>
  <c r="AF51" i="38"/>
  <c r="AC51" i="38"/>
  <c r="AK51" i="38"/>
  <c r="AE52" i="38" l="1"/>
  <c r="AM52" i="38"/>
  <c r="AP52" i="38"/>
  <c r="AH52" i="38"/>
  <c r="AF52" i="38"/>
  <c r="AN52" i="38"/>
  <c r="AI52" i="38"/>
  <c r="AQ52" i="38"/>
  <c r="AO52" i="38"/>
  <c r="AG52" i="38"/>
  <c r="AK52" i="38"/>
  <c r="AC52" i="38"/>
  <c r="AD52" i="38"/>
  <c r="AL52" i="38"/>
  <c r="N54" i="38"/>
  <c r="T53" i="38"/>
  <c r="AA53" i="38" s="1"/>
  <c r="S53" i="38"/>
  <c r="Z53" i="38" s="1"/>
  <c r="U53" i="38"/>
  <c r="AB53" i="38" s="1"/>
  <c r="P53" i="38"/>
  <c r="W53" i="38" s="1"/>
  <c r="O53" i="38"/>
  <c r="V53" i="38" s="1"/>
  <c r="R53" i="38"/>
  <c r="Y53" i="38" s="1"/>
  <c r="Q53" i="38"/>
  <c r="X53" i="38" s="1"/>
  <c r="AE53" i="38" l="1"/>
  <c r="AM53" i="38"/>
  <c r="N55" i="38"/>
  <c r="U54" i="38"/>
  <c r="AB54" i="38" s="1"/>
  <c r="Q54" i="38"/>
  <c r="X54" i="38" s="1"/>
  <c r="P54" i="38"/>
  <c r="W54" i="38" s="1"/>
  <c r="T54" i="38"/>
  <c r="AA54" i="38" s="1"/>
  <c r="S54" i="38"/>
  <c r="Z54" i="38" s="1"/>
  <c r="R54" i="38"/>
  <c r="Y54" i="38" s="1"/>
  <c r="O54" i="38"/>
  <c r="V54" i="38" s="1"/>
  <c r="AK53" i="38"/>
  <c r="AC53" i="38"/>
  <c r="AP53" i="38"/>
  <c r="AH53" i="38"/>
  <c r="AD53" i="38"/>
  <c r="AL53" i="38"/>
  <c r="AI53" i="38"/>
  <c r="AQ53" i="38"/>
  <c r="AF53" i="38"/>
  <c r="AN53" i="38"/>
  <c r="AO53" i="38"/>
  <c r="AG53" i="38"/>
  <c r="AK54" i="38" l="1"/>
  <c r="AC54" i="38"/>
  <c r="AP54" i="38"/>
  <c r="AH54" i="38"/>
  <c r="AQ54" i="38"/>
  <c r="AI54" i="38"/>
  <c r="AF54" i="38"/>
  <c r="AN54" i="38"/>
  <c r="AE54" i="38"/>
  <c r="AM54" i="38"/>
  <c r="N56" i="38"/>
  <c r="U55" i="38"/>
  <c r="AB55" i="38" s="1"/>
  <c r="T55" i="38"/>
  <c r="AA55" i="38" s="1"/>
  <c r="S55" i="38"/>
  <c r="Z55" i="38" s="1"/>
  <c r="Q55" i="38"/>
  <c r="X55" i="38" s="1"/>
  <c r="P55" i="38"/>
  <c r="W55" i="38" s="1"/>
  <c r="R55" i="38"/>
  <c r="Y55" i="38" s="1"/>
  <c r="O55" i="38"/>
  <c r="V55" i="38" s="1"/>
  <c r="AO54" i="38"/>
  <c r="AG54" i="38"/>
  <c r="AD54" i="38"/>
  <c r="AL54" i="38"/>
  <c r="AL55" i="38" l="1"/>
  <c r="AD55" i="38"/>
  <c r="AP55" i="38"/>
  <c r="AH55" i="38"/>
  <c r="AQ55" i="38"/>
  <c r="AI55" i="38"/>
  <c r="AE55" i="38"/>
  <c r="AM55" i="38"/>
  <c r="AK55" i="38"/>
  <c r="AC55" i="38"/>
  <c r="AG55" i="38"/>
  <c r="AO55" i="38"/>
  <c r="U56" i="38"/>
  <c r="AB56" i="38" s="1"/>
  <c r="T56" i="38"/>
  <c r="AA56" i="38" s="1"/>
  <c r="S56" i="38"/>
  <c r="Z56" i="38" s="1"/>
  <c r="R56" i="38"/>
  <c r="Y56" i="38" s="1"/>
  <c r="P56" i="38"/>
  <c r="W56" i="38" s="1"/>
  <c r="O56" i="38"/>
  <c r="V56" i="38" s="1"/>
  <c r="Q56" i="38"/>
  <c r="X56" i="38" s="1"/>
  <c r="AF55" i="38"/>
  <c r="AN55" i="38"/>
  <c r="AG56" i="38" l="1"/>
  <c r="AO56" i="38"/>
  <c r="AF56" i="38"/>
  <c r="AN56" i="38"/>
  <c r="AQ56" i="38"/>
  <c r="AI56" i="38"/>
  <c r="AP56" i="38"/>
  <c r="AH56" i="38"/>
  <c r="AE56" i="38"/>
  <c r="AM56" i="38"/>
  <c r="AK56" i="38"/>
  <c r="AC56" i="38"/>
  <c r="AL56" i="38"/>
  <c r="AD56" i="3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作成者</author>
  </authors>
  <commentList>
    <comment ref="C14" authorId="0" shapeId="0" xr:uid="{0B52B2B5-9890-41AF-BC8A-B097427218BA}">
      <text>
        <r>
          <rPr>
            <b/>
            <sz val="9"/>
            <color indexed="81"/>
            <rFont val="MS P ゴシック"/>
            <family val="3"/>
            <charset val="128"/>
          </rPr>
          <t>作成者:</t>
        </r>
        <r>
          <rPr>
            <sz val="9"/>
            <color indexed="81"/>
            <rFont val="MS P ゴシック"/>
            <family val="3"/>
            <charset val="128"/>
          </rPr>
          <t xml:space="preserve">
軸方向に垂直な面</t>
        </r>
      </text>
    </comment>
    <comment ref="C64" authorId="0" shapeId="0" xr:uid="{CA07B60D-38C6-4F85-9638-E83078C33441}">
      <text>
        <r>
          <rPr>
            <b/>
            <sz val="9"/>
            <color indexed="81"/>
            <rFont val="MS P ゴシック"/>
            <family val="3"/>
            <charset val="128"/>
          </rPr>
          <t>作成者:</t>
        </r>
        <r>
          <rPr>
            <sz val="9"/>
            <color indexed="81"/>
            <rFont val="MS P ゴシック"/>
            <family val="3"/>
            <charset val="128"/>
          </rPr>
          <t xml:space="preserve">
軸方向の荷重</t>
        </r>
      </text>
    </comment>
    <comment ref="C65" authorId="0" shapeId="0" xr:uid="{B42383B1-90CD-4CDF-80F0-F4558F6BE8FC}">
      <text>
        <r>
          <rPr>
            <b/>
            <sz val="9"/>
            <color indexed="81"/>
            <rFont val="MS P ゴシック"/>
            <family val="3"/>
            <charset val="128"/>
          </rPr>
          <t>作成者:</t>
        </r>
        <r>
          <rPr>
            <sz val="9"/>
            <color indexed="81"/>
            <rFont val="MS P ゴシック"/>
            <family val="3"/>
            <charset val="128"/>
          </rPr>
          <t xml:space="preserve">
締め代部に垂直な荷重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作成者</author>
  </authors>
  <commentList>
    <comment ref="C14" authorId="0" shapeId="0" xr:uid="{FCF661D2-7A84-4746-A363-5F230A73C548}">
      <text>
        <r>
          <rPr>
            <b/>
            <sz val="9"/>
            <color indexed="81"/>
            <rFont val="MS P ゴシック"/>
            <family val="3"/>
            <charset val="128"/>
          </rPr>
          <t>作成者:</t>
        </r>
        <r>
          <rPr>
            <sz val="9"/>
            <color indexed="81"/>
            <rFont val="MS P ゴシック"/>
            <family val="3"/>
            <charset val="128"/>
          </rPr>
          <t xml:space="preserve">
軸方向に垂直な面</t>
        </r>
      </text>
    </comment>
    <comment ref="C64" authorId="0" shapeId="0" xr:uid="{60DFA4C0-B9BA-48E0-A71F-B6035826E92C}">
      <text>
        <r>
          <rPr>
            <b/>
            <sz val="9"/>
            <color indexed="81"/>
            <rFont val="MS P ゴシック"/>
            <family val="3"/>
            <charset val="128"/>
          </rPr>
          <t>作成者:</t>
        </r>
        <r>
          <rPr>
            <sz val="9"/>
            <color indexed="81"/>
            <rFont val="MS P ゴシック"/>
            <family val="3"/>
            <charset val="128"/>
          </rPr>
          <t xml:space="preserve">
軸方向の荷重</t>
        </r>
      </text>
    </comment>
    <comment ref="C65" authorId="0" shapeId="0" xr:uid="{4E49857B-AD7E-4099-BCB4-3998CC7B32C0}">
      <text>
        <r>
          <rPr>
            <b/>
            <sz val="9"/>
            <color indexed="81"/>
            <rFont val="MS P ゴシック"/>
            <family val="3"/>
            <charset val="128"/>
          </rPr>
          <t>作成者:</t>
        </r>
        <r>
          <rPr>
            <sz val="9"/>
            <color indexed="81"/>
            <rFont val="MS P ゴシック"/>
            <family val="3"/>
            <charset val="128"/>
          </rPr>
          <t xml:space="preserve">
締め代部に垂直な荷重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94434DE-A6B6-4D05-9C74-0D5272635B45}" keepAlive="1" name="クエリ - テーブル1" description="ブック内の 'テーブル1' クエリへの接続です。" type="5" refreshedVersion="6" background="1">
    <dbPr connection="Provider=Microsoft.Mashup.OleDb.1;Data Source=$Workbook$;Location=テーブル1;Extended Properties=&quot;&quot;" command="SELECT * FROM [テーブル1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<sst xmlns="http://schemas.openxmlformats.org/spreadsheetml/2006/main" count="1331" uniqueCount="369">
  <si>
    <t>ポアソン比</t>
    <rPh sb="4" eb="5">
      <t>ヒ</t>
    </rPh>
    <phoneticPr fontId="1"/>
  </si>
  <si>
    <t>接触長</t>
    <rPh sb="0" eb="2">
      <t>セッショク</t>
    </rPh>
    <rPh sb="2" eb="3">
      <t>チョウ</t>
    </rPh>
    <phoneticPr fontId="1"/>
  </si>
  <si>
    <t>面圧</t>
    <rPh sb="0" eb="1">
      <t>メン</t>
    </rPh>
    <rPh sb="1" eb="2">
      <t>アツ</t>
    </rPh>
    <phoneticPr fontId="1"/>
  </si>
  <si>
    <t>摩擦係数</t>
    <rPh sb="0" eb="2">
      <t>マサツ</t>
    </rPh>
    <rPh sb="2" eb="4">
      <t>ケイスウ</t>
    </rPh>
    <phoneticPr fontId="1"/>
  </si>
  <si>
    <t>μ</t>
    <phoneticPr fontId="1"/>
  </si>
  <si>
    <t>弾性係数</t>
    <rPh sb="0" eb="4">
      <t>ダンセイケイスウ</t>
    </rPh>
    <phoneticPr fontId="1"/>
  </si>
  <si>
    <t>はめあい面径</t>
    <rPh sb="4" eb="5">
      <t>メン</t>
    </rPh>
    <rPh sb="5" eb="6">
      <t>ケイ</t>
    </rPh>
    <phoneticPr fontId="1"/>
  </si>
  <si>
    <t>線膨張係数</t>
    <rPh sb="0" eb="5">
      <t>センボウチョウケイスウ</t>
    </rPh>
    <phoneticPr fontId="1"/>
  </si>
  <si>
    <t>非はめあい径</t>
    <rPh sb="0" eb="1">
      <t>ヒ</t>
    </rPh>
    <rPh sb="5" eb="6">
      <t>ケイ</t>
    </rPh>
    <phoneticPr fontId="1"/>
  </si>
  <si>
    <t>圧入力</t>
    <rPh sb="0" eb="1">
      <t>アツ</t>
    </rPh>
    <rPh sb="1" eb="3">
      <t>ニュウリョク</t>
    </rPh>
    <phoneticPr fontId="1"/>
  </si>
  <si>
    <t>はめあい面積</t>
    <rPh sb="4" eb="6">
      <t>メンセキ</t>
    </rPh>
    <phoneticPr fontId="1"/>
  </si>
  <si>
    <t>減少しめしろ</t>
    <rPh sb="0" eb="2">
      <t>ゲンショウ</t>
    </rPh>
    <phoneticPr fontId="1"/>
  </si>
  <si>
    <t>圧入温度</t>
    <rPh sb="0" eb="2">
      <t>アツニュウ</t>
    </rPh>
    <rPh sb="2" eb="4">
      <t>オンド</t>
    </rPh>
    <phoneticPr fontId="1"/>
  </si>
  <si>
    <t>しめしろ(両側）</t>
    <rPh sb="5" eb="7">
      <t>リョウガワ</t>
    </rPh>
    <phoneticPr fontId="1"/>
  </si>
  <si>
    <t>計算用</t>
    <rPh sb="0" eb="3">
      <t>ケイサンヨウ</t>
    </rPh>
    <phoneticPr fontId="1"/>
  </si>
  <si>
    <t>有効しめしろ</t>
    <rPh sb="0" eb="2">
      <t>ユウコウ</t>
    </rPh>
    <phoneticPr fontId="1"/>
  </si>
  <si>
    <t>減少すきま</t>
    <rPh sb="0" eb="2">
      <t>ゲンショウ</t>
    </rPh>
    <phoneticPr fontId="1"/>
  </si>
  <si>
    <t>内径　</t>
    <rPh sb="0" eb="2">
      <t>ナイケイ</t>
    </rPh>
    <phoneticPr fontId="1"/>
  </si>
  <si>
    <t>ヤング率</t>
    <rPh sb="3" eb="4">
      <t>リツ</t>
    </rPh>
    <phoneticPr fontId="1"/>
  </si>
  <si>
    <t>内径変位</t>
    <rPh sb="0" eb="2">
      <t>ナイケイ</t>
    </rPh>
    <rPh sb="2" eb="4">
      <t>ヘンイ</t>
    </rPh>
    <phoneticPr fontId="1"/>
  </si>
  <si>
    <t>面圧　</t>
    <rPh sb="0" eb="1">
      <t>メン</t>
    </rPh>
    <rPh sb="1" eb="2">
      <t>アツ</t>
    </rPh>
    <phoneticPr fontId="1"/>
  </si>
  <si>
    <t>内径変位D=100</t>
    <rPh sb="0" eb="2">
      <t>ナイケイ</t>
    </rPh>
    <rPh sb="2" eb="4">
      <t>ヘンイ</t>
    </rPh>
    <phoneticPr fontId="1"/>
  </si>
  <si>
    <t>内径変位D=110</t>
    <rPh sb="0" eb="2">
      <t>ナイケイ</t>
    </rPh>
    <rPh sb="2" eb="4">
      <t>ヘンイ</t>
    </rPh>
    <phoneticPr fontId="1"/>
  </si>
  <si>
    <t>内径変位D=120</t>
    <rPh sb="0" eb="2">
      <t>ナイケイ</t>
    </rPh>
    <rPh sb="2" eb="4">
      <t>ヘンイ</t>
    </rPh>
    <phoneticPr fontId="1"/>
  </si>
  <si>
    <t>内径変位D=130</t>
    <rPh sb="0" eb="2">
      <t>ナイケイ</t>
    </rPh>
    <rPh sb="2" eb="4">
      <t>ヘンイ</t>
    </rPh>
    <phoneticPr fontId="1"/>
  </si>
  <si>
    <t>内径変位D=140</t>
    <rPh sb="0" eb="2">
      <t>ナイケイ</t>
    </rPh>
    <rPh sb="2" eb="4">
      <t>ヘンイ</t>
    </rPh>
    <phoneticPr fontId="1"/>
  </si>
  <si>
    <t>内径変位D=150</t>
    <rPh sb="0" eb="2">
      <t>ナイケイ</t>
    </rPh>
    <rPh sb="2" eb="4">
      <t>ヘンイ</t>
    </rPh>
    <phoneticPr fontId="1"/>
  </si>
  <si>
    <t>近似外径D=110</t>
    <rPh sb="0" eb="2">
      <t>キンジ</t>
    </rPh>
    <rPh sb="2" eb="4">
      <t>ガイケイ</t>
    </rPh>
    <phoneticPr fontId="1"/>
  </si>
  <si>
    <t>近似外径D=100</t>
    <rPh sb="0" eb="2">
      <t>キンジ</t>
    </rPh>
    <rPh sb="2" eb="4">
      <t>ガイケイ</t>
    </rPh>
    <phoneticPr fontId="1"/>
  </si>
  <si>
    <t>近似外径D=120</t>
    <rPh sb="0" eb="2">
      <t>キンジ</t>
    </rPh>
    <rPh sb="2" eb="4">
      <t>ガイケイ</t>
    </rPh>
    <phoneticPr fontId="1"/>
  </si>
  <si>
    <t>近似外径D=130</t>
    <rPh sb="0" eb="2">
      <t>キンジ</t>
    </rPh>
    <rPh sb="2" eb="4">
      <t>ガイケイ</t>
    </rPh>
    <phoneticPr fontId="1"/>
  </si>
  <si>
    <t>近似外径D=140</t>
    <rPh sb="0" eb="2">
      <t>キンジ</t>
    </rPh>
    <rPh sb="2" eb="4">
      <t>ガイケイ</t>
    </rPh>
    <phoneticPr fontId="1"/>
  </si>
  <si>
    <t>近似外径D=150</t>
    <rPh sb="0" eb="2">
      <t>キンジ</t>
    </rPh>
    <rPh sb="2" eb="4">
      <t>ガイケイ</t>
    </rPh>
    <phoneticPr fontId="1"/>
  </si>
  <si>
    <t>内面圧[MPa]</t>
    <rPh sb="0" eb="1">
      <t>ウチ</t>
    </rPh>
    <rPh sb="1" eb="2">
      <t>メン</t>
    </rPh>
    <rPh sb="2" eb="3">
      <t>アツ</t>
    </rPh>
    <phoneticPr fontId="1"/>
  </si>
  <si>
    <t>http://www.sml.k.u-tokyo.ac.jp/members/nabe/lecture2012/B3_20120608.pdf</t>
  </si>
  <si>
    <t>半径の変位</t>
    <rPh sb="0" eb="2">
      <t>ハンケイ</t>
    </rPh>
    <rPh sb="3" eb="5">
      <t>ヘンイ</t>
    </rPh>
    <phoneticPr fontId="1"/>
  </si>
  <si>
    <t>内筒</t>
    <rPh sb="0" eb="1">
      <t>ウチ</t>
    </rPh>
    <rPh sb="1" eb="2">
      <t>ツツ</t>
    </rPh>
    <phoneticPr fontId="1"/>
  </si>
  <si>
    <t>はめあい径</t>
    <rPh sb="4" eb="5">
      <t>ケイ</t>
    </rPh>
    <phoneticPr fontId="1"/>
  </si>
  <si>
    <t>外筒</t>
    <rPh sb="0" eb="1">
      <t>ソト</t>
    </rPh>
    <rPh sb="1" eb="2">
      <t>ツツ</t>
    </rPh>
    <phoneticPr fontId="1"/>
  </si>
  <si>
    <t>Assy</t>
    <phoneticPr fontId="1"/>
  </si>
  <si>
    <t>加工方法(非BRG面)</t>
    <rPh sb="0" eb="2">
      <t>カコウ</t>
    </rPh>
    <rPh sb="2" eb="4">
      <t>ホウホウ</t>
    </rPh>
    <rPh sb="5" eb="6">
      <t>ヒ</t>
    </rPh>
    <rPh sb="9" eb="10">
      <t>メン</t>
    </rPh>
    <phoneticPr fontId="1"/>
  </si>
  <si>
    <t>[mm]</t>
    <phoneticPr fontId="1"/>
  </si>
  <si>
    <t>d3[mm]</t>
    <phoneticPr fontId="1"/>
  </si>
  <si>
    <t>m</t>
    <phoneticPr fontId="1"/>
  </si>
  <si>
    <t>k:研削,s:切削,m:無視</t>
    <rPh sb="2" eb="4">
      <t>ケンサク</t>
    </rPh>
    <rPh sb="7" eb="9">
      <t>セッサク</t>
    </rPh>
    <rPh sb="12" eb="14">
      <t>ムシ</t>
    </rPh>
    <phoneticPr fontId="1"/>
  </si>
  <si>
    <t>[℃]</t>
    <phoneticPr fontId="1"/>
  </si>
  <si>
    <t>[1/℃]</t>
    <phoneticPr fontId="1"/>
  </si>
  <si>
    <t>d1[mm]</t>
    <phoneticPr fontId="1"/>
  </si>
  <si>
    <t>d2[mm]</t>
    <phoneticPr fontId="1"/>
  </si>
  <si>
    <t>B[mm]</t>
    <phoneticPr fontId="1"/>
  </si>
  <si>
    <t>E1[MPa]</t>
    <phoneticPr fontId="1"/>
  </si>
  <si>
    <t>v1</t>
    <phoneticPr fontId="1"/>
  </si>
  <si>
    <t>E2[MPa]</t>
    <phoneticPr fontId="1"/>
  </si>
  <si>
    <t>v2</t>
    <phoneticPr fontId="1"/>
  </si>
  <si>
    <t>δ[mm]</t>
    <phoneticPr fontId="1"/>
  </si>
  <si>
    <t>A[mm²]</t>
    <phoneticPr fontId="1"/>
  </si>
  <si>
    <t>pm[MPa]</t>
    <phoneticPr fontId="1"/>
  </si>
  <si>
    <t>F[N]</t>
    <phoneticPr fontId="1"/>
  </si>
  <si>
    <t>nor</t>
    <phoneticPr fontId="1"/>
  </si>
  <si>
    <t>min</t>
    <phoneticPr fontId="1"/>
  </si>
  <si>
    <t>max</t>
    <phoneticPr fontId="1"/>
  </si>
  <si>
    <t>m</t>
    <phoneticPr fontId="1"/>
  </si>
  <si>
    <t>m</t>
    <phoneticPr fontId="1"/>
  </si>
  <si>
    <t>min</t>
    <phoneticPr fontId="1"/>
  </si>
  <si>
    <t>nor</t>
    <phoneticPr fontId="1"/>
  </si>
  <si>
    <t>max</t>
    <phoneticPr fontId="1"/>
  </si>
  <si>
    <t>有効1/無効0</t>
    <rPh sb="0" eb="2">
      <t>ユウコウ</t>
    </rPh>
    <rPh sb="4" eb="6">
      <t>ムコウ</t>
    </rPh>
    <phoneticPr fontId="1"/>
  </si>
  <si>
    <t>グラフ用</t>
    <rPh sb="3" eb="4">
      <t>ヨウ</t>
    </rPh>
    <phoneticPr fontId="1"/>
  </si>
  <si>
    <t>use
(min:-1,nor:0,max,1)</t>
    <phoneticPr fontId="1"/>
  </si>
  <si>
    <t>材料</t>
    <rPh sb="0" eb="2">
      <t>ザイリョウ</t>
    </rPh>
    <phoneticPr fontId="1"/>
  </si>
  <si>
    <t>ポアソン比[-]</t>
  </si>
  <si>
    <t>線膨張係数[10^-6/K]</t>
  </si>
  <si>
    <t>ADC12</t>
    <phoneticPr fontId="1"/>
  </si>
  <si>
    <t>降伏点(耐力)[MPa]</t>
    <phoneticPr fontId="1"/>
  </si>
  <si>
    <t>外形[mm]</t>
    <rPh sb="0" eb="2">
      <t>ガイケイ</t>
    </rPh>
    <phoneticPr fontId="1"/>
  </si>
  <si>
    <t>Material Name</t>
    <phoneticPr fontId="1"/>
  </si>
  <si>
    <t>Poisson's Ratio[-]</t>
    <phoneticPr fontId="1"/>
  </si>
  <si>
    <t>Linear Expansion Coefficient[10^-6/K]</t>
    <phoneticPr fontId="1"/>
  </si>
  <si>
    <t>材料名</t>
    <rPh sb="0" eb="2">
      <t>ザイリョウ</t>
    </rPh>
    <rPh sb="2" eb="3">
      <t>メイ</t>
    </rPh>
    <phoneticPr fontId="1"/>
  </si>
  <si>
    <t>Yield Point[MPa]</t>
    <phoneticPr fontId="1"/>
  </si>
  <si>
    <t>合成画像</t>
    <rPh sb="0" eb="2">
      <t>ゴウセイ</t>
    </rPh>
    <rPh sb="2" eb="4">
      <t>ガゾウ</t>
    </rPh>
    <phoneticPr fontId="1"/>
  </si>
  <si>
    <t>圧入位置</t>
    <rPh sb="0" eb="2">
      <t>アツニュウ</t>
    </rPh>
    <rPh sb="2" eb="4">
      <t>イチ</t>
    </rPh>
    <phoneticPr fontId="1"/>
  </si>
  <si>
    <t>例</t>
    <rPh sb="0" eb="1">
      <t>レイ</t>
    </rPh>
    <phoneticPr fontId="1"/>
  </si>
  <si>
    <t>ケース横寸法
画像選択</t>
    <rPh sb="3" eb="4">
      <t>ヨコ</t>
    </rPh>
    <rPh sb="4" eb="6">
      <t>スンポウ</t>
    </rPh>
    <rPh sb="7" eb="9">
      <t>ガゾウ</t>
    </rPh>
    <rPh sb="9" eb="11">
      <t>センタク</t>
    </rPh>
    <phoneticPr fontId="1"/>
  </si>
  <si>
    <t>ケース縦寸法
画像選択</t>
    <rPh sb="3" eb="4">
      <t>タテ</t>
    </rPh>
    <rPh sb="4" eb="6">
      <t>スンポウ</t>
    </rPh>
    <rPh sb="7" eb="9">
      <t>ガゾウ</t>
    </rPh>
    <rPh sb="9" eb="11">
      <t>センタク</t>
    </rPh>
    <phoneticPr fontId="1"/>
  </si>
  <si>
    <t>シャフト横寸法
画像選択</t>
    <rPh sb="4" eb="5">
      <t>ヨコ</t>
    </rPh>
    <rPh sb="5" eb="7">
      <t>スンポウ</t>
    </rPh>
    <rPh sb="8" eb="10">
      <t>ガゾウ</t>
    </rPh>
    <rPh sb="10" eb="12">
      <t>センタク</t>
    </rPh>
    <phoneticPr fontId="1"/>
  </si>
  <si>
    <t>シャフト縦寸法
画像選択</t>
    <rPh sb="4" eb="5">
      <t>タテ</t>
    </rPh>
    <rPh sb="5" eb="7">
      <t>スンポウ</t>
    </rPh>
    <rPh sb="8" eb="10">
      <t>ガゾウ</t>
    </rPh>
    <rPh sb="10" eb="12">
      <t>センタク</t>
    </rPh>
    <phoneticPr fontId="1"/>
  </si>
  <si>
    <t>シャフト横寸法</t>
    <rPh sb="4" eb="5">
      <t>ヨコ</t>
    </rPh>
    <rPh sb="5" eb="7">
      <t>スンポウ</t>
    </rPh>
    <phoneticPr fontId="1"/>
  </si>
  <si>
    <t>シャフト縦寸法</t>
    <rPh sb="4" eb="5">
      <t>タテ</t>
    </rPh>
    <rPh sb="5" eb="7">
      <t>スンポウ</t>
    </rPh>
    <phoneticPr fontId="1"/>
  </si>
  <si>
    <t>ケース横寸法</t>
    <rPh sb="3" eb="4">
      <t>ヨコ</t>
    </rPh>
    <rPh sb="4" eb="6">
      <t>スンポウ</t>
    </rPh>
    <phoneticPr fontId="1"/>
  </si>
  <si>
    <t>ケース縦寸法</t>
    <rPh sb="3" eb="4">
      <t>タテ</t>
    </rPh>
    <rPh sb="4" eb="6">
      <t>スンポウ</t>
    </rPh>
    <phoneticPr fontId="1"/>
  </si>
  <si>
    <t>4画像合成</t>
    <rPh sb="1" eb="3">
      <t>ガゾウ</t>
    </rPh>
    <rPh sb="3" eb="5">
      <t>ゴウセイ</t>
    </rPh>
    <phoneticPr fontId="1"/>
  </si>
  <si>
    <t>選択番号</t>
    <rPh sb="0" eb="2">
      <t>センタク</t>
    </rPh>
    <rPh sb="2" eb="4">
      <t>バンゴウ</t>
    </rPh>
    <phoneticPr fontId="1"/>
  </si>
  <si>
    <t>内径公差[mm]</t>
  </si>
  <si>
    <t>内径[mm]</t>
    <phoneticPr fontId="1"/>
  </si>
  <si>
    <t>S45C</t>
    <phoneticPr fontId="1"/>
  </si>
  <si>
    <t>Type1</t>
  </si>
  <si>
    <t>Type1</t>
    <phoneticPr fontId="1"/>
  </si>
  <si>
    <t>Type2</t>
  </si>
  <si>
    <t>Type2</t>
    <phoneticPr fontId="1"/>
  </si>
  <si>
    <t>Type3</t>
    <phoneticPr fontId="1"/>
  </si>
  <si>
    <t>Type4</t>
    <phoneticPr fontId="1"/>
  </si>
  <si>
    <t>Young's Modulus[MPa]</t>
    <phoneticPr fontId="1"/>
  </si>
  <si>
    <t>圧入力[kN]</t>
    <rPh sb="0" eb="1">
      <t>アツ</t>
    </rPh>
    <rPh sb="1" eb="3">
      <t>ニュウリョク</t>
    </rPh>
    <phoneticPr fontId="1"/>
  </si>
  <si>
    <t>内径[mm]</t>
    <rPh sb="0" eb="2">
      <t>ナイケイ</t>
    </rPh>
    <phoneticPr fontId="1"/>
  </si>
  <si>
    <t>外形公差[mm]</t>
  </si>
  <si>
    <t>Outer Part</t>
    <phoneticPr fontId="1"/>
  </si>
  <si>
    <t>Inner Part</t>
    <phoneticPr fontId="1"/>
  </si>
  <si>
    <t>SCM435</t>
  </si>
  <si>
    <t>SCM435</t>
    <phoneticPr fontId="1"/>
  </si>
  <si>
    <t>ADC12</t>
  </si>
  <si>
    <t>押切荷重[kN]</t>
    <rPh sb="0" eb="2">
      <t>オシキリ</t>
    </rPh>
    <rPh sb="2" eb="4">
      <t>カジュウ</t>
    </rPh>
    <phoneticPr fontId="1"/>
  </si>
  <si>
    <t>押切荷重面圧安全率[-]</t>
    <rPh sb="0" eb="2">
      <t>オシキリ</t>
    </rPh>
    <rPh sb="2" eb="4">
      <t>カジュウ</t>
    </rPh>
    <rPh sb="4" eb="5">
      <t>メン</t>
    </rPh>
    <rPh sb="5" eb="6">
      <t>アツ</t>
    </rPh>
    <rPh sb="6" eb="9">
      <t>アンゼンリツ</t>
    </rPh>
    <phoneticPr fontId="1"/>
  </si>
  <si>
    <t>押し当て部面圧[MPa]</t>
    <rPh sb="0" eb="1">
      <t>オ</t>
    </rPh>
    <rPh sb="2" eb="3">
      <t>ア</t>
    </rPh>
    <rPh sb="4" eb="5">
      <t>ブ</t>
    </rPh>
    <rPh sb="5" eb="6">
      <t>メン</t>
    </rPh>
    <rPh sb="6" eb="7">
      <t>アツ</t>
    </rPh>
    <phoneticPr fontId="1"/>
  </si>
  <si>
    <t>縦弾性係数[MPa]</t>
    <phoneticPr fontId="1"/>
  </si>
  <si>
    <t>input</t>
    <phoneticPr fontId="1"/>
  </si>
  <si>
    <t>auto</t>
    <phoneticPr fontId="1"/>
  </si>
  <si>
    <t>result</t>
    <phoneticPr fontId="1"/>
  </si>
  <si>
    <t>C1100</t>
    <phoneticPr fontId="1"/>
  </si>
  <si>
    <t>S45C</t>
  </si>
  <si>
    <t>Press Fit Force Result</t>
    <phoneticPr fontId="1"/>
  </si>
  <si>
    <t>[Input] Inner Part Basic Parameter</t>
    <phoneticPr fontId="1"/>
  </si>
  <si>
    <t>[Input] Outer Part Basic Parameter</t>
    <phoneticPr fontId="1"/>
  </si>
  <si>
    <t>[Input] Assy Basic Parameter</t>
    <phoneticPr fontId="1"/>
  </si>
  <si>
    <t>締め代部面圧安全率</t>
  </si>
  <si>
    <t>温度差(Outer-Inner)[℃]</t>
    <rPh sb="0" eb="3">
      <t>オンドサ</t>
    </rPh>
    <phoneticPr fontId="1"/>
  </si>
  <si>
    <t>[Input] External Force</t>
    <phoneticPr fontId="1"/>
  </si>
  <si>
    <t>部品重量[kg]</t>
    <rPh sb="0" eb="2">
      <t>ブヒン</t>
    </rPh>
    <rPh sb="2" eb="4">
      <t>ジュウリョウ</t>
    </rPh>
    <phoneticPr fontId="1"/>
  </si>
  <si>
    <t>加速度[G]</t>
    <rPh sb="0" eb="3">
      <t>カソクド</t>
    </rPh>
    <phoneticPr fontId="1"/>
  </si>
  <si>
    <t>押し当て部面圧安全率</t>
    <phoneticPr fontId="1"/>
  </si>
  <si>
    <t>押し当て部面積[mm2]</t>
    <rPh sb="0" eb="1">
      <t>オ</t>
    </rPh>
    <rPh sb="2" eb="3">
      <t>ア</t>
    </rPh>
    <rPh sb="4" eb="5">
      <t>ブ</t>
    </rPh>
    <rPh sb="5" eb="7">
      <t>メンセキ</t>
    </rPh>
    <phoneticPr fontId="1"/>
  </si>
  <si>
    <t>-</t>
    <phoneticPr fontId="1"/>
  </si>
  <si>
    <t>重量加速度外力[N]</t>
    <rPh sb="0" eb="2">
      <t>ジュウリョウ</t>
    </rPh>
    <rPh sb="2" eb="5">
      <t>カソクド</t>
    </rPh>
    <rPh sb="5" eb="7">
      <t>ガイリョク</t>
    </rPh>
    <phoneticPr fontId="1"/>
  </si>
  <si>
    <t>締め代部面積[mm2]</t>
    <rPh sb="0" eb="1">
      <t>シ</t>
    </rPh>
    <rPh sb="2" eb="3">
      <t>シロ</t>
    </rPh>
    <rPh sb="3" eb="4">
      <t>ブ</t>
    </rPh>
    <rPh sb="4" eb="6">
      <t>メンセキ</t>
    </rPh>
    <phoneticPr fontId="1"/>
  </si>
  <si>
    <t>締め代部長さ[mm]</t>
    <rPh sb="0" eb="1">
      <t>シ</t>
    </rPh>
    <rPh sb="2" eb="3">
      <t>シロ</t>
    </rPh>
    <rPh sb="3" eb="4">
      <t>ブ</t>
    </rPh>
    <rPh sb="4" eb="5">
      <t>ナガ</t>
    </rPh>
    <phoneticPr fontId="1"/>
  </si>
  <si>
    <t>はめあい径[mm]</t>
    <rPh sb="4" eb="5">
      <t>ケイ</t>
    </rPh>
    <phoneticPr fontId="1"/>
  </si>
  <si>
    <t>締め代(常温)[mm]</t>
    <rPh sb="0" eb="1">
      <t>シ</t>
    </rPh>
    <rPh sb="2" eb="3">
      <t>シロ</t>
    </rPh>
    <phoneticPr fontId="1"/>
  </si>
  <si>
    <t>締め代部面圧(常温)[MPa]</t>
    <rPh sb="0" eb="1">
      <t>シ</t>
    </rPh>
    <rPh sb="2" eb="3">
      <t>シロ</t>
    </rPh>
    <rPh sb="3" eb="4">
      <t>ブ</t>
    </rPh>
    <rPh sb="4" eb="5">
      <t>メン</t>
    </rPh>
    <rPh sb="5" eb="6">
      <t>アツ</t>
    </rPh>
    <phoneticPr fontId="1"/>
  </si>
  <si>
    <t>[Input] Target Safety Factor</t>
    <phoneticPr fontId="1"/>
  </si>
  <si>
    <t>[calclation] Interference from interference surface pressure</t>
    <phoneticPr fontId="1"/>
  </si>
  <si>
    <t>締め代(最悪温度)[mm]</t>
    <rPh sb="0" eb="1">
      <t>シ</t>
    </rPh>
    <rPh sb="2" eb="3">
      <t>シロ</t>
    </rPh>
    <phoneticPr fontId="1"/>
  </si>
  <si>
    <t>必要抜け抗力[N]</t>
    <rPh sb="0" eb="2">
      <t>ヒツヨウ</t>
    </rPh>
    <rPh sb="2" eb="3">
      <t>ヌ</t>
    </rPh>
    <rPh sb="4" eb="6">
      <t>コウリョク</t>
    </rPh>
    <phoneticPr fontId="1"/>
  </si>
  <si>
    <t>[calclation] Interference from Fall-off Resistance Force</t>
    <phoneticPr fontId="1"/>
  </si>
  <si>
    <t>許容締め代部面圧(最悪温度)[MPa]</t>
    <rPh sb="0" eb="2">
      <t>キョヨウ</t>
    </rPh>
    <rPh sb="2" eb="3">
      <t>シ</t>
    </rPh>
    <rPh sb="4" eb="5">
      <t>シロ</t>
    </rPh>
    <rPh sb="5" eb="6">
      <t>ブ</t>
    </rPh>
    <rPh sb="6" eb="7">
      <t>メン</t>
    </rPh>
    <rPh sb="7" eb="8">
      <t>アツ</t>
    </rPh>
    <rPh sb="9" eb="11">
      <t>サイアク</t>
    </rPh>
    <rPh sb="11" eb="13">
      <t>オンド</t>
    </rPh>
    <phoneticPr fontId="1"/>
  </si>
  <si>
    <t>[calclation] Interference from Pressing Suface Pressure</t>
    <phoneticPr fontId="1"/>
  </si>
  <si>
    <t>許容圧入面圧[MPa]</t>
    <rPh sb="0" eb="2">
      <t>キョヨウ</t>
    </rPh>
    <rPh sb="2" eb="4">
      <t>アツニュウ</t>
    </rPh>
    <rPh sb="4" eb="5">
      <t>メン</t>
    </rPh>
    <rPh sb="5" eb="6">
      <t>アツ</t>
    </rPh>
    <phoneticPr fontId="1"/>
  </si>
  <si>
    <t>許容圧入荷重[N]</t>
    <rPh sb="0" eb="2">
      <t>キョヨウ</t>
    </rPh>
    <rPh sb="2" eb="4">
      <t>アツニュウ</t>
    </rPh>
    <rPh sb="4" eb="6">
      <t>カジュウ</t>
    </rPh>
    <phoneticPr fontId="1"/>
  </si>
  <si>
    <t>許容押し当て部面圧[MPa]</t>
    <rPh sb="2" eb="3">
      <t>オ</t>
    </rPh>
    <rPh sb="4" eb="5">
      <t>ア</t>
    </rPh>
    <rPh sb="6" eb="7">
      <t>ブ</t>
    </rPh>
    <phoneticPr fontId="1"/>
  </si>
  <si>
    <t>温度[℃]</t>
    <rPh sb="0" eb="2">
      <t>オンド</t>
    </rPh>
    <phoneticPr fontId="1"/>
  </si>
  <si>
    <t>最大締め代差が起きる温度(Inner)[mm]</t>
    <rPh sb="0" eb="2">
      <t>サイダイ</t>
    </rPh>
    <rPh sb="2" eb="3">
      <t>シ</t>
    </rPh>
    <rPh sb="4" eb="5">
      <t>シロ</t>
    </rPh>
    <rPh sb="5" eb="6">
      <t>サ</t>
    </rPh>
    <rPh sb="7" eb="8">
      <t>オ</t>
    </rPh>
    <rPh sb="10" eb="12">
      <t>オンド</t>
    </rPh>
    <phoneticPr fontId="1"/>
  </si>
  <si>
    <t>最大締め代差が起きる温度(Outer)[mm]</t>
    <rPh sb="0" eb="2">
      <t>サイダイ</t>
    </rPh>
    <rPh sb="2" eb="3">
      <t>シ</t>
    </rPh>
    <rPh sb="4" eb="5">
      <t>シロ</t>
    </rPh>
    <rPh sb="5" eb="6">
      <t>サ</t>
    </rPh>
    <rPh sb="7" eb="8">
      <t>オ</t>
    </rPh>
    <rPh sb="10" eb="12">
      <t>オンド</t>
    </rPh>
    <phoneticPr fontId="1"/>
  </si>
  <si>
    <t>温度変化による締め代変化量[mm]</t>
    <rPh sb="0" eb="2">
      <t>オンド</t>
    </rPh>
    <rPh sb="2" eb="4">
      <t>ヘンカ</t>
    </rPh>
    <rPh sb="7" eb="8">
      <t>シ</t>
    </rPh>
    <rPh sb="9" eb="10">
      <t>シロ</t>
    </rPh>
    <rPh sb="10" eb="12">
      <t>ヘンカ</t>
    </rPh>
    <rPh sb="12" eb="13">
      <t>リョウ</t>
    </rPh>
    <phoneticPr fontId="1"/>
  </si>
  <si>
    <t>抜け抗力[N]</t>
    <rPh sb="0" eb="1">
      <t>ヌ</t>
    </rPh>
    <rPh sb="2" eb="4">
      <t>コウリョク</t>
    </rPh>
    <phoneticPr fontId="1"/>
  </si>
  <si>
    <t>抜け抗力安全率</t>
    <rPh sb="2" eb="4">
      <t>コウリョク</t>
    </rPh>
    <phoneticPr fontId="1"/>
  </si>
  <si>
    <t>許容締め代(常温)[mm]</t>
    <rPh sb="0" eb="2">
      <t>キョヨウ</t>
    </rPh>
    <rPh sb="2" eb="3">
      <t>シ</t>
    </rPh>
    <rPh sb="4" eb="5">
      <t>シロ</t>
    </rPh>
    <phoneticPr fontId="1"/>
  </si>
  <si>
    <t>[入力]外力</t>
    <rPh sb="1" eb="3">
      <t>ニュウリョク</t>
    </rPh>
    <rPh sb="4" eb="6">
      <t>ガイリョク</t>
    </rPh>
    <phoneticPr fontId="1"/>
  </si>
  <si>
    <t>[入力]
アセンブリの基本項目</t>
    <rPh sb="1" eb="3">
      <t>ニュウリョク</t>
    </rPh>
    <phoneticPr fontId="1"/>
  </si>
  <si>
    <t>[入力]内側のパーツの基本項目</t>
    <rPh sb="1" eb="3">
      <t>ニュウリョク</t>
    </rPh>
    <rPh sb="4" eb="6">
      <t>ウチガワ</t>
    </rPh>
    <rPh sb="11" eb="13">
      <t>キホン</t>
    </rPh>
    <rPh sb="13" eb="15">
      <t>コウモク</t>
    </rPh>
    <phoneticPr fontId="1"/>
  </si>
  <si>
    <t>[入力]外側のパーツの基本項目</t>
    <rPh sb="1" eb="3">
      <t>ニュウリョク</t>
    </rPh>
    <rPh sb="4" eb="6">
      <t>ソトガワ</t>
    </rPh>
    <rPh sb="11" eb="13">
      <t>キホン</t>
    </rPh>
    <rPh sb="13" eb="15">
      <t>コウモク</t>
    </rPh>
    <phoneticPr fontId="1"/>
  </si>
  <si>
    <t>[Input] 目標安全率</t>
    <rPh sb="8" eb="10">
      <t>モクヒョウ</t>
    </rPh>
    <rPh sb="10" eb="12">
      <t>アンゼン</t>
    </rPh>
    <rPh sb="12" eb="13">
      <t>リツ</t>
    </rPh>
    <phoneticPr fontId="1"/>
  </si>
  <si>
    <t>[計算] 締め代部の面圧からの締め代検討</t>
    <rPh sb="1" eb="3">
      <t>ケイサン</t>
    </rPh>
    <rPh sb="5" eb="6">
      <t>シ</t>
    </rPh>
    <rPh sb="7" eb="8">
      <t>シロ</t>
    </rPh>
    <rPh sb="8" eb="9">
      <t>ブ</t>
    </rPh>
    <rPh sb="10" eb="11">
      <t>メン</t>
    </rPh>
    <rPh sb="11" eb="12">
      <t>アツ</t>
    </rPh>
    <rPh sb="15" eb="16">
      <t>シ</t>
    </rPh>
    <rPh sb="17" eb="18">
      <t>シロ</t>
    </rPh>
    <rPh sb="18" eb="20">
      <t>ケントウ</t>
    </rPh>
    <phoneticPr fontId="1"/>
  </si>
  <si>
    <t>[計算] 抜け抗力からの締め代検討</t>
    <rPh sb="1" eb="3">
      <t>ケイサン</t>
    </rPh>
    <rPh sb="5" eb="6">
      <t>ヌ</t>
    </rPh>
    <rPh sb="7" eb="9">
      <t>コウリョク</t>
    </rPh>
    <rPh sb="12" eb="13">
      <t>シ</t>
    </rPh>
    <rPh sb="14" eb="15">
      <t>シロ</t>
    </rPh>
    <rPh sb="15" eb="17">
      <t>ケントウ</t>
    </rPh>
    <phoneticPr fontId="1"/>
  </si>
  <si>
    <t>[計算] 押しつけ部面圧からの締め代検討</t>
    <rPh sb="1" eb="3">
      <t>ケイサン</t>
    </rPh>
    <rPh sb="5" eb="6">
      <t>オ</t>
    </rPh>
    <rPh sb="9" eb="10">
      <t>ブ</t>
    </rPh>
    <rPh sb="10" eb="11">
      <t>メン</t>
    </rPh>
    <rPh sb="11" eb="12">
      <t>アツ</t>
    </rPh>
    <rPh sb="15" eb="16">
      <t>シ</t>
    </rPh>
    <rPh sb="17" eb="18">
      <t>シロ</t>
    </rPh>
    <rPh sb="18" eb="20">
      <t>ケントウ</t>
    </rPh>
    <phoneticPr fontId="1"/>
  </si>
  <si>
    <t>許容締め代(最悪温度)[mm]</t>
    <rPh sb="0" eb="2">
      <t>キョヨウ</t>
    </rPh>
    <rPh sb="2" eb="3">
      <t>シ</t>
    </rPh>
    <rPh sb="4" eb="5">
      <t>シロ</t>
    </rPh>
    <phoneticPr fontId="1"/>
  </si>
  <si>
    <t>許容締め代締め代(常温)[mm]</t>
    <rPh sb="5" eb="6">
      <t>シ</t>
    </rPh>
    <rPh sb="7" eb="8">
      <t>シロ</t>
    </rPh>
    <phoneticPr fontId="1"/>
  </si>
  <si>
    <t>必要抜け抗力(最悪温度)[N]</t>
    <rPh sb="0" eb="2">
      <t>ヒツヨウ</t>
    </rPh>
    <rPh sb="2" eb="3">
      <t>ヌ</t>
    </rPh>
    <rPh sb="4" eb="6">
      <t>コウリョク</t>
    </rPh>
    <rPh sb="7" eb="9">
      <t>サイアク</t>
    </rPh>
    <rPh sb="9" eb="11">
      <t>オンド</t>
    </rPh>
    <phoneticPr fontId="1"/>
  </si>
  <si>
    <t>必要垂直抗力(最悪温度)[N]</t>
    <rPh sb="2" eb="4">
      <t>スイチョク</t>
    </rPh>
    <rPh sb="4" eb="6">
      <t>コウリョク</t>
    </rPh>
    <rPh sb="7" eb="11">
      <t>サイアクオンド</t>
    </rPh>
    <phoneticPr fontId="1"/>
  </si>
  <si>
    <t>必要締め代部面圧(最悪温度)[MPa]</t>
    <rPh sb="2" eb="3">
      <t>シ</t>
    </rPh>
    <rPh sb="4" eb="5">
      <t>シロ</t>
    </rPh>
    <rPh sb="5" eb="6">
      <t>ブ</t>
    </rPh>
    <rPh sb="6" eb="7">
      <t>メン</t>
    </rPh>
    <rPh sb="7" eb="8">
      <t>アツ</t>
    </rPh>
    <phoneticPr fontId="1"/>
  </si>
  <si>
    <t>必要締め代(最悪温度)[mm]</t>
    <rPh sb="2" eb="3">
      <t>シ</t>
    </rPh>
    <rPh sb="4" eb="5">
      <t>シロ</t>
    </rPh>
    <phoneticPr fontId="1"/>
  </si>
  <si>
    <t>必要締め代(常温)[mm]</t>
    <rPh sb="2" eb="3">
      <t>シ</t>
    </rPh>
    <rPh sb="4" eb="5">
      <t>シロ</t>
    </rPh>
    <rPh sb="6" eb="8">
      <t>ジョウオン</t>
    </rPh>
    <phoneticPr fontId="1"/>
  </si>
  <si>
    <t>許容垂直抗力[N]</t>
    <rPh sb="2" eb="4">
      <t>スイチョク</t>
    </rPh>
    <rPh sb="4" eb="6">
      <t>コウリョク</t>
    </rPh>
    <phoneticPr fontId="1"/>
  </si>
  <si>
    <t>許容締め代[mm]</t>
    <rPh sb="2" eb="3">
      <t>シ</t>
    </rPh>
    <rPh sb="4" eb="5">
      <t>シロ</t>
    </rPh>
    <phoneticPr fontId="1"/>
  </si>
  <si>
    <t>面圧(最悪温度)[MPa]</t>
    <rPh sb="0" eb="1">
      <t>メン</t>
    </rPh>
    <rPh sb="1" eb="2">
      <t>アツ</t>
    </rPh>
    <phoneticPr fontId="1"/>
  </si>
  <si>
    <t>垂直抗力(面圧方向)[N]</t>
    <rPh sb="0" eb="2">
      <t>スイチョク</t>
    </rPh>
    <rPh sb="2" eb="4">
      <t>コウリョク</t>
    </rPh>
    <rPh sb="5" eb="6">
      <t>メン</t>
    </rPh>
    <rPh sb="6" eb="7">
      <t>アツ</t>
    </rPh>
    <rPh sb="7" eb="9">
      <t>ホウコウ</t>
    </rPh>
    <phoneticPr fontId="1"/>
  </si>
  <si>
    <t>抜け抗力安全率</t>
    <phoneticPr fontId="1"/>
  </si>
  <si>
    <t>発生圧入荷重(常温)[N]</t>
    <rPh sb="0" eb="2">
      <t>ハッセイ</t>
    </rPh>
    <rPh sb="2" eb="4">
      <t>アツニュウ</t>
    </rPh>
    <rPh sb="4" eb="6">
      <t>カジュウ</t>
    </rPh>
    <rPh sb="7" eb="9">
      <t>ジョウオン</t>
    </rPh>
    <phoneticPr fontId="1"/>
  </si>
  <si>
    <t>仮圧入押切荷重[N]</t>
    <rPh sb="0" eb="1">
      <t>カリ</t>
    </rPh>
    <rPh sb="1" eb="3">
      <t>アツニュウ</t>
    </rPh>
    <rPh sb="3" eb="5">
      <t>オシキリ</t>
    </rPh>
    <rPh sb="5" eb="7">
      <t>カジュウ</t>
    </rPh>
    <phoneticPr fontId="1"/>
  </si>
  <si>
    <t>仮押切荷重による面圧[MPa]</t>
    <rPh sb="0" eb="1">
      <t>カリ</t>
    </rPh>
    <rPh sb="1" eb="3">
      <t>オシキリ</t>
    </rPh>
    <rPh sb="3" eb="5">
      <t>カジュウ</t>
    </rPh>
    <rPh sb="8" eb="9">
      <t>メン</t>
    </rPh>
    <rPh sb="9" eb="10">
      <t>アツ</t>
    </rPh>
    <phoneticPr fontId="1"/>
  </si>
  <si>
    <t>[calclation] 許容締め代範囲と最終安全率</t>
    <rPh sb="13" eb="15">
      <t>キョヨウ</t>
    </rPh>
    <rPh sb="15" eb="16">
      <t>シ</t>
    </rPh>
    <rPh sb="17" eb="18">
      <t>シロ</t>
    </rPh>
    <rPh sb="18" eb="20">
      <t>ハンイ</t>
    </rPh>
    <rPh sb="21" eb="23">
      <t>サイシュウ</t>
    </rPh>
    <rPh sb="23" eb="25">
      <t>アンゼン</t>
    </rPh>
    <rPh sb="25" eb="26">
      <t>リツ</t>
    </rPh>
    <phoneticPr fontId="1"/>
  </si>
  <si>
    <t>[Input] 決定締め代範囲</t>
    <rPh sb="8" eb="10">
      <t>ケッテイ</t>
    </rPh>
    <rPh sb="10" eb="11">
      <t>シ</t>
    </rPh>
    <rPh sb="12" eb="13">
      <t>シロ</t>
    </rPh>
    <rPh sb="13" eb="15">
      <t>ハンイ</t>
    </rPh>
    <phoneticPr fontId="1"/>
  </si>
  <si>
    <t>-</t>
  </si>
  <si>
    <t>圧入押切荷重[N]</t>
    <rPh sb="0" eb="2">
      <t>アツニュウ</t>
    </rPh>
    <rPh sb="2" eb="4">
      <t>オシキリ</t>
    </rPh>
    <rPh sb="4" eb="6">
      <t>カジュウ</t>
    </rPh>
    <phoneticPr fontId="1"/>
  </si>
  <si>
    <t>押切荷重による面圧[MPa]</t>
    <rPh sb="0" eb="2">
      <t>オシキリ</t>
    </rPh>
    <rPh sb="2" eb="4">
      <t>カジュウ</t>
    </rPh>
    <rPh sb="7" eb="8">
      <t>メン</t>
    </rPh>
    <rPh sb="8" eb="9">
      <t>アツ</t>
    </rPh>
    <phoneticPr fontId="1"/>
  </si>
  <si>
    <t>を超え</t>
  </si>
  <si>
    <t>以下</t>
  </si>
  <si>
    <t>e9</t>
  </si>
  <si>
    <t>f6</t>
  </si>
  <si>
    <t>f7</t>
  </si>
  <si>
    <t>f8</t>
  </si>
  <si>
    <t>g5</t>
  </si>
  <si>
    <t>g6</t>
  </si>
  <si>
    <t>h5</t>
  </si>
  <si>
    <t>h6</t>
  </si>
  <si>
    <t>h7</t>
  </si>
  <si>
    <t>h8</t>
  </si>
  <si>
    <t>h9</t>
  </si>
  <si>
    <t>js5</t>
  </si>
  <si>
    <t>js6</t>
  </si>
  <si>
    <t>js7</t>
  </si>
  <si>
    <t>k5</t>
  </si>
  <si>
    <t>k6</t>
  </si>
  <si>
    <t>m5</t>
  </si>
  <si>
    <t>m6</t>
  </si>
  <si>
    <t>n6</t>
  </si>
  <si>
    <t>p6</t>
  </si>
  <si>
    <t>E9</t>
  </si>
  <si>
    <t>F6</t>
  </si>
  <si>
    <t>F7</t>
  </si>
  <si>
    <t>F8</t>
  </si>
  <si>
    <t>G6</t>
  </si>
  <si>
    <t>G7</t>
  </si>
  <si>
    <t>H6</t>
  </si>
  <si>
    <t>H7</t>
  </si>
  <si>
    <t>H8</t>
  </si>
  <si>
    <t>H9</t>
  </si>
  <si>
    <t>H10</t>
  </si>
  <si>
    <t>JS6</t>
  </si>
  <si>
    <t>JS7</t>
  </si>
  <si>
    <t>K6</t>
  </si>
  <si>
    <t>K7</t>
  </si>
  <si>
    <t>M6</t>
  </si>
  <si>
    <t>M7</t>
  </si>
  <si>
    <t>N6</t>
  </si>
  <si>
    <t>N7</t>
  </si>
  <si>
    <t>P6</t>
  </si>
  <si>
    <t>軸の公差域クラス[μm]</t>
    <phoneticPr fontId="1"/>
  </si>
  <si>
    <t>穴の公差域クラス[μm]</t>
    <phoneticPr fontId="1"/>
  </si>
  <si>
    <t>上公差</t>
    <rPh sb="0" eb="1">
      <t>カミ</t>
    </rPh>
    <rPh sb="1" eb="3">
      <t>コウサ</t>
    </rPh>
    <phoneticPr fontId="1"/>
  </si>
  <si>
    <t>下公差</t>
    <rPh sb="0" eb="1">
      <t>シタ</t>
    </rPh>
    <rPh sb="1" eb="3">
      <t>コウサ</t>
    </rPh>
    <phoneticPr fontId="1"/>
  </si>
  <si>
    <t>u</t>
    <phoneticPr fontId="1"/>
  </si>
  <si>
    <t>l</t>
    <phoneticPr fontId="1"/>
  </si>
  <si>
    <t>穴</t>
    <rPh sb="0" eb="1">
      <t>アナ</t>
    </rPh>
    <phoneticPr fontId="1"/>
  </si>
  <si>
    <t>軸</t>
    <rPh sb="0" eb="1">
      <t>ジク</t>
    </rPh>
    <phoneticPr fontId="1"/>
  </si>
  <si>
    <t>=</t>
    <phoneticPr fontId="1"/>
  </si>
  <si>
    <t>すきま公差(max/min)</t>
    <rPh sb="3" eb="5">
      <t>コウサ</t>
    </rPh>
    <phoneticPr fontId="1"/>
  </si>
  <si>
    <t>b9</t>
  </si>
  <si>
    <t>b9</t>
    <phoneticPr fontId="1"/>
  </si>
  <si>
    <t>c9</t>
  </si>
  <si>
    <t>c9</t>
    <phoneticPr fontId="1"/>
  </si>
  <si>
    <t>d8</t>
  </si>
  <si>
    <t>d8</t>
    <phoneticPr fontId="1"/>
  </si>
  <si>
    <t>d9</t>
  </si>
  <si>
    <t>d9</t>
    <phoneticPr fontId="1"/>
  </si>
  <si>
    <t>e7</t>
  </si>
  <si>
    <t>e7</t>
    <phoneticPr fontId="1"/>
  </si>
  <si>
    <t>e8</t>
  </si>
  <si>
    <t>e8</t>
    <phoneticPr fontId="1"/>
  </si>
  <si>
    <t>基準寸法の</t>
  </si>
  <si>
    <t>区分(mm)</t>
  </si>
  <si>
    <t>を越え</t>
  </si>
  <si>
    <t>軸の公差域クラス b9～f8</t>
  </si>
  <si>
    <t>s6</t>
  </si>
  <si>
    <t>t6</t>
    <phoneticPr fontId="1"/>
  </si>
  <si>
    <t>u6</t>
    <phoneticPr fontId="1"/>
  </si>
  <si>
    <t>x6</t>
    <phoneticPr fontId="1"/>
  </si>
  <si>
    <t>r6</t>
    <phoneticPr fontId="1"/>
  </si>
  <si>
    <t>B10</t>
    <phoneticPr fontId="1"/>
  </si>
  <si>
    <t>C9</t>
    <phoneticPr fontId="1"/>
  </si>
  <si>
    <t>C10</t>
    <phoneticPr fontId="1"/>
  </si>
  <si>
    <t>D8</t>
    <phoneticPr fontId="1"/>
  </si>
  <si>
    <t>D9</t>
    <phoneticPr fontId="1"/>
  </si>
  <si>
    <t>D10</t>
    <phoneticPr fontId="1"/>
  </si>
  <si>
    <t>E7</t>
    <phoneticPr fontId="1"/>
  </si>
  <si>
    <t>E8</t>
    <phoneticPr fontId="1"/>
  </si>
  <si>
    <t>R7</t>
    <phoneticPr fontId="1"/>
  </si>
  <si>
    <t>S7</t>
    <phoneticPr fontId="1"/>
  </si>
  <si>
    <t>T7</t>
    <phoneticPr fontId="1"/>
  </si>
  <si>
    <t>U7</t>
    <phoneticPr fontId="1"/>
  </si>
  <si>
    <t>X7</t>
    <phoneticPr fontId="1"/>
  </si>
  <si>
    <t>P7</t>
    <phoneticPr fontId="1"/>
  </si>
  <si>
    <t>回転トルク外力[Nm]</t>
    <rPh sb="0" eb="2">
      <t>カイテン</t>
    </rPh>
    <rPh sb="5" eb="7">
      <t>ガイリョク</t>
    </rPh>
    <phoneticPr fontId="1"/>
  </si>
  <si>
    <t>その他抜け外力[N]</t>
    <rPh sb="2" eb="3">
      <t>タ</t>
    </rPh>
    <rPh sb="3" eb="4">
      <t>ヌ</t>
    </rPh>
    <rPh sb="5" eb="7">
      <t>ガイリョク</t>
    </rPh>
    <phoneticPr fontId="1"/>
  </si>
  <si>
    <t>必要滑り抗力[N]</t>
    <rPh sb="0" eb="2">
      <t>ヒツヨウ</t>
    </rPh>
    <rPh sb="2" eb="3">
      <t>スベ</t>
    </rPh>
    <rPh sb="4" eb="6">
      <t>コウリョク</t>
    </rPh>
    <phoneticPr fontId="1"/>
  </si>
  <si>
    <t>必要接線抗力[N]</t>
    <rPh sb="0" eb="2">
      <t>ヒツヨウ</t>
    </rPh>
    <rPh sb="2" eb="4">
      <t>セッセン</t>
    </rPh>
    <rPh sb="4" eb="6">
      <t>コウリョク</t>
    </rPh>
    <rPh sb="5" eb="6">
      <t>リョク</t>
    </rPh>
    <phoneticPr fontId="1"/>
  </si>
  <si>
    <t>非締め代部面積[mm2]</t>
    <rPh sb="0" eb="1">
      <t>ヒ</t>
    </rPh>
    <rPh sb="1" eb="2">
      <t>シ</t>
    </rPh>
    <rPh sb="3" eb="4">
      <t>シロ</t>
    </rPh>
    <rPh sb="4" eb="5">
      <t>ブ</t>
    </rPh>
    <rPh sb="5" eb="7">
      <t>メンセキ</t>
    </rPh>
    <phoneticPr fontId="1"/>
  </si>
  <si>
    <t>rin</t>
    <phoneticPr fontId="1"/>
  </si>
  <si>
    <t>rout</t>
    <phoneticPr fontId="1"/>
  </si>
  <si>
    <t>P</t>
    <phoneticPr fontId="1"/>
  </si>
  <si>
    <t>r</t>
    <phoneticPr fontId="1"/>
  </si>
  <si>
    <t>σθ</t>
    <phoneticPr fontId="1"/>
  </si>
  <si>
    <t>http://todoroki.arrow.jp/cylinder.pdf</t>
  </si>
  <si>
    <t>https://seihin-sekkei.com/calculation-tool/internal_pressure_thick_cylinder/</t>
  </si>
  <si>
    <t>円周方向応力(内径部)[MPa]</t>
    <rPh sb="0" eb="4">
      <t>エンシュウホウコウ</t>
    </rPh>
    <rPh sb="4" eb="6">
      <t>オウリョク</t>
    </rPh>
    <rPh sb="7" eb="10">
      <t>ナイケイブ</t>
    </rPh>
    <phoneticPr fontId="1"/>
  </si>
  <si>
    <t>外圧p2</t>
    <rPh sb="0" eb="2">
      <t>ガイアツ</t>
    </rPh>
    <phoneticPr fontId="1"/>
  </si>
  <si>
    <t>内圧p1</t>
    <rPh sb="0" eb="2">
      <t>ナイアツ</t>
    </rPh>
    <phoneticPr fontId="1"/>
  </si>
  <si>
    <t>https://em.ten-navi.com/dictionary/6/</t>
  </si>
  <si>
    <t>https://www.nsk.com/jp/common/data/ctrgPdf/split/728/nsk_cat_728h_62-85.pdf</t>
  </si>
  <si>
    <t>半径方向応力(常温)[MPa]</t>
    <phoneticPr fontId="1"/>
  </si>
  <si>
    <t>半径方向応力[MPa]</t>
    <phoneticPr fontId="1"/>
  </si>
  <si>
    <t>角加速度[rad/s2]</t>
    <rPh sb="0" eb="4">
      <t>カクカソクド</t>
    </rPh>
    <phoneticPr fontId="1"/>
  </si>
  <si>
    <t>慣性モーメント[	kg m2]</t>
    <rPh sb="0" eb="2">
      <t>カンセイ</t>
    </rPh>
    <phoneticPr fontId="1"/>
  </si>
  <si>
    <t>外力合力[N]</t>
    <rPh sb="0" eb="2">
      <t>ガイリョク</t>
    </rPh>
    <rPh sb="2" eb="4">
      <t>ゴウリョク</t>
    </rPh>
    <phoneticPr fontId="1"/>
  </si>
  <si>
    <t>軸方向加速度[G]</t>
    <rPh sb="0" eb="3">
      <t>ジクホウコウ</t>
    </rPh>
    <rPh sb="3" eb="6">
      <t>カソクド</t>
    </rPh>
    <phoneticPr fontId="1"/>
  </si>
  <si>
    <t>その他軸方向外力[N]</t>
    <rPh sb="2" eb="3">
      <t>タ</t>
    </rPh>
    <rPh sb="3" eb="6">
      <t>ジクホウコウ</t>
    </rPh>
    <rPh sb="6" eb="8">
      <t>ガイリョク</t>
    </rPh>
    <phoneticPr fontId="1"/>
  </si>
  <si>
    <t>その他円周方向外力[N]</t>
    <rPh sb="2" eb="3">
      <t>タ</t>
    </rPh>
    <rPh sb="3" eb="7">
      <t>エンシュウホウコウ</t>
    </rPh>
    <rPh sb="7" eb="9">
      <t>ガイリョク</t>
    </rPh>
    <phoneticPr fontId="1"/>
  </si>
  <si>
    <t>圧入時摩擦係数</t>
    <rPh sb="0" eb="3">
      <t>アツニュウジ</t>
    </rPh>
    <rPh sb="3" eb="5">
      <t>マサツ</t>
    </rPh>
    <rPh sb="5" eb="7">
      <t>ケイスウ</t>
    </rPh>
    <phoneticPr fontId="1"/>
  </si>
  <si>
    <t>抜け、滑り時摩擦係数</t>
    <rPh sb="0" eb="1">
      <t>ヌ</t>
    </rPh>
    <rPh sb="3" eb="4">
      <t>スベ</t>
    </rPh>
    <rPh sb="5" eb="6">
      <t>ジ</t>
    </rPh>
    <rPh sb="6" eb="10">
      <t>マサツケイスウ</t>
    </rPh>
    <phoneticPr fontId="1"/>
  </si>
  <si>
    <t>step</t>
    <phoneticPr fontId="1"/>
  </si>
  <si>
    <t>締め代[mm]</t>
    <phoneticPr fontId="1"/>
  </si>
  <si>
    <t>半径方向応力[MPa]</t>
    <rPh sb="0" eb="4">
      <t>ハンケイホウコウ</t>
    </rPh>
    <rPh sb="4" eb="6">
      <t>オウリョク</t>
    </rPh>
    <phoneticPr fontId="1"/>
  </si>
  <si>
    <t>圧入力[kN]</t>
    <rPh sb="0" eb="3">
      <t>アツニュウリョク</t>
    </rPh>
    <phoneticPr fontId="1"/>
  </si>
  <si>
    <t>降伏点</t>
    <phoneticPr fontId="1"/>
  </si>
  <si>
    <t>円周方向応力[MPa]</t>
    <phoneticPr fontId="1"/>
  </si>
  <si>
    <t>締め代</t>
    <rPh sb="0" eb="1">
      <t>シ</t>
    </rPh>
    <rPh sb="2" eb="3">
      <t>シロ</t>
    </rPh>
    <phoneticPr fontId="1"/>
  </si>
  <si>
    <t>半径方向応力min</t>
    <rPh sb="0" eb="2">
      <t>ハンケイ</t>
    </rPh>
    <rPh sb="2" eb="4">
      <t>ホウコウ</t>
    </rPh>
    <rPh sb="4" eb="6">
      <t>オウリョク</t>
    </rPh>
    <phoneticPr fontId="1"/>
  </si>
  <si>
    <t>半径方向応力nor</t>
    <rPh sb="0" eb="2">
      <t>ハンケイホウコウ2</t>
    </rPh>
    <phoneticPr fontId="1"/>
  </si>
  <si>
    <t>半径方向応力max</t>
    <rPh sb="0" eb="2">
      <t>ハンケイホウコウ22</t>
    </rPh>
    <phoneticPr fontId="1"/>
  </si>
  <si>
    <t>圧入力min</t>
    <rPh sb="0" eb="3">
      <t>アツニュウリョク</t>
    </rPh>
    <phoneticPr fontId="1"/>
  </si>
  <si>
    <t>圧入力nor</t>
    <rPh sb="0" eb="3">
      <t>アツニュウリョク2</t>
    </rPh>
    <phoneticPr fontId="1"/>
  </si>
  <si>
    <t>圧入力max</t>
    <rPh sb="0" eb="3">
      <t>アツニュウリョク3</t>
    </rPh>
    <phoneticPr fontId="1"/>
  </si>
  <si>
    <t>降伏点inner</t>
    <rPh sb="0" eb="3">
      <t>コウフクテン</t>
    </rPh>
    <phoneticPr fontId="1"/>
  </si>
  <si>
    <t>降伏点outer</t>
    <rPh sb="0" eb="3">
      <t>コウフクテン</t>
    </rPh>
    <phoneticPr fontId="1"/>
  </si>
  <si>
    <t>円周方向応力inner</t>
    <phoneticPr fontId="1"/>
  </si>
  <si>
    <t>円周方向応力outer</t>
    <phoneticPr fontId="1"/>
  </si>
  <si>
    <t>inner応力[MPa]</t>
    <rPh sb="5" eb="7">
      <t>オウリョク</t>
    </rPh>
    <phoneticPr fontId="1"/>
  </si>
  <si>
    <t>締め代：Δ-30℃</t>
    <phoneticPr fontId="1"/>
  </si>
  <si>
    <t>締め代：Δ-20℃</t>
    <rPh sb="0" eb="1">
      <t>シ</t>
    </rPh>
    <rPh sb="2" eb="3">
      <t>シロ</t>
    </rPh>
    <phoneticPr fontId="1"/>
  </si>
  <si>
    <t>締め代：Δ-10℃</t>
    <rPh sb="0" eb="1">
      <t>シ</t>
    </rPh>
    <rPh sb="2" eb="3">
      <t>シロ</t>
    </rPh>
    <phoneticPr fontId="1"/>
  </si>
  <si>
    <t>締め代：Δ0℃</t>
    <rPh sb="0" eb="1">
      <t>シ</t>
    </rPh>
    <rPh sb="2" eb="3">
      <t>シロ</t>
    </rPh>
    <phoneticPr fontId="1"/>
  </si>
  <si>
    <t>締め代：Δ+10℃</t>
    <rPh sb="0" eb="1">
      <t>シ</t>
    </rPh>
    <rPh sb="2" eb="3">
      <t>シロ</t>
    </rPh>
    <phoneticPr fontId="1"/>
  </si>
  <si>
    <t>締め代：Δ+20℃</t>
    <rPh sb="0" eb="1">
      <t>シ</t>
    </rPh>
    <rPh sb="2" eb="3">
      <t>シロ</t>
    </rPh>
    <phoneticPr fontId="1"/>
  </si>
  <si>
    <t>締め代：Δ+30℃</t>
    <rPh sb="0" eb="1">
      <t>シ</t>
    </rPh>
    <rPh sb="2" eb="3">
      <t>シロ</t>
    </rPh>
    <phoneticPr fontId="1"/>
  </si>
  <si>
    <t>半径方向応力:Δ-30℃</t>
    <phoneticPr fontId="1"/>
  </si>
  <si>
    <t>inner応力:Δ-30℃</t>
    <rPh sb="5" eb="7">
      <t>オウリョク</t>
    </rPh>
    <phoneticPr fontId="1"/>
  </si>
  <si>
    <t>半径方向応力:Δ-20℃</t>
    <rPh sb="0" eb="2">
      <t>ハンケイ</t>
    </rPh>
    <rPh sb="2" eb="4">
      <t>ホウコウ</t>
    </rPh>
    <rPh sb="4" eb="6">
      <t>オウリョク</t>
    </rPh>
    <phoneticPr fontId="1"/>
  </si>
  <si>
    <t>半径方向応力:Δ-10℃</t>
    <rPh sb="0" eb="2">
      <t>ハンケイ</t>
    </rPh>
    <rPh sb="2" eb="4">
      <t>ホウコウ</t>
    </rPh>
    <rPh sb="4" eb="6">
      <t>オウリョク</t>
    </rPh>
    <phoneticPr fontId="1"/>
  </si>
  <si>
    <t>半径方向応力:Δ0℃</t>
    <rPh sb="0" eb="2">
      <t>ハンケイ</t>
    </rPh>
    <rPh sb="2" eb="4">
      <t>ホウコウ</t>
    </rPh>
    <rPh sb="4" eb="6">
      <t>オウリョク</t>
    </rPh>
    <phoneticPr fontId="1"/>
  </si>
  <si>
    <t>半径方向応力:Δ+10℃</t>
    <rPh sb="0" eb="2">
      <t>ハンケイ</t>
    </rPh>
    <rPh sb="2" eb="4">
      <t>ホウコウ</t>
    </rPh>
    <rPh sb="4" eb="6">
      <t>オウリョク</t>
    </rPh>
    <phoneticPr fontId="1"/>
  </si>
  <si>
    <t>半径方向応力:Δ+20℃</t>
    <rPh sb="0" eb="2">
      <t>ハンケイ</t>
    </rPh>
    <rPh sb="2" eb="4">
      <t>ホウコウ</t>
    </rPh>
    <rPh sb="4" eb="6">
      <t>オウリョク</t>
    </rPh>
    <phoneticPr fontId="1"/>
  </si>
  <si>
    <t>半径方向応力:Δ+30℃</t>
    <rPh sb="0" eb="2">
      <t>ハンケイ</t>
    </rPh>
    <rPh sb="2" eb="4">
      <t>ホウコウ</t>
    </rPh>
    <rPh sb="4" eb="6">
      <t>オウリョク</t>
    </rPh>
    <phoneticPr fontId="1"/>
  </si>
  <si>
    <t>inner温度[℃]</t>
    <rPh sb="5" eb="7">
      <t>オンド</t>
    </rPh>
    <phoneticPr fontId="1"/>
  </si>
  <si>
    <t>outer応力[MPa]</t>
    <rPh sb="5" eb="7">
      <t>オウリョク</t>
    </rPh>
    <phoneticPr fontId="1"/>
  </si>
  <si>
    <t>inner応力:Δ-20℃</t>
    <phoneticPr fontId="1"/>
  </si>
  <si>
    <t>inner応力:Δ-10℃</t>
    <rPh sb="5" eb="7">
      <t>オウリョク</t>
    </rPh>
    <phoneticPr fontId="1"/>
  </si>
  <si>
    <t>inner応力:Δ0℃</t>
    <rPh sb="5" eb="7">
      <t>オウリョク</t>
    </rPh>
    <phoneticPr fontId="1"/>
  </si>
  <si>
    <t>inner応力:Δ+10℃</t>
    <rPh sb="5" eb="7">
      <t>オウリョク</t>
    </rPh>
    <phoneticPr fontId="1"/>
  </si>
  <si>
    <t>inner応力:Δ+20℃</t>
    <rPh sb="5" eb="7">
      <t>オウリョク</t>
    </rPh>
    <phoneticPr fontId="1"/>
  </si>
  <si>
    <t>inner応力:Δ+30℃</t>
    <rPh sb="5" eb="7">
      <t>オウリョク</t>
    </rPh>
    <phoneticPr fontId="1"/>
  </si>
  <si>
    <t>outer応力:Δ-30℃</t>
    <rPh sb="5" eb="7">
      <t>オウリョク</t>
    </rPh>
    <phoneticPr fontId="1"/>
  </si>
  <si>
    <t>outer応力:Δ-20℃</t>
    <rPh sb="5" eb="7">
      <t>オウリョク</t>
    </rPh>
    <phoneticPr fontId="1"/>
  </si>
  <si>
    <t>outer応力:Δ-10℃</t>
    <rPh sb="5" eb="7">
      <t>オウリョク</t>
    </rPh>
    <phoneticPr fontId="1"/>
  </si>
  <si>
    <t>outer応力:Δ0℃</t>
    <rPh sb="5" eb="7">
      <t>オウリョク</t>
    </rPh>
    <phoneticPr fontId="1"/>
  </si>
  <si>
    <t>outer応力:Δ+10℃</t>
    <rPh sb="5" eb="7">
      <t>オウリョク</t>
    </rPh>
    <phoneticPr fontId="1"/>
  </si>
  <si>
    <t>outer応力:Δ+20℃</t>
    <rPh sb="5" eb="7">
      <t>オウリョク</t>
    </rPh>
    <phoneticPr fontId="1"/>
  </si>
  <si>
    <t>outer応力:Δ+30℃</t>
    <rPh sb="5" eb="7">
      <t>オウリョク</t>
    </rPh>
    <phoneticPr fontId="1"/>
  </si>
  <si>
    <t>inner降伏点</t>
    <rPh sb="5" eb="8">
      <t>コウフクテン</t>
    </rPh>
    <phoneticPr fontId="1"/>
  </si>
  <si>
    <t>outer降伏点</t>
    <rPh sb="5" eb="8">
      <t>コウフクテン</t>
    </rPh>
    <phoneticPr fontId="1"/>
  </si>
  <si>
    <t>慣性によるトルク[Nm]</t>
    <rPh sb="0" eb="2">
      <t>カンセイ</t>
    </rPh>
    <phoneticPr fontId="1"/>
  </si>
  <si>
    <t>慣性による円周方向外力[N]</t>
    <rPh sb="5" eb="9">
      <t>エンシュウホウコウ</t>
    </rPh>
    <rPh sb="9" eb="11">
      <t>ガイリョク</t>
    </rPh>
    <phoneticPr fontId="1"/>
  </si>
  <si>
    <t>慣性による軸方向外力[N]</t>
    <rPh sb="0" eb="2">
      <t>カンセイ</t>
    </rPh>
    <rPh sb="5" eb="8">
      <t>ジクホウコウ</t>
    </rPh>
    <rPh sb="8" eb="10">
      <t>ガイリョク</t>
    </rPh>
    <phoneticPr fontId="1"/>
  </si>
  <si>
    <t>円周の締め代部長さ割合</t>
    <rPh sb="0" eb="2">
      <t>エンシュウ</t>
    </rPh>
    <rPh sb="3" eb="4">
      <t>シ</t>
    </rPh>
    <rPh sb="5" eb="7">
      <t>シロブ</t>
    </rPh>
    <rPh sb="7" eb="8">
      <t>ナガ</t>
    </rPh>
    <rPh sb="9" eb="11">
      <t>ワリアイ</t>
    </rPh>
    <phoneticPr fontId="1"/>
  </si>
  <si>
    <t>実質はめあい径[mm]</t>
    <rPh sb="0" eb="2">
      <t>ジッシツ</t>
    </rPh>
    <rPh sb="6" eb="7">
      <t>ケイ</t>
    </rPh>
    <phoneticPr fontId="1"/>
  </si>
  <si>
    <t>圧入時押し当て面積[mm2]</t>
    <rPh sb="0" eb="3">
      <t>アツニュウジ</t>
    </rPh>
    <rPh sb="3" eb="4">
      <t>オ</t>
    </rPh>
    <rPh sb="5" eb="6">
      <t>ア</t>
    </rPh>
    <rPh sb="7" eb="9">
      <t>メンセキ</t>
    </rPh>
    <phoneticPr fontId="1"/>
  </si>
  <si>
    <t>締め代部面積[mm2]</t>
    <rPh sb="0" eb="1">
      <t>シ</t>
    </rPh>
    <rPh sb="2" eb="4">
      <t>シロブ</t>
    </rPh>
    <rPh sb="4" eb="6">
      <t>メンセキ</t>
    </rPh>
    <phoneticPr fontId="1"/>
  </si>
  <si>
    <t>軸方向の締め代部長さ[mm]</t>
    <rPh sb="0" eb="3">
      <t>ジクホウコウ</t>
    </rPh>
    <rPh sb="4" eb="5">
      <t>シ</t>
    </rPh>
    <rPh sb="6" eb="8">
      <t>シロブ</t>
    </rPh>
    <rPh sb="8" eb="9">
      <t>ナガ</t>
    </rPh>
    <phoneticPr fontId="1"/>
  </si>
  <si>
    <t>Assy Basic Parameter</t>
    <phoneticPr fontId="1"/>
  </si>
  <si>
    <t>External Force</t>
    <phoneticPr fontId="1"/>
  </si>
  <si>
    <t>Inner Part Basic Parameter</t>
    <phoneticPr fontId="1"/>
  </si>
  <si>
    <t>Assembly Dimmensions</t>
    <phoneticPr fontId="1"/>
  </si>
  <si>
    <t>必要押切荷重[kN]</t>
    <rPh sb="0" eb="2">
      <t>ヒツヨウ</t>
    </rPh>
    <rPh sb="2" eb="4">
      <t>オシキリ</t>
    </rPh>
    <rPh sb="4" eb="6">
      <t>カジュウ</t>
    </rPh>
    <phoneticPr fontId="1"/>
  </si>
  <si>
    <t>Outer Part Basic Parameter</t>
    <phoneticPr fontId="1"/>
  </si>
  <si>
    <t>Be Pushed Part Parameter</t>
    <phoneticPr fontId="1"/>
  </si>
  <si>
    <t>Be Pushed Part</t>
    <phoneticPr fontId="1"/>
  </si>
  <si>
    <t>抜け抗力[kN]</t>
    <rPh sb="0" eb="1">
      <t>ヌ</t>
    </rPh>
    <rPh sb="2" eb="4">
      <t>コウリョク</t>
    </rPh>
    <phoneticPr fontId="1"/>
  </si>
  <si>
    <t>抜け抗力安全率[N/N]</t>
    <rPh sb="0" eb="1">
      <t>ヌ</t>
    </rPh>
    <rPh sb="2" eb="4">
      <t>コウリョク</t>
    </rPh>
    <rPh sb="4" eb="7">
      <t>アンゼンリツ</t>
    </rPh>
    <phoneticPr fontId="1"/>
  </si>
  <si>
    <t>円周方向応力安全率(内径部)[Pa/Pa]</t>
    <rPh sb="0" eb="4">
      <t>エンシュウホウコウ</t>
    </rPh>
    <rPh sb="4" eb="6">
      <t>オウリョク</t>
    </rPh>
    <rPh sb="6" eb="9">
      <t>アンゼンリツ</t>
    </rPh>
    <rPh sb="10" eb="13">
      <t>ナイケイブ</t>
    </rPh>
    <phoneticPr fontId="1"/>
  </si>
  <si>
    <t>半径方向応力安全率[Pa/Pa]</t>
    <rPh sb="6" eb="8">
      <t>アンゼン</t>
    </rPh>
    <rPh sb="8" eb="9">
      <t>リツ</t>
    </rPh>
    <phoneticPr fontId="1"/>
  </si>
  <si>
    <t>半径方向応力安全率(常温)[Pa/Pa]</t>
    <rPh sb="0" eb="2">
      <t>ハンケイ</t>
    </rPh>
    <rPh sb="2" eb="4">
      <t>ホウコウ</t>
    </rPh>
    <rPh sb="4" eb="6">
      <t>オウリョク</t>
    </rPh>
    <rPh sb="6" eb="8">
      <t>アンゼン</t>
    </rPh>
    <rPh sb="8" eb="9">
      <t>リツ</t>
    </rPh>
    <rPh sb="10" eb="12">
      <t>ジョウオン</t>
    </rPh>
    <phoneticPr fontId="1"/>
  </si>
  <si>
    <t>半径方向応力安全率(常温)[Pa/Pa]</t>
    <rPh sb="0" eb="4">
      <t>ハンケイホウコウ</t>
    </rPh>
    <rPh sb="4" eb="6">
      <t>オウリョク</t>
    </rPh>
    <rPh sb="6" eb="8">
      <t>アンゼン</t>
    </rPh>
    <rPh sb="8" eb="9">
      <t>リツ</t>
    </rPh>
    <rPh sb="10" eb="12">
      <t>ジョウオン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</si>
</sst>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0.0000"/>
    <numFmt numFmtId="177" formatCode="0.000"/>
    <numFmt numFmtId="178" formatCode="0.000_ "/>
    <numFmt numFmtId="179" formatCode="0.00000"/>
    <numFmt numFmtId="180" formatCode="0.0"/>
    <numFmt numFmtId="181" formatCode="0.000000"/>
    <numFmt numFmtId="182" formatCode="0.0000_ "/>
    <numFmt numFmtId="183" formatCode="0.0_ "/>
    <numFmt numFmtId="184" formatCode="0_ "/>
  </numFmts>
  <fonts count="14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  <font>
      <sz val="36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sz val="9"/>
      <color indexed="81"/>
      <name val="MS P ゴシック"/>
      <family val="3"/>
      <charset val="128"/>
    </font>
    <font>
      <b/>
      <sz val="9"/>
      <color indexed="81"/>
      <name val="MS P ゴシック"/>
      <family val="3"/>
      <charset val="128"/>
    </font>
    <font>
      <sz val="11"/>
      <name val="游ゴシック"/>
      <family val="2"/>
      <scheme val="minor"/>
    </font>
    <font>
      <sz val="10"/>
      <name val="游ゴシック"/>
      <family val="3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9"/>
      <color theme="1"/>
      <name val="游ゴシック"/>
      <family val="3"/>
      <charset val="128"/>
      <scheme val="minor"/>
    </font>
    <font>
      <sz val="5"/>
      <color rgb="FF333333"/>
      <name val="メイリオ"/>
      <family val="3"/>
      <charset val="128"/>
    </font>
  </fonts>
  <fills count="1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 tint="-0.249977111117893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27">
    <xf numFmtId="0" fontId="0" fillId="0" borderId="0" xfId="0"/>
    <xf numFmtId="0" fontId="0" fillId="2" borderId="1" xfId="0" applyFon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76" fontId="0" fillId="0" borderId="0" xfId="0" applyNumberFormat="1"/>
    <xf numFmtId="0" fontId="4" fillId="0" borderId="0" xfId="1"/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177" fontId="0" fillId="2" borderId="6" xfId="0" applyNumberFormat="1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177" fontId="3" fillId="2" borderId="6" xfId="0" applyNumberFormat="1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177" fontId="0" fillId="0" borderId="2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1" fontId="0" fillId="0" borderId="17" xfId="0" applyNumberForma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9" xfId="0" applyFill="1" applyBorder="1" applyAlignment="1">
      <alignment horizontal="center" vertical="center"/>
    </xf>
    <xf numFmtId="0" fontId="0" fillId="4" borderId="20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2" borderId="26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2" borderId="28" xfId="0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2" borderId="30" xfId="0" applyFill="1" applyBorder="1" applyAlignment="1">
      <alignment horizontal="center" vertical="center"/>
    </xf>
    <xf numFmtId="0" fontId="0" fillId="2" borderId="31" xfId="0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0" fillId="2" borderId="33" xfId="0" applyFill="1" applyBorder="1" applyAlignment="1">
      <alignment horizontal="center" vertical="center"/>
    </xf>
    <xf numFmtId="177" fontId="0" fillId="0" borderId="31" xfId="0" applyNumberFormat="1" applyBorder="1" applyAlignment="1">
      <alignment horizontal="center" vertical="center"/>
    </xf>
    <xf numFmtId="1" fontId="0" fillId="0" borderId="31" xfId="0" applyNumberFormat="1" applyBorder="1" applyAlignment="1">
      <alignment horizontal="center" vertical="center"/>
    </xf>
    <xf numFmtId="2" fontId="0" fillId="0" borderId="31" xfId="0" applyNumberForma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2" fontId="0" fillId="4" borderId="0" xfId="0" applyNumberFormat="1" applyFill="1" applyBorder="1" applyAlignment="1">
      <alignment horizontal="center" vertical="center"/>
    </xf>
    <xf numFmtId="1" fontId="0" fillId="4" borderId="0" xfId="0" applyNumberFormat="1" applyFill="1" applyBorder="1" applyAlignment="1">
      <alignment horizontal="center" vertical="center"/>
    </xf>
    <xf numFmtId="1" fontId="0" fillId="4" borderId="9" xfId="0" applyNumberFormat="1" applyFill="1" applyBorder="1" applyAlignment="1">
      <alignment horizontal="center" vertical="center"/>
    </xf>
    <xf numFmtId="1" fontId="0" fillId="4" borderId="22" xfId="0" applyNumberFormat="1" applyFill="1" applyBorder="1" applyAlignment="1">
      <alignment horizontal="center" vertical="center"/>
    </xf>
    <xf numFmtId="2" fontId="0" fillId="4" borderId="22" xfId="0" applyNumberFormat="1" applyFill="1" applyBorder="1" applyAlignment="1">
      <alignment horizontal="center" vertical="center"/>
    </xf>
    <xf numFmtId="1" fontId="0" fillId="4" borderId="23" xfId="0" applyNumberFormat="1" applyFill="1" applyBorder="1" applyAlignment="1">
      <alignment horizontal="center" vertical="center"/>
    </xf>
    <xf numFmtId="0" fontId="0" fillId="0" borderId="13" xfId="0" applyBorder="1" applyAlignment="1">
      <alignment horizontal="center" vertical="center" wrapText="1"/>
    </xf>
    <xf numFmtId="0" fontId="0" fillId="2" borderId="34" xfId="0" applyFill="1" applyBorder="1" applyAlignment="1">
      <alignment horizontal="center" vertical="center"/>
    </xf>
    <xf numFmtId="0" fontId="0" fillId="2" borderId="35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0" fillId="0" borderId="1" xfId="0" applyBorder="1"/>
    <xf numFmtId="0" fontId="5" fillId="0" borderId="0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1" fontId="0" fillId="6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0" fillId="6" borderId="0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5" borderId="1" xfId="0" applyFill="1" applyBorder="1" applyAlignment="1">
      <alignment vertical="center"/>
    </xf>
    <xf numFmtId="180" fontId="0" fillId="5" borderId="1" xfId="0" applyNumberFormat="1" applyFill="1" applyBorder="1" applyAlignment="1">
      <alignment vertical="center"/>
    </xf>
    <xf numFmtId="0" fontId="0" fillId="6" borderId="0" xfId="0" applyFill="1" applyBorder="1" applyAlignment="1">
      <alignment vertical="center"/>
    </xf>
    <xf numFmtId="0" fontId="6" fillId="0" borderId="0" xfId="0" applyFont="1" applyAlignment="1">
      <alignment vertical="center"/>
    </xf>
    <xf numFmtId="0" fontId="0" fillId="5" borderId="1" xfId="0" applyFill="1" applyBorder="1" applyAlignment="1">
      <alignment horizontal="center" vertical="center"/>
    </xf>
    <xf numFmtId="180" fontId="0" fillId="5" borderId="1" xfId="0" applyNumberFormat="1" applyFill="1" applyBorder="1" applyAlignment="1">
      <alignment horizontal="center" vertical="center"/>
    </xf>
    <xf numFmtId="1" fontId="0" fillId="5" borderId="1" xfId="0" applyNumberFormat="1" applyFill="1" applyBorder="1" applyAlignment="1">
      <alignment horizontal="center" vertical="center"/>
    </xf>
    <xf numFmtId="180" fontId="0" fillId="0" borderId="0" xfId="0" applyNumberFormat="1"/>
    <xf numFmtId="2" fontId="0" fillId="0" borderId="0" xfId="0" applyNumberFormat="1"/>
    <xf numFmtId="177" fontId="0" fillId="5" borderId="1" xfId="0" applyNumberFormat="1" applyFill="1" applyBorder="1" applyAlignment="1">
      <alignment horizontal="center" vertical="center"/>
    </xf>
    <xf numFmtId="176" fontId="0" fillId="5" borderId="1" xfId="0" applyNumberFormat="1" applyFill="1" applyBorder="1" applyAlignment="1">
      <alignment horizontal="center" vertical="center"/>
    </xf>
    <xf numFmtId="180" fontId="0" fillId="7" borderId="1" xfId="0" applyNumberFormat="1" applyFill="1" applyBorder="1" applyAlignment="1">
      <alignment horizontal="center" vertical="center"/>
    </xf>
    <xf numFmtId="181" fontId="0" fillId="5" borderId="1" xfId="0" applyNumberFormat="1" applyFill="1" applyBorder="1" applyAlignment="1">
      <alignment horizontal="center" vertical="center"/>
    </xf>
    <xf numFmtId="179" fontId="0" fillId="5" borderId="1" xfId="0" applyNumberFormat="1" applyFill="1" applyBorder="1" applyAlignment="1">
      <alignment horizontal="center" vertical="center"/>
    </xf>
    <xf numFmtId="178" fontId="0" fillId="5" borderId="1" xfId="0" applyNumberFormat="1" applyFill="1" applyBorder="1" applyAlignment="1">
      <alignment horizontal="center" vertical="center"/>
    </xf>
    <xf numFmtId="182" fontId="0" fillId="5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/>
    </xf>
    <xf numFmtId="1" fontId="0" fillId="5" borderId="1" xfId="0" applyNumberFormat="1" applyFill="1" applyBorder="1" applyAlignment="1">
      <alignment vertical="center"/>
    </xf>
    <xf numFmtId="177" fontId="0" fillId="5" borderId="1" xfId="0" applyNumberFormat="1" applyFill="1" applyBorder="1" applyAlignment="1">
      <alignment vertical="center"/>
    </xf>
    <xf numFmtId="177" fontId="0" fillId="7" borderId="1" xfId="0" applyNumberFormat="1" applyFill="1" applyBorder="1" applyAlignment="1">
      <alignment vertical="center"/>
    </xf>
    <xf numFmtId="182" fontId="0" fillId="7" borderId="1" xfId="0" applyNumberFormat="1" applyFill="1" applyBorder="1" applyAlignment="1">
      <alignment vertical="center"/>
    </xf>
    <xf numFmtId="181" fontId="0" fillId="5" borderId="1" xfId="0" applyNumberFormat="1" applyFill="1" applyBorder="1" applyAlignment="1">
      <alignment vertical="center"/>
    </xf>
    <xf numFmtId="183" fontId="0" fillId="5" borderId="1" xfId="0" applyNumberFormat="1" applyFill="1" applyBorder="1" applyAlignment="1">
      <alignment vertical="center"/>
    </xf>
    <xf numFmtId="182" fontId="0" fillId="5" borderId="1" xfId="0" applyNumberFormat="1" applyFill="1" applyBorder="1" applyAlignment="1">
      <alignment vertical="center"/>
    </xf>
    <xf numFmtId="178" fontId="0" fillId="5" borderId="1" xfId="0" applyNumberFormat="1" applyFill="1" applyBorder="1" applyAlignment="1">
      <alignment vertical="center"/>
    </xf>
    <xf numFmtId="184" fontId="0" fillId="7" borderId="1" xfId="0" applyNumberFormat="1" applyFill="1" applyBorder="1" applyAlignment="1">
      <alignment vertical="center"/>
    </xf>
    <xf numFmtId="180" fontId="0" fillId="7" borderId="1" xfId="0" applyNumberFormat="1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" fontId="0" fillId="0" borderId="1" xfId="0" applyNumberFormat="1" applyBorder="1" applyAlignment="1">
      <alignment vertical="center"/>
    </xf>
    <xf numFmtId="0" fontId="0" fillId="8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81" fontId="0" fillId="5" borderId="1" xfId="0" applyNumberForma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center" vertical="center"/>
    </xf>
    <xf numFmtId="0" fontId="11" fillId="0" borderId="1" xfId="0" applyFont="1" applyBorder="1" applyAlignment="1">
      <alignment horizontal="right" vertical="center" wrapText="1"/>
    </xf>
    <xf numFmtId="0" fontId="10" fillId="3" borderId="1" xfId="0" applyFont="1" applyFill="1" applyBorder="1" applyAlignment="1">
      <alignment vertical="center" wrapText="1"/>
    </xf>
    <xf numFmtId="0" fontId="0" fillId="3" borderId="1" xfId="0" applyFill="1" applyBorder="1" applyAlignment="1">
      <alignment vertical="center"/>
    </xf>
    <xf numFmtId="0" fontId="0" fillId="3" borderId="1" xfId="0" applyFill="1" applyBorder="1" applyAlignment="1">
      <alignment horizontal="righ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0" fillId="6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Continuous"/>
    </xf>
    <xf numFmtId="0" fontId="0" fillId="3" borderId="1" xfId="0" applyFill="1" applyBorder="1" applyAlignment="1">
      <alignment horizontal="centerContinuous" vertical="distributed"/>
    </xf>
    <xf numFmtId="0" fontId="11" fillId="0" borderId="1" xfId="0" applyFont="1" applyFill="1" applyBorder="1" applyAlignment="1">
      <alignment horizontal="right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right" vertical="center" wrapText="1"/>
    </xf>
    <xf numFmtId="0" fontId="0" fillId="3" borderId="2" xfId="0" applyFill="1" applyBorder="1" applyAlignment="1">
      <alignment horizontal="centerContinuous" vertical="distributed"/>
    </xf>
    <xf numFmtId="0" fontId="11" fillId="0" borderId="2" xfId="0" applyFont="1" applyBorder="1" applyAlignment="1">
      <alignment horizontal="right" vertical="center" wrapText="1"/>
    </xf>
    <xf numFmtId="0" fontId="12" fillId="9" borderId="1" xfId="0" applyFont="1" applyFill="1" applyBorder="1" applyAlignment="1">
      <alignment horizontal="centerContinuous" vertical="center"/>
    </xf>
    <xf numFmtId="0" fontId="0" fillId="0" borderId="39" xfId="0" applyBorder="1" applyAlignment="1"/>
    <xf numFmtId="0" fontId="13" fillId="10" borderId="0" xfId="0" applyFont="1" applyFill="1" applyAlignment="1">
      <alignment horizontal="left" vertical="center" wrapText="1"/>
    </xf>
    <xf numFmtId="0" fontId="0" fillId="3" borderId="40" xfId="0" applyFill="1" applyBorder="1" applyAlignment="1">
      <alignment horizontal="right" vertical="center" wrapText="1"/>
    </xf>
    <xf numFmtId="0" fontId="2" fillId="3" borderId="38" xfId="0" applyFont="1" applyFill="1" applyBorder="1" applyAlignment="1">
      <alignment horizontal="left" vertical="center" wrapText="1"/>
    </xf>
    <xf numFmtId="0" fontId="0" fillId="3" borderId="1" xfId="0" applyFill="1" applyBorder="1"/>
    <xf numFmtId="0" fontId="0" fillId="3" borderId="13" xfId="0" applyFill="1" applyBorder="1" applyAlignment="1">
      <alignment horizontal="centerContinuous" vertical="distributed"/>
    </xf>
    <xf numFmtId="0" fontId="0" fillId="3" borderId="37" xfId="0" applyFill="1" applyBorder="1" applyAlignment="1">
      <alignment horizontal="centerContinuous" vertical="distributed"/>
    </xf>
    <xf numFmtId="0" fontId="2" fillId="3" borderId="13" xfId="0" applyFont="1" applyFill="1" applyBorder="1" applyAlignment="1">
      <alignment horizontal="center" vertical="center" wrapText="1"/>
    </xf>
    <xf numFmtId="0" fontId="11" fillId="0" borderId="13" xfId="0" applyFont="1" applyBorder="1" applyAlignment="1">
      <alignment horizontal="right" vertical="center" wrapText="1"/>
    </xf>
    <xf numFmtId="0" fontId="0" fillId="3" borderId="13" xfId="0" applyFill="1" applyBorder="1" applyAlignment="1">
      <alignment horizontal="centerContinuous"/>
    </xf>
    <xf numFmtId="0" fontId="0" fillId="3" borderId="37" xfId="0" applyFill="1" applyBorder="1" applyAlignment="1">
      <alignment horizontal="centerContinuous"/>
    </xf>
    <xf numFmtId="0" fontId="0" fillId="3" borderId="2" xfId="0" applyFill="1" applyBorder="1" applyAlignment="1">
      <alignment horizontal="centerContinuous"/>
    </xf>
    <xf numFmtId="0" fontId="0" fillId="0" borderId="0" xfId="0" applyBorder="1"/>
    <xf numFmtId="0" fontId="0" fillId="0" borderId="0" xfId="0" applyBorder="1" applyAlignment="1"/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1" fontId="0" fillId="5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1" fontId="0" fillId="5" borderId="1" xfId="0" applyNumberFormat="1" applyFill="1" applyBorder="1" applyAlignment="1">
      <alignment horizontal="center" vertical="center"/>
    </xf>
    <xf numFmtId="180" fontId="0" fillId="6" borderId="1" xfId="0" applyNumberFormat="1" applyFill="1" applyBorder="1" applyAlignment="1">
      <alignment horizontal="center" vertical="center"/>
    </xf>
    <xf numFmtId="180" fontId="0" fillId="11" borderId="1" xfId="0" applyNumberFormat="1" applyFill="1" applyBorder="1" applyAlignment="1">
      <alignment horizontal="center" vertical="center"/>
    </xf>
    <xf numFmtId="0" fontId="0" fillId="6" borderId="0" xfId="0" applyFill="1" applyAlignment="1">
      <alignment vertical="center"/>
    </xf>
    <xf numFmtId="0" fontId="0" fillId="6" borderId="0" xfId="0" applyFill="1" applyAlignment="1">
      <alignment horizontal="left" vertical="center"/>
    </xf>
    <xf numFmtId="0" fontId="0" fillId="6" borderId="0" xfId="0" applyFill="1" applyAlignment="1">
      <alignment horizontal="center" vertical="center"/>
    </xf>
    <xf numFmtId="1" fontId="0" fillId="6" borderId="0" xfId="0" applyNumberFormat="1" applyFill="1" applyAlignment="1">
      <alignment horizontal="center" vertical="center"/>
    </xf>
    <xf numFmtId="177" fontId="0" fillId="0" borderId="0" xfId="0" applyNumberFormat="1"/>
    <xf numFmtId="177" fontId="0" fillId="0" borderId="1" xfId="0" applyNumberFormat="1" applyBorder="1"/>
    <xf numFmtId="177" fontId="0" fillId="0" borderId="1" xfId="0" applyNumberFormat="1" applyBorder="1" applyAlignment="1">
      <alignment horizontal="centerContinuous"/>
    </xf>
    <xf numFmtId="0" fontId="0" fillId="0" borderId="1" xfId="0" applyBorder="1" applyAlignment="1">
      <alignment horizontal="centerContinuous" wrapText="1"/>
    </xf>
    <xf numFmtId="0" fontId="0" fillId="0" borderId="1" xfId="0" applyBorder="1" applyAlignment="1">
      <alignment horizontal="centerContinuous"/>
    </xf>
    <xf numFmtId="0" fontId="0" fillId="0" borderId="1" xfId="0" applyBorder="1" applyAlignment="1">
      <alignment horizontal="center" vertical="center"/>
    </xf>
    <xf numFmtId="2" fontId="0" fillId="7" borderId="1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180" fontId="0" fillId="6" borderId="0" xfId="0" applyNumberFormat="1" applyFill="1" applyBorder="1" applyAlignment="1">
      <alignment horizontal="center" vertical="center"/>
    </xf>
    <xf numFmtId="0" fontId="0" fillId="0" borderId="0" xfId="0" applyAlignment="1">
      <alignment horizontal="centerContinuous" vertical="center" shrinkToFit="1"/>
    </xf>
    <xf numFmtId="0" fontId="0" fillId="0" borderId="1" xfId="0" applyBorder="1" applyAlignment="1">
      <alignment horizontal="centerContinuous" vertical="center" shrinkToFit="1"/>
    </xf>
    <xf numFmtId="0" fontId="0" fillId="6" borderId="1" xfId="0" applyFill="1" applyBorder="1" applyAlignment="1">
      <alignment horizontal="centerContinuous" vertical="center" shrinkToFit="1"/>
    </xf>
    <xf numFmtId="0" fontId="0" fillId="6" borderId="0" xfId="0" applyFill="1" applyAlignment="1">
      <alignment horizontal="centerContinuous" vertical="center" shrinkToFit="1"/>
    </xf>
    <xf numFmtId="0" fontId="0" fillId="0" borderId="0" xfId="0" applyBorder="1" applyAlignment="1">
      <alignment horizontal="centerContinuous" vertical="center" shrinkToFit="1"/>
    </xf>
    <xf numFmtId="0" fontId="0" fillId="0" borderId="1" xfId="0" applyBorder="1" applyAlignment="1">
      <alignment horizontal="centerContinuous" shrinkToFit="1"/>
    </xf>
    <xf numFmtId="0" fontId="0" fillId="0" borderId="0" xfId="0" applyAlignment="1">
      <alignment horizontal="centerContinuous" shrinkToFit="1"/>
    </xf>
    <xf numFmtId="0" fontId="0" fillId="0" borderId="1" xfId="0" applyFill="1" applyBorder="1" applyAlignment="1">
      <alignment horizontal="centerContinuous" vertical="center" shrinkToFit="1"/>
    </xf>
    <xf numFmtId="0" fontId="0" fillId="5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180" fontId="0" fillId="5" borderId="13" xfId="0" applyNumberFormat="1" applyFill="1" applyBorder="1" applyAlignment="1">
      <alignment horizontal="center"/>
    </xf>
    <xf numFmtId="0" fontId="0" fillId="5" borderId="37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2" fontId="0" fillId="0" borderId="13" xfId="0" applyNumberFormat="1" applyBorder="1" applyAlignment="1">
      <alignment horizontal="center" vertical="center"/>
    </xf>
    <xf numFmtId="2" fontId="0" fillId="0" borderId="37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6" borderId="13" xfId="0" applyFill="1" applyBorder="1" applyAlignment="1">
      <alignment horizontal="center" vertical="center"/>
    </xf>
    <xf numFmtId="0" fontId="0" fillId="6" borderId="37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1" fontId="0" fillId="5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" fontId="0" fillId="5" borderId="13" xfId="0" applyNumberFormat="1" applyFill="1" applyBorder="1" applyAlignment="1">
      <alignment horizontal="center" vertical="center"/>
    </xf>
    <xf numFmtId="1" fontId="0" fillId="5" borderId="37" xfId="0" applyNumberFormat="1" applyFill="1" applyBorder="1" applyAlignment="1">
      <alignment horizontal="center" vertical="center"/>
    </xf>
    <xf numFmtId="1" fontId="0" fillId="5" borderId="2" xfId="0" applyNumberFormat="1" applyFill="1" applyBorder="1" applyAlignment="1">
      <alignment horizontal="center" vertical="center"/>
    </xf>
    <xf numFmtId="0" fontId="0" fillId="3" borderId="38" xfId="0" applyFill="1" applyBorder="1" applyAlignment="1">
      <alignment horizontal="center" vertical="center" textRotation="90"/>
    </xf>
    <xf numFmtId="0" fontId="0" fillId="3" borderId="40" xfId="0" applyFill="1" applyBorder="1" applyAlignment="1">
      <alignment horizontal="center" vertical="center" textRotation="90"/>
    </xf>
    <xf numFmtId="0" fontId="0" fillId="3" borderId="26" xfId="0" applyFill="1" applyBorder="1" applyAlignment="1">
      <alignment horizontal="center" vertical="center" textRotation="90"/>
    </xf>
    <xf numFmtId="0" fontId="0" fillId="9" borderId="1" xfId="0" applyFill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128">
    <dxf>
      <font>
        <color rgb="FFFF0000"/>
      </font>
      <fill>
        <patternFill patternType="darkGrid">
          <fgColor rgb="FFFF0000"/>
          <bgColor auto="1"/>
        </patternFill>
      </fill>
    </dxf>
    <dxf>
      <font>
        <color rgb="FFFF0000"/>
      </font>
      <fill>
        <patternFill patternType="darkGrid">
          <fgColor rgb="FFFF0000"/>
        </patternFill>
      </fill>
    </dxf>
    <dxf>
      <font>
        <color rgb="FFFF0000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 val="0"/>
        <color auto="1"/>
      </font>
    </dxf>
    <dxf>
      <font>
        <color rgb="FFFF0000"/>
      </font>
      <fill>
        <patternFill patternType="darkGrid">
          <fgColor rgb="FFFF0000"/>
        </patternFill>
      </fill>
    </dxf>
    <dxf>
      <font>
        <color rgb="FFFF0000"/>
      </font>
      <fill>
        <patternFill patternType="darkGrid">
          <fgColor rgb="FFFF0000"/>
          <bgColor auto="1"/>
        </patternFill>
      </fill>
    </dxf>
    <dxf>
      <font>
        <color rgb="FFFF0000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 val="0"/>
        <color auto="1"/>
      </font>
    </dxf>
    <dxf>
      <font>
        <color rgb="FFFF0000"/>
      </font>
      <fill>
        <patternFill patternType="darkGrid">
          <fgColor rgb="FFFF0000"/>
          <bgColor auto="1"/>
        </patternFill>
      </fill>
    </dxf>
    <dxf>
      <font>
        <color rgb="FFFF0000"/>
      </font>
      <fill>
        <patternFill patternType="darkGrid">
          <fgColor rgb="FFFF0000"/>
        </patternFill>
      </fill>
    </dxf>
    <dxf>
      <font>
        <color rgb="FFFF0000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 val="0"/>
        <color auto="1"/>
      </font>
    </dxf>
    <dxf>
      <font>
        <color rgb="FFFF0000"/>
      </font>
      <fill>
        <patternFill patternType="darkGrid">
          <fgColor rgb="FFFF0000"/>
          <bgColor auto="1"/>
        </patternFill>
      </fill>
    </dxf>
    <dxf>
      <font>
        <color rgb="FFFF0000"/>
      </font>
      <fill>
        <patternFill patternType="darkGrid">
          <fgColor rgb="FFFF0000"/>
        </patternFill>
      </fill>
    </dxf>
    <dxf>
      <font>
        <color rgb="FFFF0000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 val="0"/>
        <color auto="1"/>
      </font>
    </dxf>
    <dxf>
      <font>
        <color rgb="FFFF0000"/>
      </font>
    </dxf>
    <dxf>
      <font>
        <color rgb="FFFF0000"/>
      </font>
      <fill>
        <patternFill patternType="darkGrid">
          <fgColor rgb="FFFF0000"/>
        </patternFill>
      </fill>
    </dxf>
    <dxf>
      <font>
        <color rgb="FFFF0000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 val="0"/>
        <color auto="1"/>
      </font>
    </dxf>
    <dxf>
      <font>
        <color rgb="FFFF0000"/>
      </font>
    </dxf>
    <dxf>
      <font>
        <color rgb="FFFF0000"/>
      </font>
      <fill>
        <patternFill patternType="darkGrid">
          <fgColor rgb="FFFF0000"/>
        </patternFill>
      </fill>
    </dxf>
    <dxf>
      <font>
        <color rgb="FFFF0000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 val="0"/>
        <color auto="1"/>
      </font>
    </dxf>
    <dxf>
      <font>
        <color rgb="FFFF0000"/>
      </font>
    </dxf>
    <dxf>
      <font>
        <color rgb="FFFF0000"/>
      </font>
      <fill>
        <patternFill patternType="darkGrid">
          <fgColor rgb="FFFF0000"/>
        </patternFill>
      </fill>
    </dxf>
    <dxf>
      <font>
        <color rgb="FFFF0000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 val="0"/>
        <color auto="1"/>
      </font>
    </dxf>
    <dxf>
      <font>
        <color rgb="FFFF0000"/>
      </font>
    </dxf>
    <dxf>
      <font>
        <color rgb="FFFF0000"/>
      </font>
      <fill>
        <patternFill patternType="darkGrid">
          <fgColor rgb="FFFF0000"/>
        </patternFill>
      </fill>
    </dxf>
    <dxf>
      <font>
        <color rgb="FFFF0000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 val="0"/>
        <color auto="1"/>
      </font>
    </dxf>
    <dxf>
      <font>
        <color rgb="FFFF0000"/>
      </font>
    </dxf>
    <dxf>
      <font>
        <color rgb="FFFF0000"/>
      </font>
      <fill>
        <patternFill patternType="darkGrid">
          <fgColor rgb="FFFF0000"/>
        </patternFill>
      </fill>
    </dxf>
    <dxf>
      <font>
        <color rgb="FFFF0000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 val="0"/>
        <color auto="1"/>
      </font>
    </dxf>
    <dxf>
      <font>
        <color rgb="FFFF0000"/>
      </font>
    </dxf>
    <dxf>
      <font>
        <color rgb="FFFF0000"/>
      </font>
      <fill>
        <patternFill patternType="darkGrid">
          <fgColor rgb="FFFF0000"/>
        </patternFill>
      </fill>
    </dxf>
    <dxf>
      <font>
        <color rgb="FFFF0000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 val="0"/>
        <color auto="1"/>
      </font>
    </dxf>
    <dxf>
      <font>
        <color rgb="FFFF0000"/>
      </font>
    </dxf>
    <dxf>
      <font>
        <color rgb="FFFF0000"/>
      </font>
    </dxf>
    <dxf>
      <font>
        <color rgb="FFFF0000"/>
      </font>
      <fill>
        <patternFill patternType="darkGrid">
          <fgColor rgb="FFFF0000"/>
        </patternFill>
      </fill>
    </dxf>
    <dxf>
      <font>
        <color rgb="FFFF0000"/>
      </font>
      <fill>
        <patternFill patternType="darkGrid">
          <fgColor rgb="FFFF0000"/>
        </patternFill>
      </fill>
    </dxf>
    <dxf>
      <font>
        <color rgb="FFFF0000"/>
      </font>
    </dxf>
    <dxf>
      <font>
        <color rgb="FFFF0000"/>
      </font>
      <fill>
        <patternFill patternType="darkGrid">
          <fgColor rgb="FFFF0000"/>
        </patternFill>
      </fill>
    </dxf>
    <dxf>
      <font>
        <color rgb="FFFF0000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strike val="0"/>
        <color rgb="FFC00000"/>
      </font>
    </dxf>
    <dxf>
      <font>
        <strike val="0"/>
      </font>
      <fill>
        <patternFill>
          <bgColor theme="2" tint="-0.24994659260841701"/>
        </patternFill>
      </fill>
      <border>
        <vertical/>
        <horizontal/>
      </border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77" formatCode="0.000"/>
    </dxf>
    <dxf>
      <numFmt numFmtId="177" formatCode="0.000"/>
    </dxf>
    <dxf>
      <numFmt numFmtId="177" formatCode="0.000"/>
    </dxf>
    <dxf>
      <numFmt numFmtId="177" formatCode="0.000"/>
    </dxf>
    <dxf>
      <numFmt numFmtId="177" formatCode="0.000"/>
    </dxf>
    <dxf>
      <numFmt numFmtId="177" formatCode="0.000"/>
    </dxf>
    <dxf>
      <numFmt numFmtId="177" formatCode="0.00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77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温度 </a:t>
            </a:r>
            <a:r>
              <a:rPr lang="en-US" altLang="ja-JP"/>
              <a:t>vs Inner</a:t>
            </a:r>
            <a:r>
              <a:rPr lang="ja-JP" altLang="en-US"/>
              <a:t>応力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373596950803677"/>
          <c:y val="0.12605652204324128"/>
          <c:w val="0.8142884853488177"/>
          <c:h val="0.56183661433854604"/>
        </c:manualLayout>
      </c:layout>
      <c:scatterChart>
        <c:scatterStyle val="smoothMarker"/>
        <c:varyColors val="0"/>
        <c:ser>
          <c:idx val="14"/>
          <c:order val="14"/>
          <c:tx>
            <c:strRef>
              <c:f>グラフ!$AC$5</c:f>
              <c:strCache>
                <c:ptCount val="1"/>
                <c:pt idx="0">
                  <c:v>inner応力:Δ-30℃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グラフ!$AC$6:$AC$56</c:f>
              <c:numCache>
                <c:formatCode>0.0</c:formatCode>
                <c:ptCount val="51"/>
                <c:pt idx="0">
                  <c:v>316.39983997580583</c:v>
                </c:pt>
                <c:pt idx="1">
                  <c:v>312.536943815303</c:v>
                </c:pt>
                <c:pt idx="2">
                  <c:v>308.67404765481371</c:v>
                </c:pt>
                <c:pt idx="3">
                  <c:v>304.81115149432452</c:v>
                </c:pt>
                <c:pt idx="4">
                  <c:v>300.94825533382181</c:v>
                </c:pt>
                <c:pt idx="5">
                  <c:v>297.08535917333245</c:v>
                </c:pt>
                <c:pt idx="6">
                  <c:v>293.22246301284321</c:v>
                </c:pt>
                <c:pt idx="7">
                  <c:v>289.35956685234049</c:v>
                </c:pt>
                <c:pt idx="8">
                  <c:v>285.49667069186472</c:v>
                </c:pt>
                <c:pt idx="9">
                  <c:v>281.63377453137542</c:v>
                </c:pt>
                <c:pt idx="10">
                  <c:v>277.77087837087265</c:v>
                </c:pt>
                <c:pt idx="11">
                  <c:v>273.90798221038341</c:v>
                </c:pt>
                <c:pt idx="12">
                  <c:v>270.04508604988069</c:v>
                </c:pt>
                <c:pt idx="13">
                  <c:v>266.18218988940487</c:v>
                </c:pt>
                <c:pt idx="14">
                  <c:v>262.3192937289021</c:v>
                </c:pt>
                <c:pt idx="15">
                  <c:v>258.45639756842633</c:v>
                </c:pt>
                <c:pt idx="16">
                  <c:v>254.59350140792358</c:v>
                </c:pt>
                <c:pt idx="17">
                  <c:v>250.73060524742075</c:v>
                </c:pt>
                <c:pt idx="18">
                  <c:v>246.86770908694498</c:v>
                </c:pt>
                <c:pt idx="19">
                  <c:v>243.0048129264423</c:v>
                </c:pt>
                <c:pt idx="20">
                  <c:v>239.14191676593958</c:v>
                </c:pt>
                <c:pt idx="21">
                  <c:v>235.27902060546376</c:v>
                </c:pt>
                <c:pt idx="22">
                  <c:v>231.41612444494749</c:v>
                </c:pt>
                <c:pt idx="23">
                  <c:v>227.55322828447171</c:v>
                </c:pt>
                <c:pt idx="24">
                  <c:v>223.69033212396894</c:v>
                </c:pt>
                <c:pt idx="25">
                  <c:v>219.8274359634797</c:v>
                </c:pt>
                <c:pt idx="26">
                  <c:v>215.96453980300393</c:v>
                </c:pt>
                <c:pt idx="27">
                  <c:v>212.10164364250119</c:v>
                </c:pt>
                <c:pt idx="28">
                  <c:v>208.23874748202539</c:v>
                </c:pt>
                <c:pt idx="29">
                  <c:v>204.37585132150912</c:v>
                </c:pt>
                <c:pt idx="30">
                  <c:v>200.51295516103335</c:v>
                </c:pt>
                <c:pt idx="31">
                  <c:v>196.6500590005306</c:v>
                </c:pt>
                <c:pt idx="32">
                  <c:v>192.78716284004133</c:v>
                </c:pt>
                <c:pt idx="33">
                  <c:v>188.92426667953862</c:v>
                </c:pt>
                <c:pt idx="34">
                  <c:v>185.06137051904932</c:v>
                </c:pt>
                <c:pt idx="35">
                  <c:v>181.19847435854655</c:v>
                </c:pt>
                <c:pt idx="36">
                  <c:v>177.33557819808425</c:v>
                </c:pt>
                <c:pt idx="37">
                  <c:v>173.47268203759498</c:v>
                </c:pt>
                <c:pt idx="38">
                  <c:v>169.60978587709224</c:v>
                </c:pt>
                <c:pt idx="39">
                  <c:v>165.74688971661644</c:v>
                </c:pt>
                <c:pt idx="40">
                  <c:v>161.88399355610022</c:v>
                </c:pt>
                <c:pt idx="41">
                  <c:v>158.02109739561095</c:v>
                </c:pt>
                <c:pt idx="42">
                  <c:v>154.15820123512168</c:v>
                </c:pt>
                <c:pt idx="43">
                  <c:v>150.29530507461894</c:v>
                </c:pt>
                <c:pt idx="44">
                  <c:v>146.43240891411619</c:v>
                </c:pt>
                <c:pt idx="45">
                  <c:v>142.5695127536404</c:v>
                </c:pt>
                <c:pt idx="46">
                  <c:v>138.7066165931511</c:v>
                </c:pt>
                <c:pt idx="47">
                  <c:v>134.84372043266185</c:v>
                </c:pt>
                <c:pt idx="48">
                  <c:v>130.98082427217258</c:v>
                </c:pt>
                <c:pt idx="49">
                  <c:v>127.11792811168331</c:v>
                </c:pt>
                <c:pt idx="50">
                  <c:v>123.25503195118056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54-40B2-856D-0E15D739D60C}"/>
            </c:ext>
          </c:extLst>
        </c:ser>
        <c:ser>
          <c:idx val="15"/>
          <c:order val="15"/>
          <c:tx>
            <c:strRef>
              <c:f>グラフ!$AD$5</c:f>
              <c:strCache>
                <c:ptCount val="1"/>
                <c:pt idx="0">
                  <c:v>inner応力:Δ-20℃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グラフ!$AD$6:$AD$56</c:f>
              <c:numCache>
                <c:formatCode>0.0</c:formatCode>
                <c:ptCount val="51"/>
                <c:pt idx="0">
                  <c:v>298.51378690812061</c:v>
                </c:pt>
                <c:pt idx="1">
                  <c:v>294.65089074764478</c:v>
                </c:pt>
                <c:pt idx="2">
                  <c:v>290.78799458714195</c:v>
                </c:pt>
                <c:pt idx="3">
                  <c:v>286.92509842663924</c:v>
                </c:pt>
                <c:pt idx="4">
                  <c:v>283.06220226615</c:v>
                </c:pt>
                <c:pt idx="5">
                  <c:v>279.19930610564722</c:v>
                </c:pt>
                <c:pt idx="6">
                  <c:v>275.33640994517145</c:v>
                </c:pt>
                <c:pt idx="7">
                  <c:v>271.47351378466868</c:v>
                </c:pt>
                <c:pt idx="8">
                  <c:v>267.61061762417944</c:v>
                </c:pt>
                <c:pt idx="9">
                  <c:v>263.74772146370367</c:v>
                </c:pt>
                <c:pt idx="10">
                  <c:v>259.88482530318737</c:v>
                </c:pt>
                <c:pt idx="11">
                  <c:v>256.0219291427116</c:v>
                </c:pt>
                <c:pt idx="12">
                  <c:v>252.15903298220891</c:v>
                </c:pt>
                <c:pt idx="13">
                  <c:v>248.29613682171961</c:v>
                </c:pt>
                <c:pt idx="14">
                  <c:v>244.43324066123029</c:v>
                </c:pt>
                <c:pt idx="15">
                  <c:v>240.57034450074104</c:v>
                </c:pt>
                <c:pt idx="16">
                  <c:v>236.7074483402518</c:v>
                </c:pt>
                <c:pt idx="17">
                  <c:v>232.84455217974906</c:v>
                </c:pt>
                <c:pt idx="18">
                  <c:v>228.98165601925979</c:v>
                </c:pt>
                <c:pt idx="19">
                  <c:v>225.11875985877052</c:v>
                </c:pt>
                <c:pt idx="20">
                  <c:v>221.25586369825425</c:v>
                </c:pt>
                <c:pt idx="21">
                  <c:v>217.39296753777845</c:v>
                </c:pt>
                <c:pt idx="22">
                  <c:v>213.53007137727576</c:v>
                </c:pt>
                <c:pt idx="23">
                  <c:v>209.66717521678646</c:v>
                </c:pt>
                <c:pt idx="24">
                  <c:v>205.80427905629722</c:v>
                </c:pt>
                <c:pt idx="25">
                  <c:v>201.94138289582142</c:v>
                </c:pt>
                <c:pt idx="26">
                  <c:v>198.07848673533215</c:v>
                </c:pt>
                <c:pt idx="27">
                  <c:v>194.21559057481588</c:v>
                </c:pt>
                <c:pt idx="28">
                  <c:v>190.35269441434011</c:v>
                </c:pt>
                <c:pt idx="29">
                  <c:v>186.48979825383736</c:v>
                </c:pt>
                <c:pt idx="30">
                  <c:v>182.62690209334812</c:v>
                </c:pt>
                <c:pt idx="31">
                  <c:v>178.76400593284535</c:v>
                </c:pt>
                <c:pt idx="32">
                  <c:v>174.90110977236958</c:v>
                </c:pt>
                <c:pt idx="33">
                  <c:v>171.03821361185331</c:v>
                </c:pt>
                <c:pt idx="34">
                  <c:v>167.17531745139101</c:v>
                </c:pt>
                <c:pt idx="35">
                  <c:v>163.31242129088824</c:v>
                </c:pt>
                <c:pt idx="36">
                  <c:v>159.44952513039902</c:v>
                </c:pt>
                <c:pt idx="37">
                  <c:v>155.5866289699232</c:v>
                </c:pt>
                <c:pt idx="38">
                  <c:v>151.72373280940698</c:v>
                </c:pt>
                <c:pt idx="39">
                  <c:v>147.86083664893118</c:v>
                </c:pt>
                <c:pt idx="40">
                  <c:v>143.99794048842847</c:v>
                </c:pt>
                <c:pt idx="41">
                  <c:v>140.13504432792567</c:v>
                </c:pt>
                <c:pt idx="42">
                  <c:v>136.27214816743643</c:v>
                </c:pt>
                <c:pt idx="43">
                  <c:v>132.40925200694716</c:v>
                </c:pt>
                <c:pt idx="44">
                  <c:v>128.54635584645791</c:v>
                </c:pt>
                <c:pt idx="45">
                  <c:v>124.6834596859686</c:v>
                </c:pt>
                <c:pt idx="46">
                  <c:v>120.82056352546589</c:v>
                </c:pt>
                <c:pt idx="47">
                  <c:v>116.95766736499009</c:v>
                </c:pt>
                <c:pt idx="48">
                  <c:v>113.09477120448732</c:v>
                </c:pt>
                <c:pt idx="49">
                  <c:v>109.23187504399806</c:v>
                </c:pt>
                <c:pt idx="50">
                  <c:v>105.36897888350879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54-40B2-856D-0E15D739D60C}"/>
            </c:ext>
          </c:extLst>
        </c:ser>
        <c:ser>
          <c:idx val="16"/>
          <c:order val="16"/>
          <c:tx>
            <c:strRef>
              <c:f>グラフ!$AE$5</c:f>
              <c:strCache>
                <c:ptCount val="1"/>
                <c:pt idx="0">
                  <c:v>inner応力:Δ-10℃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グラフ!$AE$6:$AE$56</c:f>
              <c:numCache>
                <c:formatCode>0.0</c:formatCode>
                <c:ptCount val="51"/>
                <c:pt idx="0">
                  <c:v>280.62773384044874</c:v>
                </c:pt>
                <c:pt idx="1">
                  <c:v>276.7648376799595</c:v>
                </c:pt>
                <c:pt idx="2">
                  <c:v>272.90194151947026</c:v>
                </c:pt>
                <c:pt idx="3">
                  <c:v>269.03904535895401</c:v>
                </c:pt>
                <c:pt idx="4">
                  <c:v>265.17614919847824</c:v>
                </c:pt>
                <c:pt idx="5">
                  <c:v>261.31325303797553</c:v>
                </c:pt>
                <c:pt idx="6">
                  <c:v>257.45035687748617</c:v>
                </c:pt>
                <c:pt idx="7">
                  <c:v>253.5874607169969</c:v>
                </c:pt>
                <c:pt idx="8">
                  <c:v>249.72456455649419</c:v>
                </c:pt>
                <c:pt idx="9">
                  <c:v>245.86166839603189</c:v>
                </c:pt>
                <c:pt idx="10">
                  <c:v>241.99877223551564</c:v>
                </c:pt>
                <c:pt idx="11">
                  <c:v>238.13587607502637</c:v>
                </c:pt>
                <c:pt idx="12">
                  <c:v>234.27297991453713</c:v>
                </c:pt>
                <c:pt idx="13">
                  <c:v>230.41008375403433</c:v>
                </c:pt>
                <c:pt idx="14">
                  <c:v>226.54718759355856</c:v>
                </c:pt>
                <c:pt idx="15">
                  <c:v>222.68429143306929</c:v>
                </c:pt>
                <c:pt idx="16">
                  <c:v>218.82139527256655</c:v>
                </c:pt>
                <c:pt idx="17">
                  <c:v>214.95849911207725</c:v>
                </c:pt>
                <c:pt idx="18">
                  <c:v>211.09560295157456</c:v>
                </c:pt>
                <c:pt idx="19">
                  <c:v>207.23270679108523</c:v>
                </c:pt>
                <c:pt idx="20">
                  <c:v>203.36981063058249</c:v>
                </c:pt>
                <c:pt idx="21">
                  <c:v>199.50691447009325</c:v>
                </c:pt>
                <c:pt idx="22">
                  <c:v>195.64401830960398</c:v>
                </c:pt>
                <c:pt idx="23">
                  <c:v>191.78112214912815</c:v>
                </c:pt>
                <c:pt idx="24">
                  <c:v>187.91822598862544</c:v>
                </c:pt>
                <c:pt idx="25">
                  <c:v>184.05532982813617</c:v>
                </c:pt>
                <c:pt idx="26">
                  <c:v>180.19243366764687</c:v>
                </c:pt>
                <c:pt idx="27">
                  <c:v>176.32953750714412</c:v>
                </c:pt>
                <c:pt idx="28">
                  <c:v>172.46664134665488</c:v>
                </c:pt>
                <c:pt idx="29">
                  <c:v>168.60374518615214</c:v>
                </c:pt>
                <c:pt idx="30">
                  <c:v>164.74084902567634</c:v>
                </c:pt>
                <c:pt idx="31">
                  <c:v>160.8779528651601</c:v>
                </c:pt>
                <c:pt idx="32">
                  <c:v>157.01505670471127</c:v>
                </c:pt>
                <c:pt idx="33">
                  <c:v>153.15216054419503</c:v>
                </c:pt>
                <c:pt idx="34">
                  <c:v>149.28926438370576</c:v>
                </c:pt>
                <c:pt idx="35">
                  <c:v>145.42636822321651</c:v>
                </c:pt>
                <c:pt idx="36">
                  <c:v>141.56347206271377</c:v>
                </c:pt>
                <c:pt idx="37">
                  <c:v>137.70057590223794</c:v>
                </c:pt>
                <c:pt idx="38">
                  <c:v>133.8376797417352</c:v>
                </c:pt>
                <c:pt idx="39">
                  <c:v>129.97478358124593</c:v>
                </c:pt>
                <c:pt idx="40">
                  <c:v>126.11188742074319</c:v>
                </c:pt>
                <c:pt idx="41">
                  <c:v>122.24899126025393</c:v>
                </c:pt>
                <c:pt idx="42">
                  <c:v>118.38609509977813</c:v>
                </c:pt>
                <c:pt idx="43">
                  <c:v>114.5231989392754</c:v>
                </c:pt>
                <c:pt idx="44">
                  <c:v>110.66030277877263</c:v>
                </c:pt>
                <c:pt idx="45">
                  <c:v>106.79740661829685</c:v>
                </c:pt>
                <c:pt idx="46">
                  <c:v>102.9345104577806</c:v>
                </c:pt>
                <c:pt idx="47">
                  <c:v>99.071614297304819</c:v>
                </c:pt>
                <c:pt idx="48">
                  <c:v>95.208718136815563</c:v>
                </c:pt>
                <c:pt idx="49">
                  <c:v>91.34582197631282</c:v>
                </c:pt>
                <c:pt idx="50">
                  <c:v>87.482925815823535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54-40B2-856D-0E15D739D60C}"/>
            </c:ext>
          </c:extLst>
        </c:ser>
        <c:ser>
          <c:idx val="17"/>
          <c:order val="17"/>
          <c:tx>
            <c:strRef>
              <c:f>グラフ!$AF$5</c:f>
              <c:strCache>
                <c:ptCount val="1"/>
                <c:pt idx="0">
                  <c:v>inner応力:Δ0℃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グラフ!$AF$6:$AF$56</c:f>
              <c:numCache>
                <c:formatCode>0.0</c:formatCode>
                <c:ptCount val="51"/>
                <c:pt idx="0">
                  <c:v>262.74168077277699</c:v>
                </c:pt>
                <c:pt idx="1">
                  <c:v>258.87878461227427</c:v>
                </c:pt>
                <c:pt idx="2">
                  <c:v>255.01588845179845</c:v>
                </c:pt>
                <c:pt idx="3">
                  <c:v>251.15299229128223</c:v>
                </c:pt>
                <c:pt idx="4">
                  <c:v>247.29009613079293</c:v>
                </c:pt>
                <c:pt idx="5">
                  <c:v>243.42719997030369</c:v>
                </c:pt>
                <c:pt idx="6">
                  <c:v>239.56430380980095</c:v>
                </c:pt>
                <c:pt idx="7">
                  <c:v>235.70140764932518</c:v>
                </c:pt>
                <c:pt idx="8">
                  <c:v>231.83851148882241</c:v>
                </c:pt>
                <c:pt idx="9">
                  <c:v>227.97561532834661</c:v>
                </c:pt>
                <c:pt idx="10">
                  <c:v>224.11271916784389</c:v>
                </c:pt>
                <c:pt idx="11">
                  <c:v>220.24982300734109</c:v>
                </c:pt>
                <c:pt idx="12">
                  <c:v>216.38692684686532</c:v>
                </c:pt>
                <c:pt idx="13">
                  <c:v>212.52403068636258</c:v>
                </c:pt>
                <c:pt idx="14">
                  <c:v>208.66113452587334</c:v>
                </c:pt>
                <c:pt idx="15">
                  <c:v>204.79823836539751</c:v>
                </c:pt>
                <c:pt idx="16">
                  <c:v>200.93534220488129</c:v>
                </c:pt>
                <c:pt idx="17">
                  <c:v>197.072446044392</c:v>
                </c:pt>
                <c:pt idx="18">
                  <c:v>193.20954988390275</c:v>
                </c:pt>
                <c:pt idx="19">
                  <c:v>189.34665372339998</c:v>
                </c:pt>
                <c:pt idx="20">
                  <c:v>185.48375756291074</c:v>
                </c:pt>
                <c:pt idx="21">
                  <c:v>181.62086140243494</c:v>
                </c:pt>
                <c:pt idx="22">
                  <c:v>177.7579652419322</c:v>
                </c:pt>
                <c:pt idx="23">
                  <c:v>173.89506908144293</c:v>
                </c:pt>
                <c:pt idx="24">
                  <c:v>170.03217292094018</c:v>
                </c:pt>
                <c:pt idx="25">
                  <c:v>166.16927676046438</c:v>
                </c:pt>
                <c:pt idx="26">
                  <c:v>162.30638059996164</c:v>
                </c:pt>
                <c:pt idx="27">
                  <c:v>158.4434844394589</c:v>
                </c:pt>
                <c:pt idx="28">
                  <c:v>154.5805882789831</c:v>
                </c:pt>
                <c:pt idx="29">
                  <c:v>150.71769211846686</c:v>
                </c:pt>
                <c:pt idx="30">
                  <c:v>146.854795958018</c:v>
                </c:pt>
                <c:pt idx="31">
                  <c:v>142.99189979750182</c:v>
                </c:pt>
                <c:pt idx="32">
                  <c:v>139.12900363702602</c:v>
                </c:pt>
                <c:pt idx="33">
                  <c:v>135.26610747652325</c:v>
                </c:pt>
                <c:pt idx="34">
                  <c:v>131.40321131602053</c:v>
                </c:pt>
                <c:pt idx="35">
                  <c:v>127.54031515553123</c:v>
                </c:pt>
                <c:pt idx="36">
                  <c:v>123.67741899504199</c:v>
                </c:pt>
                <c:pt idx="37">
                  <c:v>119.8145228345527</c:v>
                </c:pt>
                <c:pt idx="38">
                  <c:v>115.95162667404996</c:v>
                </c:pt>
                <c:pt idx="39">
                  <c:v>112.08873051357416</c:v>
                </c:pt>
                <c:pt idx="40">
                  <c:v>108.22583435308491</c:v>
                </c:pt>
                <c:pt idx="41">
                  <c:v>104.36293819258216</c:v>
                </c:pt>
                <c:pt idx="42">
                  <c:v>100.50004203209288</c:v>
                </c:pt>
                <c:pt idx="43">
                  <c:v>96.637145871603607</c:v>
                </c:pt>
                <c:pt idx="44">
                  <c:v>92.774249711087407</c:v>
                </c:pt>
                <c:pt idx="45">
                  <c:v>88.91135355061158</c:v>
                </c:pt>
                <c:pt idx="46">
                  <c:v>85.048457390108851</c:v>
                </c:pt>
                <c:pt idx="47">
                  <c:v>81.18556122961958</c:v>
                </c:pt>
                <c:pt idx="48">
                  <c:v>77.322665069130309</c:v>
                </c:pt>
                <c:pt idx="49">
                  <c:v>73.459768908641038</c:v>
                </c:pt>
                <c:pt idx="50">
                  <c:v>69.596872748165239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054-40B2-856D-0E15D739D60C}"/>
            </c:ext>
          </c:extLst>
        </c:ser>
        <c:ser>
          <c:idx val="18"/>
          <c:order val="18"/>
          <c:tx>
            <c:strRef>
              <c:f>グラフ!$AG$5</c:f>
              <c:strCache>
                <c:ptCount val="1"/>
                <c:pt idx="0">
                  <c:v>inner応力:Δ+10℃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グラフ!$AG$6:$AG$56</c:f>
              <c:numCache>
                <c:formatCode>0.0</c:formatCode>
                <c:ptCount val="51"/>
                <c:pt idx="0">
                  <c:v>244.85562770510521</c:v>
                </c:pt>
                <c:pt idx="1">
                  <c:v>240.99273154460249</c:v>
                </c:pt>
                <c:pt idx="2">
                  <c:v>237.12983538411322</c:v>
                </c:pt>
                <c:pt idx="3">
                  <c:v>233.26693922361045</c:v>
                </c:pt>
                <c:pt idx="4">
                  <c:v>229.40404306310771</c:v>
                </c:pt>
                <c:pt idx="5">
                  <c:v>225.54114690263191</c:v>
                </c:pt>
                <c:pt idx="6">
                  <c:v>221.67825074212919</c:v>
                </c:pt>
                <c:pt idx="7">
                  <c:v>217.81535458163989</c:v>
                </c:pt>
                <c:pt idx="8">
                  <c:v>213.95245842115065</c:v>
                </c:pt>
                <c:pt idx="9">
                  <c:v>210.08956226066138</c:v>
                </c:pt>
                <c:pt idx="10">
                  <c:v>206.22666610017208</c:v>
                </c:pt>
                <c:pt idx="11">
                  <c:v>202.36376993966934</c:v>
                </c:pt>
                <c:pt idx="12">
                  <c:v>198.50087377918007</c:v>
                </c:pt>
                <c:pt idx="13">
                  <c:v>194.6379776186908</c:v>
                </c:pt>
                <c:pt idx="14">
                  <c:v>190.77508145818808</c:v>
                </c:pt>
                <c:pt idx="15">
                  <c:v>186.91218529771228</c:v>
                </c:pt>
                <c:pt idx="16">
                  <c:v>183.04928913720951</c:v>
                </c:pt>
                <c:pt idx="17">
                  <c:v>179.18639297670677</c:v>
                </c:pt>
                <c:pt idx="18">
                  <c:v>175.32349681623097</c:v>
                </c:pt>
                <c:pt idx="19">
                  <c:v>171.4606006557417</c:v>
                </c:pt>
                <c:pt idx="20">
                  <c:v>167.59770449523899</c:v>
                </c:pt>
                <c:pt idx="21">
                  <c:v>163.73480833474969</c:v>
                </c:pt>
                <c:pt idx="22">
                  <c:v>159.87191217424694</c:v>
                </c:pt>
                <c:pt idx="23">
                  <c:v>156.00901601377117</c:v>
                </c:pt>
                <c:pt idx="24">
                  <c:v>152.14611985325493</c:v>
                </c:pt>
                <c:pt idx="25">
                  <c:v>148.2832236927791</c:v>
                </c:pt>
                <c:pt idx="26">
                  <c:v>144.42032753228986</c:v>
                </c:pt>
                <c:pt idx="27">
                  <c:v>140.55743137177365</c:v>
                </c:pt>
                <c:pt idx="28">
                  <c:v>136.69453521132482</c:v>
                </c:pt>
                <c:pt idx="29">
                  <c:v>132.83163905080855</c:v>
                </c:pt>
                <c:pt idx="30">
                  <c:v>128.96874289033281</c:v>
                </c:pt>
                <c:pt idx="31">
                  <c:v>125.10584672983003</c:v>
                </c:pt>
                <c:pt idx="32">
                  <c:v>121.24295056934076</c:v>
                </c:pt>
                <c:pt idx="33">
                  <c:v>117.38005440883801</c:v>
                </c:pt>
                <c:pt idx="34">
                  <c:v>113.51715824834875</c:v>
                </c:pt>
                <c:pt idx="35">
                  <c:v>109.65426208784601</c:v>
                </c:pt>
                <c:pt idx="36">
                  <c:v>105.79136592735675</c:v>
                </c:pt>
                <c:pt idx="37">
                  <c:v>101.92846976688094</c:v>
                </c:pt>
                <c:pt idx="38">
                  <c:v>98.065573606391666</c:v>
                </c:pt>
                <c:pt idx="39">
                  <c:v>94.202677445902395</c:v>
                </c:pt>
                <c:pt idx="40">
                  <c:v>90.339781285399653</c:v>
                </c:pt>
                <c:pt idx="41">
                  <c:v>86.476885124910382</c:v>
                </c:pt>
                <c:pt idx="42">
                  <c:v>82.613988964407639</c:v>
                </c:pt>
                <c:pt idx="43">
                  <c:v>78.751092803918368</c:v>
                </c:pt>
                <c:pt idx="44">
                  <c:v>74.888196643415611</c:v>
                </c:pt>
                <c:pt idx="45">
                  <c:v>71.025300482926355</c:v>
                </c:pt>
                <c:pt idx="46">
                  <c:v>67.162404322423598</c:v>
                </c:pt>
                <c:pt idx="47">
                  <c:v>63.299508161947813</c:v>
                </c:pt>
                <c:pt idx="48">
                  <c:v>59.436612001472007</c:v>
                </c:pt>
                <c:pt idx="49">
                  <c:v>55.573715840969264</c:v>
                </c:pt>
                <c:pt idx="50">
                  <c:v>51.710819680479993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054-40B2-856D-0E15D739D60C}"/>
            </c:ext>
          </c:extLst>
        </c:ser>
        <c:ser>
          <c:idx val="19"/>
          <c:order val="19"/>
          <c:tx>
            <c:strRef>
              <c:f>グラフ!$AH$5</c:f>
              <c:strCache>
                <c:ptCount val="1"/>
                <c:pt idx="0">
                  <c:v>inner応力:Δ+20℃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グラフ!$AH$6:$AH$56</c:f>
              <c:numCache>
                <c:formatCode>0.0</c:formatCode>
                <c:ptCount val="51"/>
                <c:pt idx="0">
                  <c:v>226.96957463741998</c:v>
                </c:pt>
                <c:pt idx="1">
                  <c:v>223.10667847693074</c:v>
                </c:pt>
                <c:pt idx="2">
                  <c:v>219.24378231642797</c:v>
                </c:pt>
                <c:pt idx="3">
                  <c:v>215.3808861559387</c:v>
                </c:pt>
                <c:pt idx="4">
                  <c:v>211.51798999543593</c:v>
                </c:pt>
                <c:pt idx="5">
                  <c:v>207.65509383494668</c:v>
                </c:pt>
                <c:pt idx="6">
                  <c:v>203.79219767445741</c:v>
                </c:pt>
                <c:pt idx="7">
                  <c:v>199.92930151395467</c:v>
                </c:pt>
                <c:pt idx="8">
                  <c:v>196.06640535347887</c:v>
                </c:pt>
                <c:pt idx="9">
                  <c:v>192.2035091929896</c:v>
                </c:pt>
                <c:pt idx="10">
                  <c:v>188.34061303248683</c:v>
                </c:pt>
                <c:pt idx="11">
                  <c:v>184.47771687199759</c:v>
                </c:pt>
                <c:pt idx="12">
                  <c:v>180.61482071149484</c:v>
                </c:pt>
                <c:pt idx="13">
                  <c:v>176.75192455100557</c:v>
                </c:pt>
                <c:pt idx="14">
                  <c:v>172.8890283905163</c:v>
                </c:pt>
                <c:pt idx="15">
                  <c:v>169.026132230027</c:v>
                </c:pt>
                <c:pt idx="16">
                  <c:v>165.16323606953776</c:v>
                </c:pt>
                <c:pt idx="17">
                  <c:v>161.30033990904849</c:v>
                </c:pt>
                <c:pt idx="18">
                  <c:v>157.43744374855919</c:v>
                </c:pt>
                <c:pt idx="19">
                  <c:v>153.5745475880565</c:v>
                </c:pt>
                <c:pt idx="20">
                  <c:v>149.7116514275537</c:v>
                </c:pt>
                <c:pt idx="21">
                  <c:v>145.84875526707793</c:v>
                </c:pt>
                <c:pt idx="22">
                  <c:v>141.98585910656169</c:v>
                </c:pt>
                <c:pt idx="23">
                  <c:v>138.12296294608592</c:v>
                </c:pt>
                <c:pt idx="24">
                  <c:v>134.26006678558315</c:v>
                </c:pt>
                <c:pt idx="25">
                  <c:v>130.39717062509388</c:v>
                </c:pt>
                <c:pt idx="26">
                  <c:v>126.53427446463157</c:v>
                </c:pt>
                <c:pt idx="27">
                  <c:v>122.67137830411536</c:v>
                </c:pt>
                <c:pt idx="28">
                  <c:v>118.80848214363955</c:v>
                </c:pt>
                <c:pt idx="29">
                  <c:v>114.94558598313681</c:v>
                </c:pt>
                <c:pt idx="30">
                  <c:v>111.08268982264754</c:v>
                </c:pt>
                <c:pt idx="31">
                  <c:v>107.2197936621448</c:v>
                </c:pt>
                <c:pt idx="32">
                  <c:v>103.356897501669</c:v>
                </c:pt>
                <c:pt idx="33">
                  <c:v>99.494001341152767</c:v>
                </c:pt>
                <c:pt idx="34">
                  <c:v>95.631105180663511</c:v>
                </c:pt>
                <c:pt idx="35">
                  <c:v>91.768209020174226</c:v>
                </c:pt>
                <c:pt idx="36">
                  <c:v>87.905312859698427</c:v>
                </c:pt>
                <c:pt idx="37">
                  <c:v>84.04241669920917</c:v>
                </c:pt>
                <c:pt idx="38">
                  <c:v>80.179520538706413</c:v>
                </c:pt>
                <c:pt idx="39">
                  <c:v>76.316624378230628</c:v>
                </c:pt>
                <c:pt idx="40">
                  <c:v>72.453728217714399</c:v>
                </c:pt>
                <c:pt idx="41">
                  <c:v>68.590832057225128</c:v>
                </c:pt>
                <c:pt idx="42">
                  <c:v>64.727935896735858</c:v>
                </c:pt>
                <c:pt idx="43">
                  <c:v>60.865039736233115</c:v>
                </c:pt>
                <c:pt idx="44">
                  <c:v>57.002143575730365</c:v>
                </c:pt>
                <c:pt idx="45">
                  <c:v>53.139247415254573</c:v>
                </c:pt>
                <c:pt idx="46">
                  <c:v>49.276351254765309</c:v>
                </c:pt>
                <c:pt idx="47">
                  <c:v>45.413455094276038</c:v>
                </c:pt>
                <c:pt idx="48">
                  <c:v>41.550558933786768</c:v>
                </c:pt>
                <c:pt idx="49">
                  <c:v>37.687662773297497</c:v>
                </c:pt>
                <c:pt idx="50">
                  <c:v>33.824766612794747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054-40B2-856D-0E15D739D60C}"/>
            </c:ext>
          </c:extLst>
        </c:ser>
        <c:ser>
          <c:idx val="20"/>
          <c:order val="20"/>
          <c:tx>
            <c:strRef>
              <c:f>グラフ!$AI$5</c:f>
              <c:strCache>
                <c:ptCount val="1"/>
                <c:pt idx="0">
                  <c:v>inner応力:Δ+30℃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グラフ!$AI$6:$AI$56</c:f>
              <c:numCache>
                <c:formatCode>0.0</c:formatCode>
                <c:ptCount val="51"/>
                <c:pt idx="0">
                  <c:v>209.0835215697347</c:v>
                </c:pt>
                <c:pt idx="1">
                  <c:v>205.22062540925893</c:v>
                </c:pt>
                <c:pt idx="2">
                  <c:v>201.35772924875619</c:v>
                </c:pt>
                <c:pt idx="3">
                  <c:v>197.49483308825344</c:v>
                </c:pt>
                <c:pt idx="4">
                  <c:v>193.63193692776417</c:v>
                </c:pt>
                <c:pt idx="5">
                  <c:v>189.76904076726143</c:v>
                </c:pt>
                <c:pt idx="6">
                  <c:v>185.90614460678566</c:v>
                </c:pt>
                <c:pt idx="7">
                  <c:v>182.04324844628289</c:v>
                </c:pt>
                <c:pt idx="8">
                  <c:v>178.18035228579362</c:v>
                </c:pt>
                <c:pt idx="9">
                  <c:v>174.31745612531782</c:v>
                </c:pt>
                <c:pt idx="10">
                  <c:v>170.4545599648016</c:v>
                </c:pt>
                <c:pt idx="11">
                  <c:v>166.59166380431233</c:v>
                </c:pt>
                <c:pt idx="12">
                  <c:v>162.72876764382306</c:v>
                </c:pt>
                <c:pt idx="13">
                  <c:v>158.86587148332032</c:v>
                </c:pt>
                <c:pt idx="14">
                  <c:v>155.00297532284452</c:v>
                </c:pt>
                <c:pt idx="15">
                  <c:v>151.14007916236875</c:v>
                </c:pt>
                <c:pt idx="16">
                  <c:v>147.27718300186598</c:v>
                </c:pt>
                <c:pt idx="17">
                  <c:v>143.41428684136324</c:v>
                </c:pt>
                <c:pt idx="18">
                  <c:v>139.55139068087396</c:v>
                </c:pt>
                <c:pt idx="19">
                  <c:v>135.68849452038469</c:v>
                </c:pt>
                <c:pt idx="20">
                  <c:v>131.82559835986848</c:v>
                </c:pt>
                <c:pt idx="21">
                  <c:v>127.96270219939267</c:v>
                </c:pt>
                <c:pt idx="22">
                  <c:v>124.09980603888992</c:v>
                </c:pt>
                <c:pt idx="23">
                  <c:v>120.23690987840067</c:v>
                </c:pt>
                <c:pt idx="24">
                  <c:v>116.37401371792487</c:v>
                </c:pt>
                <c:pt idx="25">
                  <c:v>112.5111175574356</c:v>
                </c:pt>
                <c:pt idx="26">
                  <c:v>108.64822139694633</c:v>
                </c:pt>
                <c:pt idx="27">
                  <c:v>104.78532523644357</c:v>
                </c:pt>
                <c:pt idx="28">
                  <c:v>100.9224290759543</c:v>
                </c:pt>
                <c:pt idx="29">
                  <c:v>97.059532915451541</c:v>
                </c:pt>
                <c:pt idx="30">
                  <c:v>93.196636754975771</c:v>
                </c:pt>
                <c:pt idx="31">
                  <c:v>89.333740594459542</c:v>
                </c:pt>
                <c:pt idx="32">
                  <c:v>85.470844433983729</c:v>
                </c:pt>
                <c:pt idx="33">
                  <c:v>81.607948273481</c:v>
                </c:pt>
                <c:pt idx="34">
                  <c:v>77.745052113005201</c:v>
                </c:pt>
                <c:pt idx="35">
                  <c:v>73.882155952502458</c:v>
                </c:pt>
                <c:pt idx="36">
                  <c:v>70.019259792013173</c:v>
                </c:pt>
                <c:pt idx="37">
                  <c:v>66.156363631537403</c:v>
                </c:pt>
                <c:pt idx="38">
                  <c:v>62.293467471021167</c:v>
                </c:pt>
                <c:pt idx="39">
                  <c:v>58.430571310545368</c:v>
                </c:pt>
                <c:pt idx="40">
                  <c:v>54.567675150042632</c:v>
                </c:pt>
                <c:pt idx="41">
                  <c:v>50.704778989539889</c:v>
                </c:pt>
                <c:pt idx="42">
                  <c:v>46.841882829050618</c:v>
                </c:pt>
                <c:pt idx="43">
                  <c:v>42.97898666856134</c:v>
                </c:pt>
                <c:pt idx="44">
                  <c:v>39.116090508072077</c:v>
                </c:pt>
                <c:pt idx="45">
                  <c:v>35.253194347582806</c:v>
                </c:pt>
                <c:pt idx="46">
                  <c:v>31.390298187080059</c:v>
                </c:pt>
                <c:pt idx="47">
                  <c:v>27.527402026604268</c:v>
                </c:pt>
                <c:pt idx="48">
                  <c:v>23.664505866101514</c:v>
                </c:pt>
                <c:pt idx="49">
                  <c:v>19.801609705612247</c:v>
                </c:pt>
                <c:pt idx="50">
                  <c:v>15.93871354512298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054-40B2-856D-0E15D739D60C}"/>
            </c:ext>
          </c:extLst>
        </c:ser>
        <c:ser>
          <c:idx val="21"/>
          <c:order val="21"/>
          <c:tx>
            <c:strRef>
              <c:f>グラフ!$AJ$5</c:f>
              <c:strCache>
                <c:ptCount val="1"/>
                <c:pt idx="0">
                  <c:v>inner降伏点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グラフ!$AJ$6:$AJ$56</c:f>
              <c:numCache>
                <c:formatCode>0.0</c:formatCode>
                <c:ptCount val="51"/>
                <c:pt idx="0">
                  <c:v>345</c:v>
                </c:pt>
                <c:pt idx="1">
                  <c:v>345</c:v>
                </c:pt>
                <c:pt idx="2">
                  <c:v>345</c:v>
                </c:pt>
                <c:pt idx="3">
                  <c:v>345</c:v>
                </c:pt>
                <c:pt idx="4">
                  <c:v>345</c:v>
                </c:pt>
                <c:pt idx="5">
                  <c:v>345</c:v>
                </c:pt>
                <c:pt idx="6">
                  <c:v>345</c:v>
                </c:pt>
                <c:pt idx="7">
                  <c:v>345</c:v>
                </c:pt>
                <c:pt idx="8">
                  <c:v>345</c:v>
                </c:pt>
                <c:pt idx="9">
                  <c:v>345</c:v>
                </c:pt>
                <c:pt idx="10">
                  <c:v>345</c:v>
                </c:pt>
                <c:pt idx="11">
                  <c:v>345</c:v>
                </c:pt>
                <c:pt idx="12">
                  <c:v>345</c:v>
                </c:pt>
                <c:pt idx="13">
                  <c:v>345</c:v>
                </c:pt>
                <c:pt idx="14">
                  <c:v>345</c:v>
                </c:pt>
                <c:pt idx="15">
                  <c:v>345</c:v>
                </c:pt>
                <c:pt idx="16">
                  <c:v>345</c:v>
                </c:pt>
                <c:pt idx="17">
                  <c:v>345</c:v>
                </c:pt>
                <c:pt idx="18">
                  <c:v>345</c:v>
                </c:pt>
                <c:pt idx="19">
                  <c:v>345</c:v>
                </c:pt>
                <c:pt idx="20">
                  <c:v>345</c:v>
                </c:pt>
                <c:pt idx="21">
                  <c:v>345</c:v>
                </c:pt>
                <c:pt idx="22">
                  <c:v>345</c:v>
                </c:pt>
                <c:pt idx="23">
                  <c:v>345</c:v>
                </c:pt>
                <c:pt idx="24">
                  <c:v>345</c:v>
                </c:pt>
                <c:pt idx="25">
                  <c:v>345</c:v>
                </c:pt>
                <c:pt idx="26">
                  <c:v>345</c:v>
                </c:pt>
                <c:pt idx="27">
                  <c:v>345</c:v>
                </c:pt>
                <c:pt idx="28">
                  <c:v>345</c:v>
                </c:pt>
                <c:pt idx="29">
                  <c:v>345</c:v>
                </c:pt>
                <c:pt idx="30">
                  <c:v>345</c:v>
                </c:pt>
                <c:pt idx="31">
                  <c:v>345</c:v>
                </c:pt>
                <c:pt idx="32">
                  <c:v>345</c:v>
                </c:pt>
                <c:pt idx="33">
                  <c:v>345</c:v>
                </c:pt>
                <c:pt idx="34">
                  <c:v>345</c:v>
                </c:pt>
                <c:pt idx="35">
                  <c:v>345</c:v>
                </c:pt>
                <c:pt idx="36">
                  <c:v>345</c:v>
                </c:pt>
                <c:pt idx="37">
                  <c:v>345</c:v>
                </c:pt>
                <c:pt idx="38">
                  <c:v>345</c:v>
                </c:pt>
                <c:pt idx="39">
                  <c:v>345</c:v>
                </c:pt>
                <c:pt idx="40">
                  <c:v>345</c:v>
                </c:pt>
                <c:pt idx="41">
                  <c:v>345</c:v>
                </c:pt>
                <c:pt idx="42">
                  <c:v>345</c:v>
                </c:pt>
                <c:pt idx="43">
                  <c:v>345</c:v>
                </c:pt>
                <c:pt idx="44">
                  <c:v>345</c:v>
                </c:pt>
                <c:pt idx="45">
                  <c:v>345</c:v>
                </c:pt>
                <c:pt idx="46">
                  <c:v>345</c:v>
                </c:pt>
                <c:pt idx="47">
                  <c:v>345</c:v>
                </c:pt>
                <c:pt idx="48">
                  <c:v>345</c:v>
                </c:pt>
                <c:pt idx="49">
                  <c:v>345</c:v>
                </c:pt>
                <c:pt idx="50">
                  <c:v>345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054-40B2-856D-0E15D739D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419104"/>
        <c:axId val="187840121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グラフ!$O$5</c15:sqref>
                        </c15:formulaRef>
                      </c:ext>
                    </c:extLst>
                    <c:strCache>
                      <c:ptCount val="1"/>
                      <c:pt idx="0">
                        <c:v>締め代：Δ-30℃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グラフ!$O$6:$O$56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0.16679667000000364</c:v>
                      </c:pt>
                      <c:pt idx="1">
                        <c:v>0.16476026499999818</c:v>
                      </c:pt>
                      <c:pt idx="2">
                        <c:v>0.16272385999999983</c:v>
                      </c:pt>
                      <c:pt idx="3">
                        <c:v>0.16068745500000148</c:v>
                      </c:pt>
                      <c:pt idx="4">
                        <c:v>0.15865104999999602</c:v>
                      </c:pt>
                      <c:pt idx="5">
                        <c:v>0.15661464499999767</c:v>
                      </c:pt>
                      <c:pt idx="6">
                        <c:v>0.15457823999999931</c:v>
                      </c:pt>
                      <c:pt idx="7">
                        <c:v>0.15254183499999385</c:v>
                      </c:pt>
                      <c:pt idx="8">
                        <c:v>0.1505054300000026</c:v>
                      </c:pt>
                      <c:pt idx="9">
                        <c:v>0.14846902500000425</c:v>
                      </c:pt>
                      <c:pt idx="10">
                        <c:v>0.14643261999999879</c:v>
                      </c:pt>
                      <c:pt idx="11">
                        <c:v>0.14439621500000044</c:v>
                      </c:pt>
                      <c:pt idx="12">
                        <c:v>0.14235980999999498</c:v>
                      </c:pt>
                      <c:pt idx="13">
                        <c:v>0.14032340500000373</c:v>
                      </c:pt>
                      <c:pt idx="14">
                        <c:v>0.13828699999999827</c:v>
                      </c:pt>
                      <c:pt idx="15">
                        <c:v>0.13625059500000702</c:v>
                      </c:pt>
                      <c:pt idx="16">
                        <c:v>0.13421419000000157</c:v>
                      </c:pt>
                      <c:pt idx="17">
                        <c:v>0.13217778499999611</c:v>
                      </c:pt>
                      <c:pt idx="18">
                        <c:v>0.13014138000000486</c:v>
                      </c:pt>
                      <c:pt idx="19">
                        <c:v>0.1281049749999994</c:v>
                      </c:pt>
                      <c:pt idx="20">
                        <c:v>0.12606856999999394</c:v>
                      </c:pt>
                      <c:pt idx="21">
                        <c:v>0.12403216500000269</c:v>
                      </c:pt>
                      <c:pt idx="22">
                        <c:v>0.12199575999999013</c:v>
                      </c:pt>
                      <c:pt idx="23">
                        <c:v>0.11995935499999888</c:v>
                      </c:pt>
                      <c:pt idx="24">
                        <c:v>0.11792294999999342</c:v>
                      </c:pt>
                      <c:pt idx="25">
                        <c:v>0.11588654499999507</c:v>
                      </c:pt>
                      <c:pt idx="26">
                        <c:v>0.11385014000000382</c:v>
                      </c:pt>
                      <c:pt idx="27">
                        <c:v>0.11181373499999836</c:v>
                      </c:pt>
                      <c:pt idx="28">
                        <c:v>0.10977733000000711</c:v>
                      </c:pt>
                      <c:pt idx="29">
                        <c:v>0.10774092499999455</c:v>
                      </c:pt>
                      <c:pt idx="30">
                        <c:v>0.1057045200000033</c:v>
                      </c:pt>
                      <c:pt idx="31">
                        <c:v>0.10366811499999784</c:v>
                      </c:pt>
                      <c:pt idx="32">
                        <c:v>0.10163170999999949</c:v>
                      </c:pt>
                      <c:pt idx="33">
                        <c:v>9.9595304999994028E-2</c:v>
                      </c:pt>
                      <c:pt idx="34">
                        <c:v>9.7558899999995674E-2</c:v>
                      </c:pt>
                      <c:pt idx="35">
                        <c:v>9.5522494999990215E-2</c:v>
                      </c:pt>
                      <c:pt idx="36">
                        <c:v>9.3486090000006072E-2</c:v>
                      </c:pt>
                      <c:pt idx="37">
                        <c:v>9.1449685000007719E-2</c:v>
                      </c:pt>
                      <c:pt idx="38">
                        <c:v>8.941328000000226E-2</c:v>
                      </c:pt>
                      <c:pt idx="39">
                        <c:v>8.7376875000011012E-2</c:v>
                      </c:pt>
                      <c:pt idx="40">
                        <c:v>8.5340469999998447E-2</c:v>
                      </c:pt>
                      <c:pt idx="41">
                        <c:v>8.3304065000000094E-2</c:v>
                      </c:pt>
                      <c:pt idx="42">
                        <c:v>8.126766000000174E-2</c:v>
                      </c:pt>
                      <c:pt idx="43">
                        <c:v>7.9231254999996281E-2</c:v>
                      </c:pt>
                      <c:pt idx="44">
                        <c:v>7.7194849999990822E-2</c:v>
                      </c:pt>
                      <c:pt idx="45">
                        <c:v>7.5158444999999574E-2</c:v>
                      </c:pt>
                      <c:pt idx="46">
                        <c:v>7.3122040000001221E-2</c:v>
                      </c:pt>
                      <c:pt idx="47">
                        <c:v>7.1085635000002867E-2</c:v>
                      </c:pt>
                      <c:pt idx="48">
                        <c:v>6.9049230000004513E-2</c:v>
                      </c:pt>
                      <c:pt idx="49">
                        <c:v>6.701282500000616E-2</c:v>
                      </c:pt>
                      <c:pt idx="50">
                        <c:v>6.4976420000000701E-2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054-40B2-856D-0E15D739D60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グラフ!$P$5</c15:sqref>
                        </c15:formulaRef>
                      </c:ext>
                    </c:extLst>
                    <c:strCache>
                      <c:ptCount val="1"/>
                      <c:pt idx="0">
                        <c:v>締め代：Δ-20℃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グラフ!$P$6:$P$56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0.15736766999999929</c:v>
                      </c:pt>
                      <c:pt idx="1">
                        <c:v>0.15533126500000805</c:v>
                      </c:pt>
                      <c:pt idx="2">
                        <c:v>0.15329486000000259</c:v>
                      </c:pt>
                      <c:pt idx="3">
                        <c:v>0.15125845499999713</c:v>
                      </c:pt>
                      <c:pt idx="4">
                        <c:v>0.14922204999999877</c:v>
                      </c:pt>
                      <c:pt idx="5">
                        <c:v>0.14718564499999331</c:v>
                      </c:pt>
                      <c:pt idx="6">
                        <c:v>0.14514924000000207</c:v>
                      </c:pt>
                      <c:pt idx="7">
                        <c:v>0.14311283499999661</c:v>
                      </c:pt>
                      <c:pt idx="8">
                        <c:v>0.14107642999999825</c:v>
                      </c:pt>
                      <c:pt idx="9">
                        <c:v>0.13904002500000701</c:v>
                      </c:pt>
                      <c:pt idx="10">
                        <c:v>0.13700361999999444</c:v>
                      </c:pt>
                      <c:pt idx="11">
                        <c:v>0.13496721500000319</c:v>
                      </c:pt>
                      <c:pt idx="12">
                        <c:v>0.13293080999999773</c:v>
                      </c:pt>
                      <c:pt idx="13">
                        <c:v>0.13089440499999938</c:v>
                      </c:pt>
                      <c:pt idx="14">
                        <c:v>0.12885800000000103</c:v>
                      </c:pt>
                      <c:pt idx="15">
                        <c:v>0.12682159500000267</c:v>
                      </c:pt>
                      <c:pt idx="16">
                        <c:v>0.12478519000000432</c:v>
                      </c:pt>
                      <c:pt idx="17">
                        <c:v>0.12274878499999886</c:v>
                      </c:pt>
                      <c:pt idx="18">
                        <c:v>0.12071238000000051</c:v>
                      </c:pt>
                      <c:pt idx="19">
                        <c:v>0.11867597500000215</c:v>
                      </c:pt>
                      <c:pt idx="20">
                        <c:v>0.11663956999998959</c:v>
                      </c:pt>
                      <c:pt idx="21">
                        <c:v>0.11460316499999834</c:v>
                      </c:pt>
                      <c:pt idx="22">
                        <c:v>0.11256675999999288</c:v>
                      </c:pt>
                      <c:pt idx="23">
                        <c:v>0.11053035499999453</c:v>
                      </c:pt>
                      <c:pt idx="24">
                        <c:v>0.10849394999999618</c:v>
                      </c:pt>
                      <c:pt idx="25">
                        <c:v>0.10645754500000493</c:v>
                      </c:pt>
                      <c:pt idx="26">
                        <c:v>0.10442114000000657</c:v>
                      </c:pt>
                      <c:pt idx="27">
                        <c:v>0.10238473499999401</c:v>
                      </c:pt>
                      <c:pt idx="28">
                        <c:v>0.10034833000000276</c:v>
                      </c:pt>
                      <c:pt idx="29">
                        <c:v>9.8311924999997302E-2</c:v>
                      </c:pt>
                      <c:pt idx="30">
                        <c:v>9.6275519999998949E-2</c:v>
                      </c:pt>
                      <c:pt idx="31">
                        <c:v>9.423911499999349E-2</c:v>
                      </c:pt>
                      <c:pt idx="32">
                        <c:v>9.2202710000002241E-2</c:v>
                      </c:pt>
                      <c:pt idx="33">
                        <c:v>9.0166304999989677E-2</c:v>
                      </c:pt>
                      <c:pt idx="34">
                        <c:v>8.8129900000005534E-2</c:v>
                      </c:pt>
                      <c:pt idx="35">
                        <c:v>8.6093495000000075E-2</c:v>
                      </c:pt>
                      <c:pt idx="36">
                        <c:v>8.4057090000001722E-2</c:v>
                      </c:pt>
                      <c:pt idx="37">
                        <c:v>8.2020685000010474E-2</c:v>
                      </c:pt>
                      <c:pt idx="38">
                        <c:v>7.9984279999997909E-2</c:v>
                      </c:pt>
                      <c:pt idx="39">
                        <c:v>7.7947875000006661E-2</c:v>
                      </c:pt>
                      <c:pt idx="40">
                        <c:v>7.5911470000001202E-2</c:v>
                      </c:pt>
                      <c:pt idx="41">
                        <c:v>7.3875064999995743E-2</c:v>
                      </c:pt>
                      <c:pt idx="42">
                        <c:v>7.183865999999739E-2</c:v>
                      </c:pt>
                      <c:pt idx="43">
                        <c:v>6.9802254999999036E-2</c:v>
                      </c:pt>
                      <c:pt idx="44">
                        <c:v>6.7765850000000682E-2</c:v>
                      </c:pt>
                      <c:pt idx="45">
                        <c:v>6.5729445000002329E-2</c:v>
                      </c:pt>
                      <c:pt idx="46">
                        <c:v>6.369303999999687E-2</c:v>
                      </c:pt>
                      <c:pt idx="47">
                        <c:v>6.1656635000005622E-2</c:v>
                      </c:pt>
                      <c:pt idx="48">
                        <c:v>5.9620230000000163E-2</c:v>
                      </c:pt>
                      <c:pt idx="49">
                        <c:v>5.7583825000001809E-2</c:v>
                      </c:pt>
                      <c:pt idx="50">
                        <c:v>5.5547420000003456E-2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054-40B2-856D-0E15D739D60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グラフ!$Q$5</c15:sqref>
                        </c15:formulaRef>
                      </c:ext>
                    </c:extLst>
                    <c:strCache>
                      <c:ptCount val="1"/>
                      <c:pt idx="0">
                        <c:v>締め代：Δ-10℃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グラフ!$Q$6:$Q$56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0.14793867000000205</c:v>
                      </c:pt>
                      <c:pt idx="1">
                        <c:v>0.14590226500000369</c:v>
                      </c:pt>
                      <c:pt idx="2">
                        <c:v>0.14386586000000534</c:v>
                      </c:pt>
                      <c:pt idx="3">
                        <c:v>0.14182945499999278</c:v>
                      </c:pt>
                      <c:pt idx="4">
                        <c:v>0.13979305000000153</c:v>
                      </c:pt>
                      <c:pt idx="5">
                        <c:v>0.13775664499999607</c:v>
                      </c:pt>
                      <c:pt idx="6">
                        <c:v>0.13572023999999772</c:v>
                      </c:pt>
                      <c:pt idx="7">
                        <c:v>0.13368383499999936</c:v>
                      </c:pt>
                      <c:pt idx="8">
                        <c:v>0.1316474299999939</c:v>
                      </c:pt>
                      <c:pt idx="9">
                        <c:v>0.12961102500000976</c:v>
                      </c:pt>
                      <c:pt idx="10">
                        <c:v>0.1275746199999972</c:v>
                      </c:pt>
                      <c:pt idx="11">
                        <c:v>0.12553821499999884</c:v>
                      </c:pt>
                      <c:pt idx="12">
                        <c:v>0.12350181000000049</c:v>
                      </c:pt>
                      <c:pt idx="13">
                        <c:v>0.12146540499999503</c:v>
                      </c:pt>
                      <c:pt idx="14">
                        <c:v>0.11942900000000378</c:v>
                      </c:pt>
                      <c:pt idx="15">
                        <c:v>0.11739259500000543</c:v>
                      </c:pt>
                      <c:pt idx="16">
                        <c:v>0.11535618999999997</c:v>
                      </c:pt>
                      <c:pt idx="17">
                        <c:v>0.11331978500000162</c:v>
                      </c:pt>
                      <c:pt idx="18">
                        <c:v>0.11128337999999616</c:v>
                      </c:pt>
                      <c:pt idx="19">
                        <c:v>0.1092469749999978</c:v>
                      </c:pt>
                      <c:pt idx="20">
                        <c:v>0.10721056999999234</c:v>
                      </c:pt>
                      <c:pt idx="21">
                        <c:v>0.10517416499999399</c:v>
                      </c:pt>
                      <c:pt idx="22">
                        <c:v>0.10313775999999564</c:v>
                      </c:pt>
                      <c:pt idx="23">
                        <c:v>0.10110135500000439</c:v>
                      </c:pt>
                      <c:pt idx="24">
                        <c:v>9.906494999999893E-2</c:v>
                      </c:pt>
                      <c:pt idx="25">
                        <c:v>9.7028545000000577E-2</c:v>
                      </c:pt>
                      <c:pt idx="26">
                        <c:v>9.4992140000002223E-2</c:v>
                      </c:pt>
                      <c:pt idx="27">
                        <c:v>9.2955734999996764E-2</c:v>
                      </c:pt>
                      <c:pt idx="28">
                        <c:v>9.0919329999998411E-2</c:v>
                      </c:pt>
                      <c:pt idx="29">
                        <c:v>8.8882924999992952E-2</c:v>
                      </c:pt>
                      <c:pt idx="30">
                        <c:v>8.6846520000001703E-2</c:v>
                      </c:pt>
                      <c:pt idx="31">
                        <c:v>8.4810114999989139E-2</c:v>
                      </c:pt>
                      <c:pt idx="32">
                        <c:v>8.2773710000012102E-2</c:v>
                      </c:pt>
                      <c:pt idx="33">
                        <c:v>8.0737304999999537E-2</c:v>
                      </c:pt>
                      <c:pt idx="34">
                        <c:v>7.8700900000001184E-2</c:v>
                      </c:pt>
                      <c:pt idx="35">
                        <c:v>7.666449500000283E-2</c:v>
                      </c:pt>
                      <c:pt idx="36">
                        <c:v>7.4628089999997371E-2</c:v>
                      </c:pt>
                      <c:pt idx="37">
                        <c:v>7.2591685000006123E-2</c:v>
                      </c:pt>
                      <c:pt idx="38">
                        <c:v>7.0555280000000664E-2</c:v>
                      </c:pt>
                      <c:pt idx="39">
                        <c:v>6.8518875000002311E-2</c:v>
                      </c:pt>
                      <c:pt idx="40">
                        <c:v>6.6482469999996852E-2</c:v>
                      </c:pt>
                      <c:pt idx="41">
                        <c:v>6.4446064999998498E-2</c:v>
                      </c:pt>
                      <c:pt idx="42">
                        <c:v>6.240966000000725E-2</c:v>
                      </c:pt>
                      <c:pt idx="43">
                        <c:v>6.0373255000001791E-2</c:v>
                      </c:pt>
                      <c:pt idx="44">
                        <c:v>5.8336849999996332E-2</c:v>
                      </c:pt>
                      <c:pt idx="45">
                        <c:v>5.6300445000005084E-2</c:v>
                      </c:pt>
                      <c:pt idx="46">
                        <c:v>5.4264039999992519E-2</c:v>
                      </c:pt>
                      <c:pt idx="47">
                        <c:v>5.2227635000001271E-2</c:v>
                      </c:pt>
                      <c:pt idx="48">
                        <c:v>5.0191230000002918E-2</c:v>
                      </c:pt>
                      <c:pt idx="49">
                        <c:v>4.8154824999997459E-2</c:v>
                      </c:pt>
                      <c:pt idx="50">
                        <c:v>4.6118419999999105E-2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054-40B2-856D-0E15D739D60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グラフ!$R$5</c15:sqref>
                        </c15:formulaRef>
                      </c:ext>
                    </c:extLst>
                    <c:strCache>
                      <c:ptCount val="1"/>
                      <c:pt idx="0">
                        <c:v>締め代：Δ0℃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グラフ!$R$6:$R$56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0.1385096700000048</c:v>
                      </c:pt>
                      <c:pt idx="1">
                        <c:v>0.13647326499999934</c:v>
                      </c:pt>
                      <c:pt idx="2">
                        <c:v>0.1344368600000081</c:v>
                      </c:pt>
                      <c:pt idx="3">
                        <c:v>0.13240045499999553</c:v>
                      </c:pt>
                      <c:pt idx="4">
                        <c:v>0.13036404999999718</c:v>
                      </c:pt>
                      <c:pt idx="5">
                        <c:v>0.12832764499999882</c:v>
                      </c:pt>
                      <c:pt idx="6">
                        <c:v>0.12629123999999337</c:v>
                      </c:pt>
                      <c:pt idx="7">
                        <c:v>0.12425483500000212</c:v>
                      </c:pt>
                      <c:pt idx="8">
                        <c:v>0.12221842999999666</c:v>
                      </c:pt>
                      <c:pt idx="9">
                        <c:v>0.12018202500000541</c:v>
                      </c:pt>
                      <c:pt idx="10">
                        <c:v>0.11814561999999995</c:v>
                      </c:pt>
                      <c:pt idx="11">
                        <c:v>0.11610921499999449</c:v>
                      </c:pt>
                      <c:pt idx="12">
                        <c:v>0.11407281000000324</c:v>
                      </c:pt>
                      <c:pt idx="13">
                        <c:v>0.11203640499999779</c:v>
                      </c:pt>
                      <c:pt idx="14">
                        <c:v>0.10999999999999943</c:v>
                      </c:pt>
                      <c:pt idx="15">
                        <c:v>0.10796359500000818</c:v>
                      </c:pt>
                      <c:pt idx="16">
                        <c:v>0.10592718999999562</c:v>
                      </c:pt>
                      <c:pt idx="17">
                        <c:v>0.10389078499999727</c:v>
                      </c:pt>
                      <c:pt idx="18">
                        <c:v>0.10185437999999891</c:v>
                      </c:pt>
                      <c:pt idx="19">
                        <c:v>9.9817974999993453E-2</c:v>
                      </c:pt>
                      <c:pt idx="20">
                        <c:v>9.7781569999995099E-2</c:v>
                      </c:pt>
                      <c:pt idx="21">
                        <c:v>9.5745165000003851E-2</c:v>
                      </c:pt>
                      <c:pt idx="22">
                        <c:v>9.3708759999998392E-2</c:v>
                      </c:pt>
                      <c:pt idx="23">
                        <c:v>9.1672355000000039E-2</c:v>
                      </c:pt>
                      <c:pt idx="24">
                        <c:v>8.963594999999458E-2</c:v>
                      </c:pt>
                      <c:pt idx="25">
                        <c:v>8.7599545000003332E-2</c:v>
                      </c:pt>
                      <c:pt idx="26">
                        <c:v>8.5563139999997873E-2</c:v>
                      </c:pt>
                      <c:pt idx="27">
                        <c:v>8.3526734999992414E-2</c:v>
                      </c:pt>
                      <c:pt idx="28">
                        <c:v>8.1490330000001165E-2</c:v>
                      </c:pt>
                      <c:pt idx="29">
                        <c:v>7.9453924999988601E-2</c:v>
                      </c:pt>
                      <c:pt idx="30">
                        <c:v>7.7417520000011564E-2</c:v>
                      </c:pt>
                      <c:pt idx="31">
                        <c:v>7.5381114999998999E-2</c:v>
                      </c:pt>
                      <c:pt idx="32">
                        <c:v>7.3344710000007751E-2</c:v>
                      </c:pt>
                      <c:pt idx="33">
                        <c:v>7.1308305000002292E-2</c:v>
                      </c:pt>
                      <c:pt idx="34">
                        <c:v>6.9271899999996833E-2</c:v>
                      </c:pt>
                      <c:pt idx="35">
                        <c:v>6.723549499999848E-2</c:v>
                      </c:pt>
                      <c:pt idx="36">
                        <c:v>6.5199090000000126E-2</c:v>
                      </c:pt>
                      <c:pt idx="37">
                        <c:v>6.3162685000001773E-2</c:v>
                      </c:pt>
                      <c:pt idx="38">
                        <c:v>6.1126279999996314E-2</c:v>
                      </c:pt>
                      <c:pt idx="39">
                        <c:v>5.9089875000005065E-2</c:v>
                      </c:pt>
                      <c:pt idx="40">
                        <c:v>5.7053470000006712E-2</c:v>
                      </c:pt>
                      <c:pt idx="41">
                        <c:v>5.5017065000001253E-2</c:v>
                      </c:pt>
                      <c:pt idx="42">
                        <c:v>5.2980660000002899E-2</c:v>
                      </c:pt>
                      <c:pt idx="43">
                        <c:v>5.0944255000004546E-2</c:v>
                      </c:pt>
                      <c:pt idx="44">
                        <c:v>4.8907849999991981E-2</c:v>
                      </c:pt>
                      <c:pt idx="45">
                        <c:v>4.6871445000000733E-2</c:v>
                      </c:pt>
                      <c:pt idx="46">
                        <c:v>4.4835039999995274E-2</c:v>
                      </c:pt>
                      <c:pt idx="47">
                        <c:v>4.2798634999996921E-2</c:v>
                      </c:pt>
                      <c:pt idx="48">
                        <c:v>4.0762229999998567E-2</c:v>
                      </c:pt>
                      <c:pt idx="49">
                        <c:v>3.8725825000000214E-2</c:v>
                      </c:pt>
                      <c:pt idx="50">
                        <c:v>3.6689420000008965E-2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054-40B2-856D-0E15D739D60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グラフ!$S$5</c15:sqref>
                        </c15:formulaRef>
                      </c:ext>
                    </c:extLst>
                    <c:strCache>
                      <c:ptCount val="1"/>
                      <c:pt idx="0">
                        <c:v>締め代：Δ+10℃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グラフ!$S$6:$S$56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0.12908067000000756</c:v>
                      </c:pt>
                      <c:pt idx="1">
                        <c:v>0.1270442650000021</c:v>
                      </c:pt>
                      <c:pt idx="2">
                        <c:v>0.12500786000000375</c:v>
                      </c:pt>
                      <c:pt idx="3">
                        <c:v>0.12297145499999829</c:v>
                      </c:pt>
                      <c:pt idx="4">
                        <c:v>0.12093504999999283</c:v>
                      </c:pt>
                      <c:pt idx="5">
                        <c:v>0.11889864500000158</c:v>
                      </c:pt>
                      <c:pt idx="6">
                        <c:v>0.11686223999999612</c:v>
                      </c:pt>
                      <c:pt idx="7">
                        <c:v>0.11482583499999777</c:v>
                      </c:pt>
                      <c:pt idx="8">
                        <c:v>0.11278942999999941</c:v>
                      </c:pt>
                      <c:pt idx="9">
                        <c:v>0.11075302500000106</c:v>
                      </c:pt>
                      <c:pt idx="10">
                        <c:v>0.10871662000000271</c:v>
                      </c:pt>
                      <c:pt idx="11">
                        <c:v>0.10668021499999725</c:v>
                      </c:pt>
                      <c:pt idx="12">
                        <c:v>0.10464380999999889</c:v>
                      </c:pt>
                      <c:pt idx="13">
                        <c:v>0.10260740500000054</c:v>
                      </c:pt>
                      <c:pt idx="14">
                        <c:v>0.10057099999999508</c:v>
                      </c:pt>
                      <c:pt idx="15">
                        <c:v>9.8534595000003833E-2</c:v>
                      </c:pt>
                      <c:pt idx="16">
                        <c:v>9.6498189999998374E-2</c:v>
                      </c:pt>
                      <c:pt idx="17">
                        <c:v>9.4461784999992915E-2</c:v>
                      </c:pt>
                      <c:pt idx="18">
                        <c:v>9.2425380000001667E-2</c:v>
                      </c:pt>
                      <c:pt idx="19">
                        <c:v>9.0388975000003313E-2</c:v>
                      </c:pt>
                      <c:pt idx="20">
                        <c:v>8.8352569999997854E-2</c:v>
                      </c:pt>
                      <c:pt idx="21">
                        <c:v>8.6316164999999501E-2</c:v>
                      </c:pt>
                      <c:pt idx="22">
                        <c:v>8.4279759999994042E-2</c:v>
                      </c:pt>
                      <c:pt idx="23">
                        <c:v>8.2243355000002794E-2</c:v>
                      </c:pt>
                      <c:pt idx="24">
                        <c:v>8.0206949999990229E-2</c:v>
                      </c:pt>
                      <c:pt idx="25">
                        <c:v>7.8170544999998981E-2</c:v>
                      </c:pt>
                      <c:pt idx="26">
                        <c:v>7.6134140000000627E-2</c:v>
                      </c:pt>
                      <c:pt idx="27">
                        <c:v>7.4097734999988063E-2</c:v>
                      </c:pt>
                      <c:pt idx="28">
                        <c:v>7.2061330000011026E-2</c:v>
                      </c:pt>
                      <c:pt idx="29">
                        <c:v>7.0024924999998461E-2</c:v>
                      </c:pt>
                      <c:pt idx="30">
                        <c:v>6.7988520000007213E-2</c:v>
                      </c:pt>
                      <c:pt idx="31">
                        <c:v>6.5952115000001754E-2</c:v>
                      </c:pt>
                      <c:pt idx="32">
                        <c:v>6.3915710000003401E-2</c:v>
                      </c:pt>
                      <c:pt idx="33">
                        <c:v>6.1879304999997942E-2</c:v>
                      </c:pt>
                      <c:pt idx="34">
                        <c:v>5.9842899999999588E-2</c:v>
                      </c:pt>
                      <c:pt idx="35">
                        <c:v>5.7806494999994129E-2</c:v>
                      </c:pt>
                      <c:pt idx="36">
                        <c:v>5.5770089999995776E-2</c:v>
                      </c:pt>
                      <c:pt idx="37">
                        <c:v>5.3733685000004527E-2</c:v>
                      </c:pt>
                      <c:pt idx="38">
                        <c:v>5.1697280000006174E-2</c:v>
                      </c:pt>
                      <c:pt idx="39">
                        <c:v>4.966087500000782E-2</c:v>
                      </c:pt>
                      <c:pt idx="40">
                        <c:v>4.7624470000002361E-2</c:v>
                      </c:pt>
                      <c:pt idx="41">
                        <c:v>4.5588065000004008E-2</c:v>
                      </c:pt>
                      <c:pt idx="42">
                        <c:v>4.3551659999998549E-2</c:v>
                      </c:pt>
                      <c:pt idx="43">
                        <c:v>4.1515255000000195E-2</c:v>
                      </c:pt>
                      <c:pt idx="44">
                        <c:v>3.9478849999994736E-2</c:v>
                      </c:pt>
                      <c:pt idx="45">
                        <c:v>3.7442444999996383E-2</c:v>
                      </c:pt>
                      <c:pt idx="46">
                        <c:v>3.5406039999990924E-2</c:v>
                      </c:pt>
                      <c:pt idx="47">
                        <c:v>3.3369634999999676E-2</c:v>
                      </c:pt>
                      <c:pt idx="48">
                        <c:v>3.1333230000008427E-2</c:v>
                      </c:pt>
                      <c:pt idx="49">
                        <c:v>2.9296825000002968E-2</c:v>
                      </c:pt>
                      <c:pt idx="50">
                        <c:v>2.7260420000004615E-2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054-40B2-856D-0E15D739D60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グラフ!$T$5</c15:sqref>
                        </c15:formulaRef>
                      </c:ext>
                    </c:extLst>
                    <c:strCache>
                      <c:ptCount val="1"/>
                      <c:pt idx="0">
                        <c:v>締め代：Δ+20℃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グラフ!$T$6:$T$56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0.11965167000000321</c:v>
                      </c:pt>
                      <c:pt idx="1">
                        <c:v>0.11761526500000485</c:v>
                      </c:pt>
                      <c:pt idx="2">
                        <c:v>0.11557885999999939</c:v>
                      </c:pt>
                      <c:pt idx="3">
                        <c:v>0.11354245500000104</c:v>
                      </c:pt>
                      <c:pt idx="4">
                        <c:v>0.11150604999999558</c:v>
                      </c:pt>
                      <c:pt idx="5">
                        <c:v>0.10946964499999723</c:v>
                      </c:pt>
                      <c:pt idx="6">
                        <c:v>0.10743323999999888</c:v>
                      </c:pt>
                      <c:pt idx="7">
                        <c:v>0.10539683499999342</c:v>
                      </c:pt>
                      <c:pt idx="8">
                        <c:v>0.10336043000000217</c:v>
                      </c:pt>
                      <c:pt idx="9">
                        <c:v>0.10132402500000381</c:v>
                      </c:pt>
                      <c:pt idx="10">
                        <c:v>9.9287619999998356E-2</c:v>
                      </c:pt>
                      <c:pt idx="11">
                        <c:v>9.7251215000000002E-2</c:v>
                      </c:pt>
                      <c:pt idx="12">
                        <c:v>9.5214809999994543E-2</c:v>
                      </c:pt>
                      <c:pt idx="13">
                        <c:v>9.3178404999996189E-2</c:v>
                      </c:pt>
                      <c:pt idx="14">
                        <c:v>9.1141999999997836E-2</c:v>
                      </c:pt>
                      <c:pt idx="15">
                        <c:v>8.9105594999999482E-2</c:v>
                      </c:pt>
                      <c:pt idx="16">
                        <c:v>8.7069190000001129E-2</c:v>
                      </c:pt>
                      <c:pt idx="17">
                        <c:v>8.5032785000002775E-2</c:v>
                      </c:pt>
                      <c:pt idx="18">
                        <c:v>8.2996380000004422E-2</c:v>
                      </c:pt>
                      <c:pt idx="19">
                        <c:v>8.0959974999998963E-2</c:v>
                      </c:pt>
                      <c:pt idx="20">
                        <c:v>7.8923569999993504E-2</c:v>
                      </c:pt>
                      <c:pt idx="21">
                        <c:v>7.6887165000002256E-2</c:v>
                      </c:pt>
                      <c:pt idx="22">
                        <c:v>7.4850759999989691E-2</c:v>
                      </c:pt>
                      <c:pt idx="23">
                        <c:v>7.2814354999998443E-2</c:v>
                      </c:pt>
                      <c:pt idx="24">
                        <c:v>7.0777949999992984E-2</c:v>
                      </c:pt>
                      <c:pt idx="25">
                        <c:v>6.874154499999463E-2</c:v>
                      </c:pt>
                      <c:pt idx="26">
                        <c:v>6.6705140000010488E-2</c:v>
                      </c:pt>
                      <c:pt idx="27">
                        <c:v>6.4668734999997923E-2</c:v>
                      </c:pt>
                      <c:pt idx="28">
                        <c:v>6.2632330000006675E-2</c:v>
                      </c:pt>
                      <c:pt idx="29">
                        <c:v>6.0595925000001216E-2</c:v>
                      </c:pt>
                      <c:pt idx="30">
                        <c:v>5.8559520000002863E-2</c:v>
                      </c:pt>
                      <c:pt idx="31">
                        <c:v>5.6523114999997404E-2</c:v>
                      </c:pt>
                      <c:pt idx="32">
                        <c:v>5.4486710000006155E-2</c:v>
                      </c:pt>
                      <c:pt idx="33">
                        <c:v>5.2450304999993591E-2</c:v>
                      </c:pt>
                      <c:pt idx="34">
                        <c:v>5.0413899999995238E-2</c:v>
                      </c:pt>
                      <c:pt idx="35">
                        <c:v>4.8377494999996884E-2</c:v>
                      </c:pt>
                      <c:pt idx="36">
                        <c:v>4.6341090000005636E-2</c:v>
                      </c:pt>
                      <c:pt idx="37">
                        <c:v>4.4304685000007282E-2</c:v>
                      </c:pt>
                      <c:pt idx="38">
                        <c:v>4.2268280000001823E-2</c:v>
                      </c:pt>
                      <c:pt idx="39">
                        <c:v>4.0231875000010575E-2</c:v>
                      </c:pt>
                      <c:pt idx="40">
                        <c:v>3.8195469999998011E-2</c:v>
                      </c:pt>
                      <c:pt idx="41">
                        <c:v>3.6159064999999657E-2</c:v>
                      </c:pt>
                      <c:pt idx="42">
                        <c:v>3.4122660000001304E-2</c:v>
                      </c:pt>
                      <c:pt idx="43">
                        <c:v>3.2086254999995845E-2</c:v>
                      </c:pt>
                      <c:pt idx="44">
                        <c:v>3.0049849999990386E-2</c:v>
                      </c:pt>
                      <c:pt idx="45">
                        <c:v>2.8013444999999138E-2</c:v>
                      </c:pt>
                      <c:pt idx="46">
                        <c:v>2.5977040000000784E-2</c:v>
                      </c:pt>
                      <c:pt idx="47">
                        <c:v>2.394063500000243E-2</c:v>
                      </c:pt>
                      <c:pt idx="48">
                        <c:v>2.1904230000004077E-2</c:v>
                      </c:pt>
                      <c:pt idx="49">
                        <c:v>1.9867825000005723E-2</c:v>
                      </c:pt>
                      <c:pt idx="50">
                        <c:v>1.7831420000000264E-2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054-40B2-856D-0E15D739D60C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グラフ!$U$5</c15:sqref>
                        </c15:formulaRef>
                      </c:ext>
                    </c:extLst>
                    <c:strCache>
                      <c:ptCount val="1"/>
                      <c:pt idx="0">
                        <c:v>締め代：Δ+30℃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グラフ!$U$6:$U$56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0.11022266999999886</c:v>
                      </c:pt>
                      <c:pt idx="1">
                        <c:v>0.10818626500000761</c:v>
                      </c:pt>
                      <c:pt idx="2">
                        <c:v>0.10614986000000215</c:v>
                      </c:pt>
                      <c:pt idx="3">
                        <c:v>0.10411345499999669</c:v>
                      </c:pt>
                      <c:pt idx="4">
                        <c:v>0.10207704999999834</c:v>
                      </c:pt>
                      <c:pt idx="5">
                        <c:v>0.10004064499999288</c:v>
                      </c:pt>
                      <c:pt idx="6">
                        <c:v>9.800424000000163E-2</c:v>
                      </c:pt>
                      <c:pt idx="7">
                        <c:v>9.5967834999996171E-2</c:v>
                      </c:pt>
                      <c:pt idx="8">
                        <c:v>9.3931429999997818E-2</c:v>
                      </c:pt>
                      <c:pt idx="9">
                        <c:v>9.1895025000006569E-2</c:v>
                      </c:pt>
                      <c:pt idx="10">
                        <c:v>8.9858619999994005E-2</c:v>
                      </c:pt>
                      <c:pt idx="11">
                        <c:v>8.7822214999995651E-2</c:v>
                      </c:pt>
                      <c:pt idx="12">
                        <c:v>8.5785809999997298E-2</c:v>
                      </c:pt>
                      <c:pt idx="13">
                        <c:v>8.3749404999991839E-2</c:v>
                      </c:pt>
                      <c:pt idx="14">
                        <c:v>8.1713000000000591E-2</c:v>
                      </c:pt>
                      <c:pt idx="15">
                        <c:v>7.9676595000009343E-2</c:v>
                      </c:pt>
                      <c:pt idx="16">
                        <c:v>7.7640190000003884E-2</c:v>
                      </c:pt>
                      <c:pt idx="17">
                        <c:v>7.5603784999998425E-2</c:v>
                      </c:pt>
                      <c:pt idx="18">
                        <c:v>7.3567380000000071E-2</c:v>
                      </c:pt>
                      <c:pt idx="19">
                        <c:v>7.1530975000001717E-2</c:v>
                      </c:pt>
                      <c:pt idx="20">
                        <c:v>6.9494569999989153E-2</c:v>
                      </c:pt>
                      <c:pt idx="21">
                        <c:v>6.7458164999997905E-2</c:v>
                      </c:pt>
                      <c:pt idx="22">
                        <c:v>6.5421759999992446E-2</c:v>
                      </c:pt>
                      <c:pt idx="23">
                        <c:v>6.3385354999994092E-2</c:v>
                      </c:pt>
                      <c:pt idx="24">
                        <c:v>6.1348950000002844E-2</c:v>
                      </c:pt>
                      <c:pt idx="25">
                        <c:v>5.9312545000004491E-2</c:v>
                      </c:pt>
                      <c:pt idx="26">
                        <c:v>5.7276140000006137E-2</c:v>
                      </c:pt>
                      <c:pt idx="27">
                        <c:v>5.5239735000000678E-2</c:v>
                      </c:pt>
                      <c:pt idx="28">
                        <c:v>5.3203330000002325E-2</c:v>
                      </c:pt>
                      <c:pt idx="29">
                        <c:v>5.1166924999996866E-2</c:v>
                      </c:pt>
                      <c:pt idx="30">
                        <c:v>4.9130520000005617E-2</c:v>
                      </c:pt>
                      <c:pt idx="31">
                        <c:v>4.7094114999993053E-2</c:v>
                      </c:pt>
                      <c:pt idx="32">
                        <c:v>4.5057710000001805E-2</c:v>
                      </c:pt>
                      <c:pt idx="33">
                        <c:v>4.3021304999996346E-2</c:v>
                      </c:pt>
                      <c:pt idx="34">
                        <c:v>4.0984900000005098E-2</c:v>
                      </c:pt>
                      <c:pt idx="35">
                        <c:v>3.8948494999999639E-2</c:v>
                      </c:pt>
                      <c:pt idx="36">
                        <c:v>3.6912090000001285E-2</c:v>
                      </c:pt>
                      <c:pt idx="37">
                        <c:v>3.4875685000010037E-2</c:v>
                      </c:pt>
                      <c:pt idx="38">
                        <c:v>3.2839279999997473E-2</c:v>
                      </c:pt>
                      <c:pt idx="39">
                        <c:v>3.0802875000006225E-2</c:v>
                      </c:pt>
                      <c:pt idx="40">
                        <c:v>2.8766470000000766E-2</c:v>
                      </c:pt>
                      <c:pt idx="41">
                        <c:v>2.6730064999995307E-2</c:v>
                      </c:pt>
                      <c:pt idx="42">
                        <c:v>2.4693659999996953E-2</c:v>
                      </c:pt>
                      <c:pt idx="43">
                        <c:v>2.2657254999998599E-2</c:v>
                      </c:pt>
                      <c:pt idx="44">
                        <c:v>2.0620850000000246E-2</c:v>
                      </c:pt>
                      <c:pt idx="45">
                        <c:v>1.8584445000001892E-2</c:v>
                      </c:pt>
                      <c:pt idx="46">
                        <c:v>1.6548039999996433E-2</c:v>
                      </c:pt>
                      <c:pt idx="47">
                        <c:v>1.4511635000005185E-2</c:v>
                      </c:pt>
                      <c:pt idx="48">
                        <c:v>1.2475229999999726E-2</c:v>
                      </c:pt>
                      <c:pt idx="49">
                        <c:v>1.0438825000001373E-2</c:v>
                      </c:pt>
                      <c:pt idx="50">
                        <c:v>8.4024200000030191E-3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0054-40B2-856D-0E15D739D60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グラフ!$V$5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グラフ!$V$6:$V$56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87.419322699883182</c:v>
                      </c:pt>
                      <c:pt idx="1">
                        <c:v>86.352028335774293</c:v>
                      </c:pt>
                      <c:pt idx="2">
                        <c:v>85.284733971669127</c:v>
                      </c:pt>
                      <c:pt idx="3">
                        <c:v>84.217439607563975</c:v>
                      </c:pt>
                      <c:pt idx="4">
                        <c:v>83.1501452434551</c:v>
                      </c:pt>
                      <c:pt idx="5">
                        <c:v>82.082850879349934</c:v>
                      </c:pt>
                      <c:pt idx="6">
                        <c:v>81.015556515244782</c:v>
                      </c:pt>
                      <c:pt idx="7">
                        <c:v>79.948262151135907</c:v>
                      </c:pt>
                      <c:pt idx="8">
                        <c:v>78.880967787034479</c:v>
                      </c:pt>
                      <c:pt idx="9">
                        <c:v>77.813673422929313</c:v>
                      </c:pt>
                      <c:pt idx="10">
                        <c:v>76.746379058820423</c:v>
                      </c:pt>
                      <c:pt idx="11">
                        <c:v>75.679084694715272</c:v>
                      </c:pt>
                      <c:pt idx="12">
                        <c:v>74.611790330606397</c:v>
                      </c:pt>
                      <c:pt idx="13">
                        <c:v>73.544495966504954</c:v>
                      </c:pt>
                      <c:pt idx="14">
                        <c:v>72.477201602396079</c:v>
                      </c:pt>
                      <c:pt idx="15">
                        <c:v>71.40990723829465</c:v>
                      </c:pt>
                      <c:pt idx="16">
                        <c:v>70.342612874185761</c:v>
                      </c:pt>
                      <c:pt idx="17">
                        <c:v>69.275318510076872</c:v>
                      </c:pt>
                      <c:pt idx="18">
                        <c:v>68.208024145975443</c:v>
                      </c:pt>
                      <c:pt idx="19">
                        <c:v>67.140729781866568</c:v>
                      </c:pt>
                      <c:pt idx="20">
                        <c:v>66.073435417757693</c:v>
                      </c:pt>
                      <c:pt idx="21">
                        <c:v>65.006141053656251</c:v>
                      </c:pt>
                      <c:pt idx="22">
                        <c:v>63.938846689543645</c:v>
                      </c:pt>
                      <c:pt idx="23">
                        <c:v>62.87155232544221</c:v>
                      </c:pt>
                      <c:pt idx="24">
                        <c:v>61.804257961333327</c:v>
                      </c:pt>
                      <c:pt idx="25">
                        <c:v>60.736963597228176</c:v>
                      </c:pt>
                      <c:pt idx="26">
                        <c:v>59.66966923312674</c:v>
                      </c:pt>
                      <c:pt idx="27">
                        <c:v>58.602374869017865</c:v>
                      </c:pt>
                      <c:pt idx="28">
                        <c:v>57.535080504916429</c:v>
                      </c:pt>
                      <c:pt idx="29">
                        <c:v>56.467786140803817</c:v>
                      </c:pt>
                      <c:pt idx="30">
                        <c:v>55.400491776702381</c:v>
                      </c:pt>
                      <c:pt idx="31">
                        <c:v>54.333197412593506</c:v>
                      </c:pt>
                      <c:pt idx="32">
                        <c:v>53.265903048488347</c:v>
                      </c:pt>
                      <c:pt idx="33">
                        <c:v>52.198608684379472</c:v>
                      </c:pt>
                      <c:pt idx="34">
                        <c:v>51.131314320274306</c:v>
                      </c:pt>
                      <c:pt idx="35">
                        <c:v>50.064019956165424</c:v>
                      </c:pt>
                      <c:pt idx="36">
                        <c:v>48.996725592067712</c:v>
                      </c:pt>
                      <c:pt idx="37">
                        <c:v>47.92943122796256</c:v>
                      </c:pt>
                      <c:pt idx="38">
                        <c:v>46.862136863853678</c:v>
                      </c:pt>
                      <c:pt idx="39">
                        <c:v>45.794842499752249</c:v>
                      </c:pt>
                      <c:pt idx="40">
                        <c:v>44.727548135639637</c:v>
                      </c:pt>
                      <c:pt idx="41">
                        <c:v>43.660253771534485</c:v>
                      </c:pt>
                      <c:pt idx="42">
                        <c:v>42.592959407429326</c:v>
                      </c:pt>
                      <c:pt idx="43">
                        <c:v>41.525665043320444</c:v>
                      </c:pt>
                      <c:pt idx="44">
                        <c:v>40.458370679211562</c:v>
                      </c:pt>
                      <c:pt idx="45">
                        <c:v>39.391076315110134</c:v>
                      </c:pt>
                      <c:pt idx="46">
                        <c:v>38.323781951004968</c:v>
                      </c:pt>
                      <c:pt idx="47">
                        <c:v>37.256487586899816</c:v>
                      </c:pt>
                      <c:pt idx="48">
                        <c:v>36.189193222794657</c:v>
                      </c:pt>
                      <c:pt idx="49">
                        <c:v>35.121898858689505</c:v>
                      </c:pt>
                      <c:pt idx="50">
                        <c:v>34.054604494580616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054-40B2-856D-0E15D739D60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グラフ!$W$5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グラフ!$W$6:$W$56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82.477516645016735</c:v>
                      </c:pt>
                      <c:pt idx="1">
                        <c:v>81.410222280915292</c:v>
                      </c:pt>
                      <c:pt idx="2">
                        <c:v>80.342927916806403</c:v>
                      </c:pt>
                      <c:pt idx="3">
                        <c:v>79.275633552697528</c:v>
                      </c:pt>
                      <c:pt idx="4">
                        <c:v>78.208339188592376</c:v>
                      </c:pt>
                      <c:pt idx="5">
                        <c:v>77.141044824483501</c:v>
                      </c:pt>
                      <c:pt idx="6">
                        <c:v>76.073750460382058</c:v>
                      </c:pt>
                      <c:pt idx="7">
                        <c:v>75.006456096273169</c:v>
                      </c:pt>
                      <c:pt idx="8">
                        <c:v>73.939161732168017</c:v>
                      </c:pt>
                      <c:pt idx="9">
                        <c:v>72.871867368066589</c:v>
                      </c:pt>
                      <c:pt idx="10">
                        <c:v>71.804573003953976</c:v>
                      </c:pt>
                      <c:pt idx="11">
                        <c:v>70.737278639852548</c:v>
                      </c:pt>
                      <c:pt idx="12">
                        <c:v>69.669984275743673</c:v>
                      </c:pt>
                      <c:pt idx="13">
                        <c:v>68.602689911638507</c:v>
                      </c:pt>
                      <c:pt idx="14">
                        <c:v>67.535395547533341</c:v>
                      </c:pt>
                      <c:pt idx="15">
                        <c:v>66.468101183428189</c:v>
                      </c:pt>
                      <c:pt idx="16">
                        <c:v>65.400806819323037</c:v>
                      </c:pt>
                      <c:pt idx="17">
                        <c:v>64.333512455214162</c:v>
                      </c:pt>
                      <c:pt idx="18">
                        <c:v>63.266218091109003</c:v>
                      </c:pt>
                      <c:pt idx="19">
                        <c:v>62.198923727003844</c:v>
                      </c:pt>
                      <c:pt idx="20">
                        <c:v>61.131629362891232</c:v>
                      </c:pt>
                      <c:pt idx="21">
                        <c:v>60.064334998789796</c:v>
                      </c:pt>
                      <c:pt idx="22">
                        <c:v>58.997040634680921</c:v>
                      </c:pt>
                      <c:pt idx="23">
                        <c:v>57.929746270575762</c:v>
                      </c:pt>
                      <c:pt idx="24">
                        <c:v>56.862451906470611</c:v>
                      </c:pt>
                      <c:pt idx="25">
                        <c:v>55.795157542369175</c:v>
                      </c:pt>
                      <c:pt idx="26">
                        <c:v>54.727863178264016</c:v>
                      </c:pt>
                      <c:pt idx="27">
                        <c:v>53.660568814151404</c:v>
                      </c:pt>
                      <c:pt idx="28">
                        <c:v>52.593274450049975</c:v>
                      </c:pt>
                      <c:pt idx="29">
                        <c:v>51.525980085941093</c:v>
                      </c:pt>
                      <c:pt idx="30">
                        <c:v>50.458685721835941</c:v>
                      </c:pt>
                      <c:pt idx="31">
                        <c:v>49.391391357727059</c:v>
                      </c:pt>
                      <c:pt idx="32">
                        <c:v>48.324096993625623</c:v>
                      </c:pt>
                      <c:pt idx="33">
                        <c:v>47.256802629513011</c:v>
                      </c:pt>
                      <c:pt idx="34">
                        <c:v>46.189508265415306</c:v>
                      </c:pt>
                      <c:pt idx="35">
                        <c:v>45.122213901306424</c:v>
                      </c:pt>
                      <c:pt idx="36">
                        <c:v>44.054919537201272</c:v>
                      </c:pt>
                      <c:pt idx="37">
                        <c:v>42.987625173099836</c:v>
                      </c:pt>
                      <c:pt idx="38">
                        <c:v>41.920330808987231</c:v>
                      </c:pt>
                      <c:pt idx="39">
                        <c:v>40.853036444885795</c:v>
                      </c:pt>
                      <c:pt idx="40">
                        <c:v>39.78574208077692</c:v>
                      </c:pt>
                      <c:pt idx="41">
                        <c:v>38.718447716668031</c:v>
                      </c:pt>
                      <c:pt idx="42">
                        <c:v>37.651153352562879</c:v>
                      </c:pt>
                      <c:pt idx="43">
                        <c:v>36.58385898845772</c:v>
                      </c:pt>
                      <c:pt idx="44">
                        <c:v>35.516564624352569</c:v>
                      </c:pt>
                      <c:pt idx="45">
                        <c:v>34.449270260247403</c:v>
                      </c:pt>
                      <c:pt idx="46">
                        <c:v>33.381975896138528</c:v>
                      </c:pt>
                      <c:pt idx="47">
                        <c:v>32.314681532037092</c:v>
                      </c:pt>
                      <c:pt idx="48">
                        <c:v>31.247387167928206</c:v>
                      </c:pt>
                      <c:pt idx="49">
                        <c:v>30.180092803823051</c:v>
                      </c:pt>
                      <c:pt idx="50">
                        <c:v>29.112798439717896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054-40B2-856D-0E15D739D60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グラフ!$X$5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グラフ!$X$6:$X$56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77.535710590153997</c:v>
                      </c:pt>
                      <c:pt idx="1">
                        <c:v>76.468416226048845</c:v>
                      </c:pt>
                      <c:pt idx="2">
                        <c:v>75.401121861943693</c:v>
                      </c:pt>
                      <c:pt idx="3">
                        <c:v>74.333827497831081</c:v>
                      </c:pt>
                      <c:pt idx="4">
                        <c:v>73.266533133729652</c:v>
                      </c:pt>
                      <c:pt idx="5">
                        <c:v>72.199238769620777</c:v>
                      </c:pt>
                      <c:pt idx="6">
                        <c:v>71.131944405515611</c:v>
                      </c:pt>
                      <c:pt idx="7">
                        <c:v>70.064650041410445</c:v>
                      </c:pt>
                      <c:pt idx="8">
                        <c:v>68.99735567730157</c:v>
                      </c:pt>
                      <c:pt idx="9">
                        <c:v>67.930061313203865</c:v>
                      </c:pt>
                      <c:pt idx="10">
                        <c:v>66.862766949091267</c:v>
                      </c:pt>
                      <c:pt idx="11">
                        <c:v>65.795472584986101</c:v>
                      </c:pt>
                      <c:pt idx="12">
                        <c:v>64.728178220880949</c:v>
                      </c:pt>
                      <c:pt idx="13">
                        <c:v>63.66088385677206</c:v>
                      </c:pt>
                      <c:pt idx="14">
                        <c:v>62.593589492670624</c:v>
                      </c:pt>
                      <c:pt idx="15">
                        <c:v>61.526295128565472</c:v>
                      </c:pt>
                      <c:pt idx="16">
                        <c:v>60.45900076445659</c:v>
                      </c:pt>
                      <c:pt idx="17">
                        <c:v>59.391706400351431</c:v>
                      </c:pt>
                      <c:pt idx="18">
                        <c:v>58.324412036242556</c:v>
                      </c:pt>
                      <c:pt idx="19">
                        <c:v>57.25711767213739</c:v>
                      </c:pt>
                      <c:pt idx="20">
                        <c:v>56.189823308028508</c:v>
                      </c:pt>
                      <c:pt idx="21">
                        <c:v>55.122528943923356</c:v>
                      </c:pt>
                      <c:pt idx="22">
                        <c:v>54.055234579818197</c:v>
                      </c:pt>
                      <c:pt idx="23">
                        <c:v>52.987940215716762</c:v>
                      </c:pt>
                      <c:pt idx="24">
                        <c:v>51.920645851607887</c:v>
                      </c:pt>
                      <c:pt idx="25">
                        <c:v>50.853351487502728</c:v>
                      </c:pt>
                      <c:pt idx="26">
                        <c:v>49.786057123397562</c:v>
                      </c:pt>
                      <c:pt idx="27">
                        <c:v>48.718762759288687</c:v>
                      </c:pt>
                      <c:pt idx="28">
                        <c:v>47.651468395183528</c:v>
                      </c:pt>
                      <c:pt idx="29">
                        <c:v>46.584174031074653</c:v>
                      </c:pt>
                      <c:pt idx="30">
                        <c:v>45.516879666973217</c:v>
                      </c:pt>
                      <c:pt idx="31">
                        <c:v>44.449585302860612</c:v>
                      </c:pt>
                      <c:pt idx="32">
                        <c:v>43.382290938766623</c:v>
                      </c:pt>
                      <c:pt idx="33">
                        <c:v>42.314996574654018</c:v>
                      </c:pt>
                      <c:pt idx="34">
                        <c:v>41.247702210548859</c:v>
                      </c:pt>
                      <c:pt idx="35">
                        <c:v>40.180407846443707</c:v>
                      </c:pt>
                      <c:pt idx="36">
                        <c:v>39.113113482334825</c:v>
                      </c:pt>
                      <c:pt idx="37">
                        <c:v>38.045819118233389</c:v>
                      </c:pt>
                      <c:pt idx="38">
                        <c:v>36.978524754124507</c:v>
                      </c:pt>
                      <c:pt idx="39">
                        <c:v>35.911230390019348</c:v>
                      </c:pt>
                      <c:pt idx="40">
                        <c:v>34.843936025910466</c:v>
                      </c:pt>
                      <c:pt idx="41">
                        <c:v>33.776641661805314</c:v>
                      </c:pt>
                      <c:pt idx="42">
                        <c:v>32.709347297703879</c:v>
                      </c:pt>
                      <c:pt idx="43">
                        <c:v>31.642052933595</c:v>
                      </c:pt>
                      <c:pt idx="44">
                        <c:v>30.574758569486114</c:v>
                      </c:pt>
                      <c:pt idx="45">
                        <c:v>29.507464205384682</c:v>
                      </c:pt>
                      <c:pt idx="46">
                        <c:v>28.440169841272073</c:v>
                      </c:pt>
                      <c:pt idx="47">
                        <c:v>27.372875477170641</c:v>
                      </c:pt>
                      <c:pt idx="48">
                        <c:v>26.305581113065486</c:v>
                      </c:pt>
                      <c:pt idx="49">
                        <c:v>25.238286748956607</c:v>
                      </c:pt>
                      <c:pt idx="50">
                        <c:v>24.170992384851445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054-40B2-856D-0E15D739D60C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グラフ!$Y$5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グラフ!$Y$6:$Y$56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72.593904535291273</c:v>
                      </c:pt>
                      <c:pt idx="1">
                        <c:v>71.526610171182398</c:v>
                      </c:pt>
                      <c:pt idx="2">
                        <c:v>70.459315807080969</c:v>
                      </c:pt>
                      <c:pt idx="3">
                        <c:v>69.392021442968357</c:v>
                      </c:pt>
                      <c:pt idx="4">
                        <c:v>68.324727078863191</c:v>
                      </c:pt>
                      <c:pt idx="5">
                        <c:v>67.257432714758039</c:v>
                      </c:pt>
                      <c:pt idx="6">
                        <c:v>66.190138350649164</c:v>
                      </c:pt>
                      <c:pt idx="7">
                        <c:v>65.122843986547736</c:v>
                      </c:pt>
                      <c:pt idx="8">
                        <c:v>64.055549622438846</c:v>
                      </c:pt>
                      <c:pt idx="9">
                        <c:v>62.988255258337418</c:v>
                      </c:pt>
                      <c:pt idx="10">
                        <c:v>61.920960894228536</c:v>
                      </c:pt>
                      <c:pt idx="11">
                        <c:v>60.853666530119646</c:v>
                      </c:pt>
                      <c:pt idx="12">
                        <c:v>59.786372166018218</c:v>
                      </c:pt>
                      <c:pt idx="13">
                        <c:v>58.719077801909336</c:v>
                      </c:pt>
                      <c:pt idx="14">
                        <c:v>57.651783437804184</c:v>
                      </c:pt>
                      <c:pt idx="15">
                        <c:v>56.584489073702748</c:v>
                      </c:pt>
                      <c:pt idx="16">
                        <c:v>55.517194709590143</c:v>
                      </c:pt>
                      <c:pt idx="17">
                        <c:v>54.449900345484977</c:v>
                      </c:pt>
                      <c:pt idx="18">
                        <c:v>53.382605981379825</c:v>
                      </c:pt>
                      <c:pt idx="19">
                        <c:v>52.315311617270943</c:v>
                      </c:pt>
                      <c:pt idx="20">
                        <c:v>51.248017253165791</c:v>
                      </c:pt>
                      <c:pt idx="21">
                        <c:v>50.180722889064356</c:v>
                      </c:pt>
                      <c:pt idx="22">
                        <c:v>49.113428524955474</c:v>
                      </c:pt>
                      <c:pt idx="23">
                        <c:v>48.046134160850322</c:v>
                      </c:pt>
                      <c:pt idx="24">
                        <c:v>46.978839796741433</c:v>
                      </c:pt>
                      <c:pt idx="25">
                        <c:v>45.911545432640004</c:v>
                      </c:pt>
                      <c:pt idx="26">
                        <c:v>44.844251068531122</c:v>
                      </c:pt>
                      <c:pt idx="27">
                        <c:v>43.77695670442224</c:v>
                      </c:pt>
                      <c:pt idx="28">
                        <c:v>42.709662340320804</c:v>
                      </c:pt>
                      <c:pt idx="29">
                        <c:v>41.642367976208199</c:v>
                      </c:pt>
                      <c:pt idx="30">
                        <c:v>40.57507361211421</c:v>
                      </c:pt>
                      <c:pt idx="31">
                        <c:v>39.507779248001611</c:v>
                      </c:pt>
                      <c:pt idx="32">
                        <c:v>38.440484883900176</c:v>
                      </c:pt>
                      <c:pt idx="33">
                        <c:v>37.373190519791294</c:v>
                      </c:pt>
                      <c:pt idx="34">
                        <c:v>36.305896155682412</c:v>
                      </c:pt>
                      <c:pt idx="35">
                        <c:v>35.238601791577253</c:v>
                      </c:pt>
                      <c:pt idx="36">
                        <c:v>34.171307427472101</c:v>
                      </c:pt>
                      <c:pt idx="37">
                        <c:v>33.104013063366942</c:v>
                      </c:pt>
                      <c:pt idx="38">
                        <c:v>32.03671869925806</c:v>
                      </c:pt>
                      <c:pt idx="39">
                        <c:v>30.969424335156624</c:v>
                      </c:pt>
                      <c:pt idx="40">
                        <c:v>29.902129971051469</c:v>
                      </c:pt>
                      <c:pt idx="41">
                        <c:v>28.83483560694259</c:v>
                      </c:pt>
                      <c:pt idx="42">
                        <c:v>27.767541242837428</c:v>
                      </c:pt>
                      <c:pt idx="43">
                        <c:v>26.700246878732273</c:v>
                      </c:pt>
                      <c:pt idx="44">
                        <c:v>25.632952514619671</c:v>
                      </c:pt>
                      <c:pt idx="45">
                        <c:v>24.565658150518232</c:v>
                      </c:pt>
                      <c:pt idx="46">
                        <c:v>23.498363786409353</c:v>
                      </c:pt>
                      <c:pt idx="47">
                        <c:v>22.431069422304194</c:v>
                      </c:pt>
                      <c:pt idx="48">
                        <c:v>21.363775058199039</c:v>
                      </c:pt>
                      <c:pt idx="49">
                        <c:v>20.29648069409388</c:v>
                      </c:pt>
                      <c:pt idx="50">
                        <c:v>19.229186329992448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0054-40B2-856D-0E15D739D60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グラフ!$Z$5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グラフ!$Z$6:$Z$56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67.652098480428549</c:v>
                      </c:pt>
                      <c:pt idx="1">
                        <c:v>66.584804116319674</c:v>
                      </c:pt>
                      <c:pt idx="2">
                        <c:v>65.517509752214522</c:v>
                      </c:pt>
                      <c:pt idx="3">
                        <c:v>64.450215388105633</c:v>
                      </c:pt>
                      <c:pt idx="4">
                        <c:v>63.382921023996751</c:v>
                      </c:pt>
                      <c:pt idx="5">
                        <c:v>62.315626659895322</c:v>
                      </c:pt>
                      <c:pt idx="6">
                        <c:v>61.24833229578644</c:v>
                      </c:pt>
                      <c:pt idx="7">
                        <c:v>60.181037931681281</c:v>
                      </c:pt>
                      <c:pt idx="8">
                        <c:v>59.11374356757613</c:v>
                      </c:pt>
                      <c:pt idx="9">
                        <c:v>58.046449203470971</c:v>
                      </c:pt>
                      <c:pt idx="10">
                        <c:v>56.979154839365805</c:v>
                      </c:pt>
                      <c:pt idx="11">
                        <c:v>55.91186047525693</c:v>
                      </c:pt>
                      <c:pt idx="12">
                        <c:v>54.844566111151771</c:v>
                      </c:pt>
                      <c:pt idx="13">
                        <c:v>53.777271747046612</c:v>
                      </c:pt>
                      <c:pt idx="14">
                        <c:v>52.709977382937737</c:v>
                      </c:pt>
                      <c:pt idx="15">
                        <c:v>51.642683018836301</c:v>
                      </c:pt>
                      <c:pt idx="16">
                        <c:v>50.575388654727412</c:v>
                      </c:pt>
                      <c:pt idx="17">
                        <c:v>49.508094290618537</c:v>
                      </c:pt>
                      <c:pt idx="18">
                        <c:v>48.440799926517101</c:v>
                      </c:pt>
                      <c:pt idx="19">
                        <c:v>47.373505562411943</c:v>
                      </c:pt>
                      <c:pt idx="20">
                        <c:v>46.306211198303068</c:v>
                      </c:pt>
                      <c:pt idx="21">
                        <c:v>45.238916834197909</c:v>
                      </c:pt>
                      <c:pt idx="22">
                        <c:v>44.171622470089027</c:v>
                      </c:pt>
                      <c:pt idx="23">
                        <c:v>43.104328105987591</c:v>
                      </c:pt>
                      <c:pt idx="24">
                        <c:v>42.037033741874986</c:v>
                      </c:pt>
                      <c:pt idx="25">
                        <c:v>40.96973937777355</c:v>
                      </c:pt>
                      <c:pt idx="26">
                        <c:v>39.902445013668398</c:v>
                      </c:pt>
                      <c:pt idx="27">
                        <c:v>38.835150649555793</c:v>
                      </c:pt>
                      <c:pt idx="28">
                        <c:v>37.767856285461811</c:v>
                      </c:pt>
                      <c:pt idx="29">
                        <c:v>36.700561921349198</c:v>
                      </c:pt>
                      <c:pt idx="30">
                        <c:v>35.63326755724777</c:v>
                      </c:pt>
                      <c:pt idx="31">
                        <c:v>34.565973193138881</c:v>
                      </c:pt>
                      <c:pt idx="32">
                        <c:v>33.498678829033729</c:v>
                      </c:pt>
                      <c:pt idx="33">
                        <c:v>32.431384464924847</c:v>
                      </c:pt>
                      <c:pt idx="34">
                        <c:v>31.364090100819688</c:v>
                      </c:pt>
                      <c:pt idx="35">
                        <c:v>30.296795736710809</c:v>
                      </c:pt>
                      <c:pt idx="36">
                        <c:v>29.229501372605654</c:v>
                      </c:pt>
                      <c:pt idx="37">
                        <c:v>28.162207008504218</c:v>
                      </c:pt>
                      <c:pt idx="38">
                        <c:v>27.094912644399059</c:v>
                      </c:pt>
                      <c:pt idx="39">
                        <c:v>26.027618280293904</c:v>
                      </c:pt>
                      <c:pt idx="40">
                        <c:v>24.960323916185022</c:v>
                      </c:pt>
                      <c:pt idx="41">
                        <c:v>23.893029552079863</c:v>
                      </c:pt>
                      <c:pt idx="42">
                        <c:v>22.825735187970984</c:v>
                      </c:pt>
                      <c:pt idx="43">
                        <c:v>21.758440823865826</c:v>
                      </c:pt>
                      <c:pt idx="44">
                        <c:v>20.691146459756943</c:v>
                      </c:pt>
                      <c:pt idx="45">
                        <c:v>19.623852095651788</c:v>
                      </c:pt>
                      <c:pt idx="46">
                        <c:v>18.556557731542906</c:v>
                      </c:pt>
                      <c:pt idx="47">
                        <c:v>17.489263367441474</c:v>
                      </c:pt>
                      <c:pt idx="48">
                        <c:v>16.421969003340038</c:v>
                      </c:pt>
                      <c:pt idx="49">
                        <c:v>15.354674639231158</c:v>
                      </c:pt>
                      <c:pt idx="50">
                        <c:v>14.287380275125999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0054-40B2-856D-0E15D739D60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グラフ!$AA$5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グラフ!$AA$6:$AA$56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62.710292425562109</c:v>
                      </c:pt>
                      <c:pt idx="1">
                        <c:v>61.642998061456957</c:v>
                      </c:pt>
                      <c:pt idx="2">
                        <c:v>60.575703697348068</c:v>
                      </c:pt>
                      <c:pt idx="3">
                        <c:v>59.508409333242909</c:v>
                      </c:pt>
                      <c:pt idx="4">
                        <c:v>58.441114969134027</c:v>
                      </c:pt>
                      <c:pt idx="5">
                        <c:v>57.373820605028875</c:v>
                      </c:pt>
                      <c:pt idx="6">
                        <c:v>56.306526240923716</c:v>
                      </c:pt>
                      <c:pt idx="7">
                        <c:v>55.239231876814841</c:v>
                      </c:pt>
                      <c:pt idx="8">
                        <c:v>54.171937512713406</c:v>
                      </c:pt>
                      <c:pt idx="9">
                        <c:v>53.10464314860824</c:v>
                      </c:pt>
                      <c:pt idx="10">
                        <c:v>52.037348784499358</c:v>
                      </c:pt>
                      <c:pt idx="11">
                        <c:v>50.970054420394206</c:v>
                      </c:pt>
                      <c:pt idx="12">
                        <c:v>49.902760056285324</c:v>
                      </c:pt>
                      <c:pt idx="13">
                        <c:v>48.835465692180172</c:v>
                      </c:pt>
                      <c:pt idx="14">
                        <c:v>47.768171328075013</c:v>
                      </c:pt>
                      <c:pt idx="15">
                        <c:v>46.700876963969847</c:v>
                      </c:pt>
                      <c:pt idx="16">
                        <c:v>45.633582599864695</c:v>
                      </c:pt>
                      <c:pt idx="17">
                        <c:v>44.566288235759536</c:v>
                      </c:pt>
                      <c:pt idx="18">
                        <c:v>43.498993871654378</c:v>
                      </c:pt>
                      <c:pt idx="19">
                        <c:v>42.431699507545503</c:v>
                      </c:pt>
                      <c:pt idx="20">
                        <c:v>41.364405143436613</c:v>
                      </c:pt>
                      <c:pt idx="21">
                        <c:v>40.297110779335185</c:v>
                      </c:pt>
                      <c:pt idx="22">
                        <c:v>39.229816415222579</c:v>
                      </c:pt>
                      <c:pt idx="23">
                        <c:v>38.162522051121144</c:v>
                      </c:pt>
                      <c:pt idx="24">
                        <c:v>37.095227687012262</c:v>
                      </c:pt>
                      <c:pt idx="25">
                        <c:v>36.02793332290711</c:v>
                      </c:pt>
                      <c:pt idx="26">
                        <c:v>34.960638958809398</c:v>
                      </c:pt>
                      <c:pt idx="27">
                        <c:v>33.893344594696792</c:v>
                      </c:pt>
                      <c:pt idx="28">
                        <c:v>32.826050230595357</c:v>
                      </c:pt>
                      <c:pt idx="29">
                        <c:v>31.758755866486478</c:v>
                      </c:pt>
                      <c:pt idx="30">
                        <c:v>30.691461502381319</c:v>
                      </c:pt>
                      <c:pt idx="31">
                        <c:v>29.624167138272441</c:v>
                      </c:pt>
                      <c:pt idx="32">
                        <c:v>28.556872774171005</c:v>
                      </c:pt>
                      <c:pt idx="33">
                        <c:v>27.4895784100584</c:v>
                      </c:pt>
                      <c:pt idx="34">
                        <c:v>26.422284045953244</c:v>
                      </c:pt>
                      <c:pt idx="35">
                        <c:v>25.354989681848085</c:v>
                      </c:pt>
                      <c:pt idx="36">
                        <c:v>24.28769531774665</c:v>
                      </c:pt>
                      <c:pt idx="37">
                        <c:v>23.220400953641494</c:v>
                      </c:pt>
                      <c:pt idx="38">
                        <c:v>22.153106589532612</c:v>
                      </c:pt>
                      <c:pt idx="39">
                        <c:v>21.085812225431177</c:v>
                      </c:pt>
                      <c:pt idx="40">
                        <c:v>20.018517861318575</c:v>
                      </c:pt>
                      <c:pt idx="41">
                        <c:v>18.951223497213416</c:v>
                      </c:pt>
                      <c:pt idx="42">
                        <c:v>17.883929133108261</c:v>
                      </c:pt>
                      <c:pt idx="43">
                        <c:v>16.816634768999378</c:v>
                      </c:pt>
                      <c:pt idx="44">
                        <c:v>15.749340404890496</c:v>
                      </c:pt>
                      <c:pt idx="45">
                        <c:v>14.682046040789063</c:v>
                      </c:pt>
                      <c:pt idx="46">
                        <c:v>13.614751676683907</c:v>
                      </c:pt>
                      <c:pt idx="47">
                        <c:v>12.547457312578748</c:v>
                      </c:pt>
                      <c:pt idx="48">
                        <c:v>11.480162948473591</c:v>
                      </c:pt>
                      <c:pt idx="49">
                        <c:v>10.412868584368434</c:v>
                      </c:pt>
                      <c:pt idx="50">
                        <c:v>9.345574220259552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0054-40B2-856D-0E15D739D60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グラフ!$AB$5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グラフ!$AB$6:$AB$56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57.768486370695655</c:v>
                      </c:pt>
                      <c:pt idx="1">
                        <c:v>56.701192006594219</c:v>
                      </c:pt>
                      <c:pt idx="2">
                        <c:v>55.633897642485344</c:v>
                      </c:pt>
                      <c:pt idx="3">
                        <c:v>54.566603278376462</c:v>
                      </c:pt>
                      <c:pt idx="4">
                        <c:v>53.49930891427131</c:v>
                      </c:pt>
                      <c:pt idx="5">
                        <c:v>52.432014550162428</c:v>
                      </c:pt>
                      <c:pt idx="6">
                        <c:v>51.364720186061</c:v>
                      </c:pt>
                      <c:pt idx="7">
                        <c:v>50.29742582195211</c:v>
                      </c:pt>
                      <c:pt idx="8">
                        <c:v>49.230131457846952</c:v>
                      </c:pt>
                      <c:pt idx="9">
                        <c:v>48.162837093745516</c:v>
                      </c:pt>
                      <c:pt idx="10">
                        <c:v>47.095542729632918</c:v>
                      </c:pt>
                      <c:pt idx="11">
                        <c:v>46.028248365527759</c:v>
                      </c:pt>
                      <c:pt idx="12">
                        <c:v>44.9609540014226</c:v>
                      </c:pt>
                      <c:pt idx="13">
                        <c:v>43.893659637313718</c:v>
                      </c:pt>
                      <c:pt idx="14">
                        <c:v>42.826365273212289</c:v>
                      </c:pt>
                      <c:pt idx="15">
                        <c:v>41.759070909110854</c:v>
                      </c:pt>
                      <c:pt idx="16">
                        <c:v>40.691776545001971</c:v>
                      </c:pt>
                      <c:pt idx="17">
                        <c:v>39.624482180893089</c:v>
                      </c:pt>
                      <c:pt idx="18">
                        <c:v>38.557187816787931</c:v>
                      </c:pt>
                      <c:pt idx="19">
                        <c:v>37.489893452682772</c:v>
                      </c:pt>
                      <c:pt idx="20">
                        <c:v>36.422599088570173</c:v>
                      </c:pt>
                      <c:pt idx="21">
                        <c:v>35.355304724468731</c:v>
                      </c:pt>
                      <c:pt idx="22">
                        <c:v>34.288010360359856</c:v>
                      </c:pt>
                      <c:pt idx="23">
                        <c:v>33.220715996254697</c:v>
                      </c:pt>
                      <c:pt idx="24">
                        <c:v>32.153421632153268</c:v>
                      </c:pt>
                      <c:pt idx="25">
                        <c:v>31.086127268048106</c:v>
                      </c:pt>
                      <c:pt idx="26">
                        <c:v>30.018832903942947</c:v>
                      </c:pt>
                      <c:pt idx="27">
                        <c:v>28.951538539834068</c:v>
                      </c:pt>
                      <c:pt idx="28">
                        <c:v>27.884244175728909</c:v>
                      </c:pt>
                      <c:pt idx="29">
                        <c:v>26.816949811620027</c:v>
                      </c:pt>
                      <c:pt idx="30">
                        <c:v>25.749655447518595</c:v>
                      </c:pt>
                      <c:pt idx="31">
                        <c:v>24.68236108340599</c:v>
                      </c:pt>
                      <c:pt idx="32">
                        <c:v>23.615066719304554</c:v>
                      </c:pt>
                      <c:pt idx="33">
                        <c:v>22.547772355195676</c:v>
                      </c:pt>
                      <c:pt idx="34">
                        <c:v>21.48047799109424</c:v>
                      </c:pt>
                      <c:pt idx="35">
                        <c:v>20.413183626985361</c:v>
                      </c:pt>
                      <c:pt idx="36">
                        <c:v>19.345889262880203</c:v>
                      </c:pt>
                      <c:pt idx="37">
                        <c:v>18.278594898778771</c:v>
                      </c:pt>
                      <c:pt idx="38">
                        <c:v>17.211300534666165</c:v>
                      </c:pt>
                      <c:pt idx="39">
                        <c:v>16.14400617056473</c:v>
                      </c:pt>
                      <c:pt idx="40">
                        <c:v>15.076711806455849</c:v>
                      </c:pt>
                      <c:pt idx="41">
                        <c:v>14.009417442346971</c:v>
                      </c:pt>
                      <c:pt idx="42">
                        <c:v>12.942123078241812</c:v>
                      </c:pt>
                      <c:pt idx="43">
                        <c:v>11.874828714136653</c:v>
                      </c:pt>
                      <c:pt idx="44">
                        <c:v>10.807534350031498</c:v>
                      </c:pt>
                      <c:pt idx="45">
                        <c:v>9.7402399859263404</c:v>
                      </c:pt>
                      <c:pt idx="46">
                        <c:v>8.6729456218174583</c:v>
                      </c:pt>
                      <c:pt idx="47">
                        <c:v>7.6056512577160253</c:v>
                      </c:pt>
                      <c:pt idx="48">
                        <c:v>6.5383568936071432</c:v>
                      </c:pt>
                      <c:pt idx="49">
                        <c:v>5.4710625295019861</c:v>
                      </c:pt>
                      <c:pt idx="50">
                        <c:v>4.403768165396829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054-40B2-856D-0E15D739D60C}"/>
                  </c:ext>
                </c:extLst>
              </c15:ser>
            </c15:filteredScatterSeries>
            <c15:filteredScatter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グラフ!$AK$5</c15:sqref>
                        </c15:formulaRef>
                      </c:ext>
                    </c:extLst>
                    <c:strCache>
                      <c:ptCount val="1"/>
                      <c:pt idx="0">
                        <c:v>outer応力:Δ-30℃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グラフ!$AK$6:$AK$56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171.1208105284725</c:v>
                      </c:pt>
                      <c:pt idx="1">
                        <c:v>169.03161249972788</c:v>
                      </c:pt>
                      <c:pt idx="2">
                        <c:v>166.94241447099057</c:v>
                      </c:pt>
                      <c:pt idx="3">
                        <c:v>164.85321644225331</c:v>
                      </c:pt>
                      <c:pt idx="4">
                        <c:v>162.76401841350875</c:v>
                      </c:pt>
                      <c:pt idx="5">
                        <c:v>160.67482038477144</c:v>
                      </c:pt>
                      <c:pt idx="6">
                        <c:v>158.58562235603415</c:v>
                      </c:pt>
                      <c:pt idx="7">
                        <c:v>156.49642432728959</c:v>
                      </c:pt>
                      <c:pt idx="8">
                        <c:v>154.40722629855961</c:v>
                      </c:pt>
                      <c:pt idx="9">
                        <c:v>152.31802826982229</c:v>
                      </c:pt>
                      <c:pt idx="10">
                        <c:v>150.22883024107767</c:v>
                      </c:pt>
                      <c:pt idx="11">
                        <c:v>148.13963221234039</c:v>
                      </c:pt>
                      <c:pt idx="12">
                        <c:v>146.05043418359583</c:v>
                      </c:pt>
                      <c:pt idx="13">
                        <c:v>143.96123615486582</c:v>
                      </c:pt>
                      <c:pt idx="14">
                        <c:v>141.87203812612123</c:v>
                      </c:pt>
                      <c:pt idx="15">
                        <c:v>139.78284009739124</c:v>
                      </c:pt>
                      <c:pt idx="16">
                        <c:v>137.69364206864662</c:v>
                      </c:pt>
                      <c:pt idx="17">
                        <c:v>135.60444403990206</c:v>
                      </c:pt>
                      <c:pt idx="18">
                        <c:v>133.51524601117205</c:v>
                      </c:pt>
                      <c:pt idx="19">
                        <c:v>131.42604798242749</c:v>
                      </c:pt>
                      <c:pt idx="20">
                        <c:v>129.33684995368293</c:v>
                      </c:pt>
                      <c:pt idx="21">
                        <c:v>127.2476519249529</c:v>
                      </c:pt>
                      <c:pt idx="22">
                        <c:v>125.15845389620104</c:v>
                      </c:pt>
                      <c:pt idx="23">
                        <c:v>123.06925586747101</c:v>
                      </c:pt>
                      <c:pt idx="24">
                        <c:v>120.98005783872644</c:v>
                      </c:pt>
                      <c:pt idx="25">
                        <c:v>118.89085980998915</c:v>
                      </c:pt>
                      <c:pt idx="26">
                        <c:v>116.80166178125914</c:v>
                      </c:pt>
                      <c:pt idx="27">
                        <c:v>114.71246375251458</c:v>
                      </c:pt>
                      <c:pt idx="28">
                        <c:v>112.62326572378457</c:v>
                      </c:pt>
                      <c:pt idx="29">
                        <c:v>110.53406769503268</c:v>
                      </c:pt>
                      <c:pt idx="30">
                        <c:v>108.44486966630268</c:v>
                      </c:pt>
                      <c:pt idx="31">
                        <c:v>106.3556716375581</c:v>
                      </c:pt>
                      <c:pt idx="32">
                        <c:v>104.2664736088208</c:v>
                      </c:pt>
                      <c:pt idx="33">
                        <c:v>102.17727558007624</c:v>
                      </c:pt>
                      <c:pt idx="34">
                        <c:v>100.08807755133894</c:v>
                      </c:pt>
                      <c:pt idx="35">
                        <c:v>97.998879522594351</c:v>
                      </c:pt>
                      <c:pt idx="36">
                        <c:v>95.909681493871631</c:v>
                      </c:pt>
                      <c:pt idx="37">
                        <c:v>93.820483465134345</c:v>
                      </c:pt>
                      <c:pt idx="38">
                        <c:v>91.731285436389769</c:v>
                      </c:pt>
                      <c:pt idx="39">
                        <c:v>89.642087407659773</c:v>
                      </c:pt>
                      <c:pt idx="40">
                        <c:v>87.552889378907892</c:v>
                      </c:pt>
                      <c:pt idx="41">
                        <c:v>85.46369135017062</c:v>
                      </c:pt>
                      <c:pt idx="42">
                        <c:v>83.37449332143332</c:v>
                      </c:pt>
                      <c:pt idx="43">
                        <c:v>81.28529529268873</c:v>
                      </c:pt>
                      <c:pt idx="44">
                        <c:v>79.196097263944139</c:v>
                      </c:pt>
                      <c:pt idx="45">
                        <c:v>77.106899235214144</c:v>
                      </c:pt>
                      <c:pt idx="46">
                        <c:v>75.017701206476843</c:v>
                      </c:pt>
                      <c:pt idx="47">
                        <c:v>72.928503177739557</c:v>
                      </c:pt>
                      <c:pt idx="48">
                        <c:v>70.839305149002257</c:v>
                      </c:pt>
                      <c:pt idx="49">
                        <c:v>68.750107120264985</c:v>
                      </c:pt>
                      <c:pt idx="50">
                        <c:v>66.660909091520395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054-40B2-856D-0E15D739D60C}"/>
                  </c:ext>
                </c:extLst>
              </c15:ser>
            </c15:filteredScatterSeries>
            <c15:filteredScatterSeries>
              <c15:ser>
                <c:idx val="23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グラフ!$AL$5</c15:sqref>
                        </c15:formulaRef>
                      </c:ext>
                    </c:extLst>
                    <c:strCache>
                      <c:ptCount val="1"/>
                      <c:pt idx="0">
                        <c:v>outer応力:Δ-20℃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グラフ!$AL$6:$AL$56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161.4473672728387</c:v>
                      </c:pt>
                      <c:pt idx="1">
                        <c:v>159.35816924410867</c:v>
                      </c:pt>
                      <c:pt idx="2">
                        <c:v>157.2689712153641</c:v>
                      </c:pt>
                      <c:pt idx="3">
                        <c:v>155.17977318661951</c:v>
                      </c:pt>
                      <c:pt idx="4">
                        <c:v>153.09057515788223</c:v>
                      </c:pt>
                      <c:pt idx="5">
                        <c:v>151.00137712913764</c:v>
                      </c:pt>
                      <c:pt idx="6">
                        <c:v>148.91217910040763</c:v>
                      </c:pt>
                      <c:pt idx="7">
                        <c:v>146.82298107166304</c:v>
                      </c:pt>
                      <c:pt idx="8">
                        <c:v>144.73378304292575</c:v>
                      </c:pt>
                      <c:pt idx="9">
                        <c:v>142.64458501419577</c:v>
                      </c:pt>
                      <c:pt idx="10">
                        <c:v>140.5553869854439</c:v>
                      </c:pt>
                      <c:pt idx="11">
                        <c:v>138.46618895671389</c:v>
                      </c:pt>
                      <c:pt idx="12">
                        <c:v>136.37699092796933</c:v>
                      </c:pt>
                      <c:pt idx="13">
                        <c:v>134.28779289923202</c:v>
                      </c:pt>
                      <c:pt idx="14">
                        <c:v>132.1985948704947</c:v>
                      </c:pt>
                      <c:pt idx="15">
                        <c:v>130.10939684175744</c:v>
                      </c:pt>
                      <c:pt idx="16">
                        <c:v>128.02019881302016</c:v>
                      </c:pt>
                      <c:pt idx="17">
                        <c:v>125.93100078427557</c:v>
                      </c:pt>
                      <c:pt idx="18">
                        <c:v>123.84180275553828</c:v>
                      </c:pt>
                      <c:pt idx="19">
                        <c:v>121.75260472680098</c:v>
                      </c:pt>
                      <c:pt idx="20">
                        <c:v>119.66340669804909</c:v>
                      </c:pt>
                      <c:pt idx="21">
                        <c:v>117.57420866931909</c:v>
                      </c:pt>
                      <c:pt idx="22">
                        <c:v>115.48501064057452</c:v>
                      </c:pt>
                      <c:pt idx="23">
                        <c:v>113.39581261183721</c:v>
                      </c:pt>
                      <c:pt idx="24">
                        <c:v>111.30661458309994</c:v>
                      </c:pt>
                      <c:pt idx="25">
                        <c:v>109.21741655436993</c:v>
                      </c:pt>
                      <c:pt idx="26">
                        <c:v>107.12821852563263</c:v>
                      </c:pt>
                      <c:pt idx="27">
                        <c:v>105.03902049688075</c:v>
                      </c:pt>
                      <c:pt idx="28">
                        <c:v>102.94982246815076</c:v>
                      </c:pt>
                      <c:pt idx="29">
                        <c:v>100.86062443940618</c:v>
                      </c:pt>
                      <c:pt idx="30">
                        <c:v>98.771426410668894</c:v>
                      </c:pt>
                      <c:pt idx="31">
                        <c:v>96.682228381924318</c:v>
                      </c:pt>
                      <c:pt idx="32">
                        <c:v>94.593030353194308</c:v>
                      </c:pt>
                      <c:pt idx="33">
                        <c:v>92.503832324442413</c:v>
                      </c:pt>
                      <c:pt idx="34">
                        <c:v>90.414634295719722</c:v>
                      </c:pt>
                      <c:pt idx="35">
                        <c:v>88.325436266975132</c:v>
                      </c:pt>
                      <c:pt idx="36">
                        <c:v>86.23623823823786</c:v>
                      </c:pt>
                      <c:pt idx="37">
                        <c:v>84.14704020950785</c:v>
                      </c:pt>
                      <c:pt idx="38">
                        <c:v>82.057842180755969</c:v>
                      </c:pt>
                      <c:pt idx="39">
                        <c:v>79.968644152025959</c:v>
                      </c:pt>
                      <c:pt idx="40">
                        <c:v>77.879446123281397</c:v>
                      </c:pt>
                      <c:pt idx="41">
                        <c:v>75.790248094536793</c:v>
                      </c:pt>
                      <c:pt idx="42">
                        <c:v>73.701050065799521</c:v>
                      </c:pt>
                      <c:pt idx="43">
                        <c:v>71.611852037062221</c:v>
                      </c:pt>
                      <c:pt idx="44">
                        <c:v>69.522654008324935</c:v>
                      </c:pt>
                      <c:pt idx="45">
                        <c:v>67.433455979587634</c:v>
                      </c:pt>
                      <c:pt idx="46">
                        <c:v>65.344257950843073</c:v>
                      </c:pt>
                      <c:pt idx="47">
                        <c:v>63.255059922113062</c:v>
                      </c:pt>
                      <c:pt idx="48">
                        <c:v>61.165861893368465</c:v>
                      </c:pt>
                      <c:pt idx="49">
                        <c:v>59.076663864631172</c:v>
                      </c:pt>
                      <c:pt idx="50">
                        <c:v>56.987465835893886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0054-40B2-856D-0E15D739D60C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グラフ!$AM$5</c15:sqref>
                        </c15:formulaRef>
                      </c:ext>
                    </c:extLst>
                    <c:strCache>
                      <c:ptCount val="1"/>
                      <c:pt idx="0">
                        <c:v>outer応力:Δ-10℃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グラフ!$AM$6:$AM$56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151.77392401721215</c:v>
                      </c:pt>
                      <c:pt idx="1">
                        <c:v>149.6847259884749</c:v>
                      </c:pt>
                      <c:pt idx="2">
                        <c:v>147.59552795973761</c:v>
                      </c:pt>
                      <c:pt idx="3">
                        <c:v>145.50632993098571</c:v>
                      </c:pt>
                      <c:pt idx="4">
                        <c:v>143.4171319022557</c:v>
                      </c:pt>
                      <c:pt idx="5">
                        <c:v>141.32793387351117</c:v>
                      </c:pt>
                      <c:pt idx="6">
                        <c:v>139.23873584477386</c:v>
                      </c:pt>
                      <c:pt idx="7">
                        <c:v>137.14953781603654</c:v>
                      </c:pt>
                      <c:pt idx="8">
                        <c:v>135.06033978729195</c:v>
                      </c:pt>
                      <c:pt idx="9">
                        <c:v>132.97114175856925</c:v>
                      </c:pt>
                      <c:pt idx="10">
                        <c:v>130.88194372981741</c:v>
                      </c:pt>
                      <c:pt idx="11">
                        <c:v>128.79274570108009</c:v>
                      </c:pt>
                      <c:pt idx="12">
                        <c:v>126.70354767234281</c:v>
                      </c:pt>
                      <c:pt idx="13">
                        <c:v>124.61434964359823</c:v>
                      </c:pt>
                      <c:pt idx="14">
                        <c:v>122.52515161486821</c:v>
                      </c:pt>
                      <c:pt idx="15">
                        <c:v>120.43595358613092</c:v>
                      </c:pt>
                      <c:pt idx="16">
                        <c:v>118.34675555738635</c:v>
                      </c:pt>
                      <c:pt idx="17">
                        <c:v>116.25755752864906</c:v>
                      </c:pt>
                      <c:pt idx="18">
                        <c:v>114.16835949990447</c:v>
                      </c:pt>
                      <c:pt idx="19">
                        <c:v>112.07916147116717</c:v>
                      </c:pt>
                      <c:pt idx="20">
                        <c:v>109.98996344242258</c:v>
                      </c:pt>
                      <c:pt idx="21">
                        <c:v>107.90076541368531</c:v>
                      </c:pt>
                      <c:pt idx="22">
                        <c:v>105.81156738494801</c:v>
                      </c:pt>
                      <c:pt idx="23">
                        <c:v>103.722369356218</c:v>
                      </c:pt>
                      <c:pt idx="24">
                        <c:v>101.63317132747343</c:v>
                      </c:pt>
                      <c:pt idx="25">
                        <c:v>99.543973298736134</c:v>
                      </c:pt>
                      <c:pt idx="26">
                        <c:v>97.454775269998834</c:v>
                      </c:pt>
                      <c:pt idx="27">
                        <c:v>95.365577241254258</c:v>
                      </c:pt>
                      <c:pt idx="28">
                        <c:v>93.276379212516972</c:v>
                      </c:pt>
                      <c:pt idx="29">
                        <c:v>91.187181183772395</c:v>
                      </c:pt>
                      <c:pt idx="30">
                        <c:v>89.097983155042385</c:v>
                      </c:pt>
                      <c:pt idx="31">
                        <c:v>87.008785126290519</c:v>
                      </c:pt>
                      <c:pt idx="32">
                        <c:v>84.919587097575089</c:v>
                      </c:pt>
                      <c:pt idx="33">
                        <c:v>82.830389068823209</c:v>
                      </c:pt>
                      <c:pt idx="34">
                        <c:v>80.741191040085909</c:v>
                      </c:pt>
                      <c:pt idx="35">
                        <c:v>78.651993011348637</c:v>
                      </c:pt>
                      <c:pt idx="36">
                        <c:v>76.562794982604061</c:v>
                      </c:pt>
                      <c:pt idx="37">
                        <c:v>74.473596953874051</c:v>
                      </c:pt>
                      <c:pt idx="38">
                        <c:v>72.38439892512946</c:v>
                      </c:pt>
                      <c:pt idx="39">
                        <c:v>70.295200896392174</c:v>
                      </c:pt>
                      <c:pt idx="40">
                        <c:v>68.206002867647584</c:v>
                      </c:pt>
                      <c:pt idx="41">
                        <c:v>66.116804838910312</c:v>
                      </c:pt>
                      <c:pt idx="42">
                        <c:v>64.027606810180302</c:v>
                      </c:pt>
                      <c:pt idx="43">
                        <c:v>61.938408781435719</c:v>
                      </c:pt>
                      <c:pt idx="44">
                        <c:v>59.849210752691128</c:v>
                      </c:pt>
                      <c:pt idx="45">
                        <c:v>57.760012723961125</c:v>
                      </c:pt>
                      <c:pt idx="46">
                        <c:v>55.670814695209252</c:v>
                      </c:pt>
                      <c:pt idx="47">
                        <c:v>53.581616666479249</c:v>
                      </c:pt>
                      <c:pt idx="48">
                        <c:v>51.492418637741956</c:v>
                      </c:pt>
                      <c:pt idx="49">
                        <c:v>49.403220608997387</c:v>
                      </c:pt>
                      <c:pt idx="50">
                        <c:v>47.314022580260087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0054-40B2-856D-0E15D739D60C}"/>
                  </c:ext>
                </c:extLst>
              </c15:ser>
            </c15:filteredScatterSeries>
            <c15:filteredScatterSeries>
              <c15:ser>
                <c:idx val="25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グラフ!$AN$5</c15:sqref>
                        </c15:formulaRef>
                      </c:ext>
                    </c:extLst>
                    <c:strCache>
                      <c:ptCount val="1"/>
                      <c:pt idx="0">
                        <c:v>outer応力:Δ0℃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グラフ!$AN$6:$AN$56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142.10048076158566</c:v>
                      </c:pt>
                      <c:pt idx="1">
                        <c:v>140.0112827328411</c:v>
                      </c:pt>
                      <c:pt idx="2">
                        <c:v>137.92208470411109</c:v>
                      </c:pt>
                      <c:pt idx="3">
                        <c:v>135.83288667535922</c:v>
                      </c:pt>
                      <c:pt idx="4">
                        <c:v>133.74368864662191</c:v>
                      </c:pt>
                      <c:pt idx="5">
                        <c:v>131.65449061788462</c:v>
                      </c:pt>
                      <c:pt idx="6">
                        <c:v>129.56529258914003</c:v>
                      </c:pt>
                      <c:pt idx="7">
                        <c:v>127.47609456041005</c:v>
                      </c:pt>
                      <c:pt idx="8">
                        <c:v>125.38689653166547</c:v>
                      </c:pt>
                      <c:pt idx="9">
                        <c:v>123.29769850293548</c:v>
                      </c:pt>
                      <c:pt idx="10">
                        <c:v>121.20850047419088</c:v>
                      </c:pt>
                      <c:pt idx="11">
                        <c:v>119.11930244544628</c:v>
                      </c:pt>
                      <c:pt idx="12">
                        <c:v>117.03010441671628</c:v>
                      </c:pt>
                      <c:pt idx="13">
                        <c:v>114.94090638797171</c:v>
                      </c:pt>
                      <c:pt idx="14">
                        <c:v>112.85170835923442</c:v>
                      </c:pt>
                      <c:pt idx="15">
                        <c:v>110.76251033050441</c:v>
                      </c:pt>
                      <c:pt idx="16">
                        <c:v>108.67331230175255</c:v>
                      </c:pt>
                      <c:pt idx="17">
                        <c:v>106.58411427301523</c:v>
                      </c:pt>
                      <c:pt idx="18">
                        <c:v>104.49491624427796</c:v>
                      </c:pt>
                      <c:pt idx="19">
                        <c:v>102.40571821553337</c:v>
                      </c:pt>
                      <c:pt idx="20">
                        <c:v>100.3165201867961</c:v>
                      </c:pt>
                      <c:pt idx="21">
                        <c:v>98.227322158066087</c:v>
                      </c:pt>
                      <c:pt idx="22">
                        <c:v>96.138124129321511</c:v>
                      </c:pt>
                      <c:pt idx="23">
                        <c:v>94.048926100584211</c:v>
                      </c:pt>
                      <c:pt idx="24">
                        <c:v>91.959728071839621</c:v>
                      </c:pt>
                      <c:pt idx="25">
                        <c:v>89.870530043109625</c:v>
                      </c:pt>
                      <c:pt idx="26">
                        <c:v>87.781332014365034</c:v>
                      </c:pt>
                      <c:pt idx="27">
                        <c:v>85.692133985620458</c:v>
                      </c:pt>
                      <c:pt idx="28">
                        <c:v>83.602935956890448</c:v>
                      </c:pt>
                      <c:pt idx="29">
                        <c:v>81.513737928138582</c:v>
                      </c:pt>
                      <c:pt idx="30">
                        <c:v>79.424539899423152</c:v>
                      </c:pt>
                      <c:pt idx="31">
                        <c:v>77.3353418706713</c:v>
                      </c:pt>
                      <c:pt idx="32">
                        <c:v>75.24614384194129</c:v>
                      </c:pt>
                      <c:pt idx="33">
                        <c:v>73.1569458131967</c:v>
                      </c:pt>
                      <c:pt idx="34">
                        <c:v>71.067747784452123</c:v>
                      </c:pt>
                      <c:pt idx="35">
                        <c:v>68.978549755714837</c:v>
                      </c:pt>
                      <c:pt idx="36">
                        <c:v>66.889351726977537</c:v>
                      </c:pt>
                      <c:pt idx="37">
                        <c:v>64.800153698240237</c:v>
                      </c:pt>
                      <c:pt idx="38">
                        <c:v>62.710955669495661</c:v>
                      </c:pt>
                      <c:pt idx="39">
                        <c:v>60.621757640765658</c:v>
                      </c:pt>
                      <c:pt idx="40">
                        <c:v>58.532559612028372</c:v>
                      </c:pt>
                      <c:pt idx="41">
                        <c:v>56.443361583283789</c:v>
                      </c:pt>
                      <c:pt idx="42">
                        <c:v>54.354163554546489</c:v>
                      </c:pt>
                      <c:pt idx="43">
                        <c:v>52.264965525809203</c:v>
                      </c:pt>
                      <c:pt idx="44">
                        <c:v>50.175767497057336</c:v>
                      </c:pt>
                      <c:pt idx="45">
                        <c:v>48.086569468327326</c:v>
                      </c:pt>
                      <c:pt idx="46">
                        <c:v>45.99737143958275</c:v>
                      </c:pt>
                      <c:pt idx="47">
                        <c:v>43.90817341084545</c:v>
                      </c:pt>
                      <c:pt idx="48">
                        <c:v>41.818975382108164</c:v>
                      </c:pt>
                      <c:pt idx="49">
                        <c:v>39.729777353370871</c:v>
                      </c:pt>
                      <c:pt idx="50">
                        <c:v>37.640579324640868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0054-40B2-856D-0E15D739D60C}"/>
                  </c:ext>
                </c:extLst>
              </c15:ser>
            </c15:filteredScatterSeries>
            <c15:filteredScatterSeries>
              <c15:ser>
                <c:idx val="26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グラフ!$AO$5</c15:sqref>
                        </c15:formulaRef>
                      </c:ext>
                    </c:extLst>
                    <c:strCache>
                      <c:ptCount val="1"/>
                      <c:pt idx="0">
                        <c:v>outer応力:Δ+10℃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グラフ!$AO$6:$AO$56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132.42703750595916</c:v>
                      </c:pt>
                      <c:pt idx="1">
                        <c:v>130.33783947721457</c:v>
                      </c:pt>
                      <c:pt idx="2">
                        <c:v>128.24864144847729</c:v>
                      </c:pt>
                      <c:pt idx="3">
                        <c:v>126.15944341973271</c:v>
                      </c:pt>
                      <c:pt idx="4">
                        <c:v>124.07024539098812</c:v>
                      </c:pt>
                      <c:pt idx="5">
                        <c:v>121.98104736225811</c:v>
                      </c:pt>
                      <c:pt idx="6">
                        <c:v>119.89184933351353</c:v>
                      </c:pt>
                      <c:pt idx="7">
                        <c:v>117.80265130477623</c:v>
                      </c:pt>
                      <c:pt idx="8">
                        <c:v>115.71345327603896</c:v>
                      </c:pt>
                      <c:pt idx="9">
                        <c:v>113.62425524730166</c:v>
                      </c:pt>
                      <c:pt idx="10">
                        <c:v>111.53505721856435</c:v>
                      </c:pt>
                      <c:pt idx="11">
                        <c:v>109.44585918981979</c:v>
                      </c:pt>
                      <c:pt idx="12">
                        <c:v>107.3566611610825</c:v>
                      </c:pt>
                      <c:pt idx="13">
                        <c:v>105.2674631323452</c:v>
                      </c:pt>
                      <c:pt idx="14">
                        <c:v>103.17826510360064</c:v>
                      </c:pt>
                      <c:pt idx="15">
                        <c:v>101.08906707487063</c:v>
                      </c:pt>
                      <c:pt idx="16">
                        <c:v>98.999869046126022</c:v>
                      </c:pt>
                      <c:pt idx="17">
                        <c:v>96.910671017381446</c:v>
                      </c:pt>
                      <c:pt idx="18">
                        <c:v>94.821472988651436</c:v>
                      </c:pt>
                      <c:pt idx="19">
                        <c:v>92.73227495991415</c:v>
                      </c:pt>
                      <c:pt idx="20">
                        <c:v>90.643076931169574</c:v>
                      </c:pt>
                      <c:pt idx="21">
                        <c:v>88.553878902432288</c:v>
                      </c:pt>
                      <c:pt idx="22">
                        <c:v>86.464680873687698</c:v>
                      </c:pt>
                      <c:pt idx="23">
                        <c:v>84.375482844957688</c:v>
                      </c:pt>
                      <c:pt idx="24">
                        <c:v>82.286284816205836</c:v>
                      </c:pt>
                      <c:pt idx="25">
                        <c:v>80.197086787475826</c:v>
                      </c:pt>
                      <c:pt idx="26">
                        <c:v>78.10788875873854</c:v>
                      </c:pt>
                      <c:pt idx="27">
                        <c:v>76.018690729986659</c:v>
                      </c:pt>
                      <c:pt idx="28">
                        <c:v>73.929492701271244</c:v>
                      </c:pt>
                      <c:pt idx="29">
                        <c:v>71.840294672519363</c:v>
                      </c:pt>
                      <c:pt idx="30">
                        <c:v>69.751096643789367</c:v>
                      </c:pt>
                      <c:pt idx="31">
                        <c:v>67.661898615044763</c:v>
                      </c:pt>
                      <c:pt idx="32">
                        <c:v>65.572700586307491</c:v>
                      </c:pt>
                      <c:pt idx="33">
                        <c:v>63.4835025575629</c:v>
                      </c:pt>
                      <c:pt idx="34">
                        <c:v>61.394304528825614</c:v>
                      </c:pt>
                      <c:pt idx="35">
                        <c:v>59.305106500081038</c:v>
                      </c:pt>
                      <c:pt idx="36">
                        <c:v>57.215908471343752</c:v>
                      </c:pt>
                      <c:pt idx="37">
                        <c:v>55.126710442613742</c:v>
                      </c:pt>
                      <c:pt idx="38">
                        <c:v>53.037512413876442</c:v>
                      </c:pt>
                      <c:pt idx="39">
                        <c:v>50.948314385139156</c:v>
                      </c:pt>
                      <c:pt idx="40">
                        <c:v>48.859116356394573</c:v>
                      </c:pt>
                      <c:pt idx="41">
                        <c:v>46.769918327657273</c:v>
                      </c:pt>
                      <c:pt idx="42">
                        <c:v>44.680720298912703</c:v>
                      </c:pt>
                      <c:pt idx="43">
                        <c:v>42.591522270175403</c:v>
                      </c:pt>
                      <c:pt idx="44">
                        <c:v>40.50232424143082</c:v>
                      </c:pt>
                      <c:pt idx="45">
                        <c:v>38.413126212693534</c:v>
                      </c:pt>
                      <c:pt idx="46">
                        <c:v>36.323928183948951</c:v>
                      </c:pt>
                      <c:pt idx="47">
                        <c:v>34.234730155218948</c:v>
                      </c:pt>
                      <c:pt idx="48">
                        <c:v>32.145532126488945</c:v>
                      </c:pt>
                      <c:pt idx="49">
                        <c:v>30.056334097744362</c:v>
                      </c:pt>
                      <c:pt idx="50">
                        <c:v>27.967136069007068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0054-40B2-856D-0E15D739D60C}"/>
                  </c:ext>
                </c:extLst>
              </c15:ser>
            </c15:filteredScatterSeries>
            <c15:filteredScatterSeries>
              <c15:ser>
                <c:idx val="27"/>
                <c:order val="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グラフ!$AP$5</c15:sqref>
                        </c15:formulaRef>
                      </c:ext>
                    </c:extLst>
                    <c:strCache>
                      <c:ptCount val="1"/>
                      <c:pt idx="0">
                        <c:v>outer応力:Δ+20℃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グラフ!$AP$6:$AP$56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122.75359425032536</c:v>
                      </c:pt>
                      <c:pt idx="1">
                        <c:v>120.66439622158808</c:v>
                      </c:pt>
                      <c:pt idx="2">
                        <c:v>118.57519819284349</c:v>
                      </c:pt>
                      <c:pt idx="3">
                        <c:v>116.48600016410619</c:v>
                      </c:pt>
                      <c:pt idx="4">
                        <c:v>114.39680213536161</c:v>
                      </c:pt>
                      <c:pt idx="5">
                        <c:v>112.30760410662432</c:v>
                      </c:pt>
                      <c:pt idx="6">
                        <c:v>110.21840607788702</c:v>
                      </c:pt>
                      <c:pt idx="7">
                        <c:v>108.12920804914246</c:v>
                      </c:pt>
                      <c:pt idx="8">
                        <c:v>106.04001002041245</c:v>
                      </c:pt>
                      <c:pt idx="9">
                        <c:v>103.95081199167515</c:v>
                      </c:pt>
                      <c:pt idx="10">
                        <c:v>101.86161396293056</c:v>
                      </c:pt>
                      <c:pt idx="11">
                        <c:v>99.772415934193276</c:v>
                      </c:pt>
                      <c:pt idx="12">
                        <c:v>97.683217905448686</c:v>
                      </c:pt>
                      <c:pt idx="13">
                        <c:v>95.594019876711414</c:v>
                      </c:pt>
                      <c:pt idx="14">
                        <c:v>93.504821847974114</c:v>
                      </c:pt>
                      <c:pt idx="15">
                        <c:v>91.415623819236814</c:v>
                      </c:pt>
                      <c:pt idx="16">
                        <c:v>89.326425790499528</c:v>
                      </c:pt>
                      <c:pt idx="17">
                        <c:v>87.237227761762227</c:v>
                      </c:pt>
                      <c:pt idx="18">
                        <c:v>85.148029733024941</c:v>
                      </c:pt>
                      <c:pt idx="19">
                        <c:v>83.058831704280365</c:v>
                      </c:pt>
                      <c:pt idx="20">
                        <c:v>80.969633675535775</c:v>
                      </c:pt>
                      <c:pt idx="21">
                        <c:v>78.880435646805779</c:v>
                      </c:pt>
                      <c:pt idx="22">
                        <c:v>76.791237618053898</c:v>
                      </c:pt>
                      <c:pt idx="23">
                        <c:v>74.702039589323888</c:v>
                      </c:pt>
                      <c:pt idx="24">
                        <c:v>72.612841560579312</c:v>
                      </c:pt>
                      <c:pt idx="25">
                        <c:v>70.523643531842026</c:v>
                      </c:pt>
                      <c:pt idx="26">
                        <c:v>68.434445503119321</c:v>
                      </c:pt>
                      <c:pt idx="27">
                        <c:v>66.34524747436744</c:v>
                      </c:pt>
                      <c:pt idx="28">
                        <c:v>64.25604944563743</c:v>
                      </c:pt>
                      <c:pt idx="29">
                        <c:v>62.166851416892854</c:v>
                      </c:pt>
                      <c:pt idx="30">
                        <c:v>60.077653388155561</c:v>
                      </c:pt>
                      <c:pt idx="31">
                        <c:v>57.988455359410992</c:v>
                      </c:pt>
                      <c:pt idx="32">
                        <c:v>55.899257330680982</c:v>
                      </c:pt>
                      <c:pt idx="33">
                        <c:v>53.810059301929108</c:v>
                      </c:pt>
                      <c:pt idx="34">
                        <c:v>51.720861273191822</c:v>
                      </c:pt>
                      <c:pt idx="35">
                        <c:v>49.631663244454529</c:v>
                      </c:pt>
                      <c:pt idx="36">
                        <c:v>47.542465215724519</c:v>
                      </c:pt>
                      <c:pt idx="37">
                        <c:v>45.453267186987226</c:v>
                      </c:pt>
                      <c:pt idx="38">
                        <c:v>43.36406915824265</c:v>
                      </c:pt>
                      <c:pt idx="39">
                        <c:v>41.27487112951264</c:v>
                      </c:pt>
                      <c:pt idx="40">
                        <c:v>39.185673100760773</c:v>
                      </c:pt>
                      <c:pt idx="41">
                        <c:v>37.09647507202348</c:v>
                      </c:pt>
                      <c:pt idx="42">
                        <c:v>35.007277043286194</c:v>
                      </c:pt>
                      <c:pt idx="43">
                        <c:v>32.918079014541611</c:v>
                      </c:pt>
                      <c:pt idx="44">
                        <c:v>30.828880985797028</c:v>
                      </c:pt>
                      <c:pt idx="45">
                        <c:v>28.739682957067021</c:v>
                      </c:pt>
                      <c:pt idx="46">
                        <c:v>26.650484928329735</c:v>
                      </c:pt>
                      <c:pt idx="47">
                        <c:v>24.561286899592439</c:v>
                      </c:pt>
                      <c:pt idx="48">
                        <c:v>22.472088870855149</c:v>
                      </c:pt>
                      <c:pt idx="49">
                        <c:v>20.382890842117856</c:v>
                      </c:pt>
                      <c:pt idx="50">
                        <c:v>18.293692813373273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0054-40B2-856D-0E15D739D60C}"/>
                  </c:ext>
                </c:extLst>
              </c15:ser>
            </c15:filteredScatterSeries>
            <c15:filteredScatterSeries>
              <c15:ser>
                <c:idx val="28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グラフ!$AQ$5</c15:sqref>
                        </c15:formulaRef>
                      </c:ext>
                    </c:extLst>
                    <c:strCache>
                      <c:ptCount val="1"/>
                      <c:pt idx="0">
                        <c:v>outer応力:Δ+30℃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グラフ!$AQ$6:$AQ$56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113.08015099469155</c:v>
                      </c:pt>
                      <c:pt idx="1">
                        <c:v>110.99095296596154</c:v>
                      </c:pt>
                      <c:pt idx="2">
                        <c:v>108.90175493721698</c:v>
                      </c:pt>
                      <c:pt idx="3">
                        <c:v>106.81255690847239</c:v>
                      </c:pt>
                      <c:pt idx="4">
                        <c:v>104.7233588797351</c:v>
                      </c:pt>
                      <c:pt idx="5">
                        <c:v>102.63416085099053</c:v>
                      </c:pt>
                      <c:pt idx="6">
                        <c:v>100.54496282226053</c:v>
                      </c:pt>
                      <c:pt idx="7">
                        <c:v>98.455764793515939</c:v>
                      </c:pt>
                      <c:pt idx="8">
                        <c:v>96.366566764778639</c:v>
                      </c:pt>
                      <c:pt idx="9">
                        <c:v>94.277368736048629</c:v>
                      </c:pt>
                      <c:pt idx="10">
                        <c:v>92.188170707296777</c:v>
                      </c:pt>
                      <c:pt idx="11">
                        <c:v>90.098972678559477</c:v>
                      </c:pt>
                      <c:pt idx="12">
                        <c:v>88.009774649822191</c:v>
                      </c:pt>
                      <c:pt idx="13">
                        <c:v>85.920576621077615</c:v>
                      </c:pt>
                      <c:pt idx="14">
                        <c:v>83.831378592347619</c:v>
                      </c:pt>
                      <c:pt idx="15">
                        <c:v>81.742180563617609</c:v>
                      </c:pt>
                      <c:pt idx="16">
                        <c:v>79.652982534873018</c:v>
                      </c:pt>
                      <c:pt idx="17">
                        <c:v>77.563784506128428</c:v>
                      </c:pt>
                      <c:pt idx="18">
                        <c:v>75.474586477391128</c:v>
                      </c:pt>
                      <c:pt idx="19">
                        <c:v>73.385388448653842</c:v>
                      </c:pt>
                      <c:pt idx="20">
                        <c:v>71.29619041990199</c:v>
                      </c:pt>
                      <c:pt idx="21">
                        <c:v>69.206992391171966</c:v>
                      </c:pt>
                      <c:pt idx="22">
                        <c:v>67.117794362427404</c:v>
                      </c:pt>
                      <c:pt idx="23">
                        <c:v>65.028596333690103</c:v>
                      </c:pt>
                      <c:pt idx="24">
                        <c:v>62.939398304960108</c:v>
                      </c:pt>
                      <c:pt idx="25">
                        <c:v>60.850200276222807</c:v>
                      </c:pt>
                      <c:pt idx="26">
                        <c:v>58.761002247485514</c:v>
                      </c:pt>
                      <c:pt idx="27">
                        <c:v>56.671804218740931</c:v>
                      </c:pt>
                      <c:pt idx="28">
                        <c:v>54.582606190003638</c:v>
                      </c:pt>
                      <c:pt idx="29">
                        <c:v>52.493408161259055</c:v>
                      </c:pt>
                      <c:pt idx="30">
                        <c:v>50.404210132529052</c:v>
                      </c:pt>
                      <c:pt idx="31">
                        <c:v>48.315012103777185</c:v>
                      </c:pt>
                      <c:pt idx="32">
                        <c:v>46.225814075047182</c:v>
                      </c:pt>
                      <c:pt idx="33">
                        <c:v>44.136616046302599</c:v>
                      </c:pt>
                      <c:pt idx="34">
                        <c:v>42.047418017572596</c:v>
                      </c:pt>
                      <c:pt idx="35">
                        <c:v>39.95821998882802</c:v>
                      </c:pt>
                      <c:pt idx="36">
                        <c:v>37.86902196009072</c:v>
                      </c:pt>
                      <c:pt idx="37">
                        <c:v>35.779823931360717</c:v>
                      </c:pt>
                      <c:pt idx="38">
                        <c:v>33.690625902608851</c:v>
                      </c:pt>
                      <c:pt idx="39">
                        <c:v>31.601427873878841</c:v>
                      </c:pt>
                      <c:pt idx="40">
                        <c:v>29.512229845134264</c:v>
                      </c:pt>
                      <c:pt idx="41">
                        <c:v>27.423031816389688</c:v>
                      </c:pt>
                      <c:pt idx="42">
                        <c:v>25.333833787652392</c:v>
                      </c:pt>
                      <c:pt idx="43">
                        <c:v>23.244635758915098</c:v>
                      </c:pt>
                      <c:pt idx="44">
                        <c:v>21.155437730177809</c:v>
                      </c:pt>
                      <c:pt idx="45">
                        <c:v>19.066239701440516</c:v>
                      </c:pt>
                      <c:pt idx="46">
                        <c:v>16.977041672695933</c:v>
                      </c:pt>
                      <c:pt idx="47">
                        <c:v>14.887843643965931</c:v>
                      </c:pt>
                      <c:pt idx="48">
                        <c:v>12.798645615221348</c:v>
                      </c:pt>
                      <c:pt idx="49">
                        <c:v>10.709447586484057</c:v>
                      </c:pt>
                      <c:pt idx="50">
                        <c:v>8.6202495577467655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0054-40B2-856D-0E15D739D60C}"/>
                  </c:ext>
                </c:extLst>
              </c15:ser>
            </c15:filteredScatterSeries>
            <c15:filteredScatterSeries>
              <c15:ser>
                <c:idx val="29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グラフ!$AR$5</c15:sqref>
                        </c15:formulaRef>
                      </c:ext>
                    </c:extLst>
                    <c:strCache>
                      <c:ptCount val="1"/>
                      <c:pt idx="0">
                        <c:v>outer降伏点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グラフ!$AR$6:$AR$56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150</c:v>
                      </c:pt>
                      <c:pt idx="1">
                        <c:v>150</c:v>
                      </c:pt>
                      <c:pt idx="2">
                        <c:v>150</c:v>
                      </c:pt>
                      <c:pt idx="3">
                        <c:v>150</c:v>
                      </c:pt>
                      <c:pt idx="4">
                        <c:v>150</c:v>
                      </c:pt>
                      <c:pt idx="5">
                        <c:v>150</c:v>
                      </c:pt>
                      <c:pt idx="6">
                        <c:v>150</c:v>
                      </c:pt>
                      <c:pt idx="7">
                        <c:v>150</c:v>
                      </c:pt>
                      <c:pt idx="8">
                        <c:v>150</c:v>
                      </c:pt>
                      <c:pt idx="9">
                        <c:v>150</c:v>
                      </c:pt>
                      <c:pt idx="10">
                        <c:v>150</c:v>
                      </c:pt>
                      <c:pt idx="11">
                        <c:v>150</c:v>
                      </c:pt>
                      <c:pt idx="12">
                        <c:v>150</c:v>
                      </c:pt>
                      <c:pt idx="13">
                        <c:v>150</c:v>
                      </c:pt>
                      <c:pt idx="14">
                        <c:v>150</c:v>
                      </c:pt>
                      <c:pt idx="15">
                        <c:v>150</c:v>
                      </c:pt>
                      <c:pt idx="16">
                        <c:v>150</c:v>
                      </c:pt>
                      <c:pt idx="17">
                        <c:v>150</c:v>
                      </c:pt>
                      <c:pt idx="18">
                        <c:v>150</c:v>
                      </c:pt>
                      <c:pt idx="19">
                        <c:v>150</c:v>
                      </c:pt>
                      <c:pt idx="20">
                        <c:v>150</c:v>
                      </c:pt>
                      <c:pt idx="21">
                        <c:v>150</c:v>
                      </c:pt>
                      <c:pt idx="22">
                        <c:v>150</c:v>
                      </c:pt>
                      <c:pt idx="23">
                        <c:v>150</c:v>
                      </c:pt>
                      <c:pt idx="24">
                        <c:v>150</c:v>
                      </c:pt>
                      <c:pt idx="25">
                        <c:v>150</c:v>
                      </c:pt>
                      <c:pt idx="26">
                        <c:v>150</c:v>
                      </c:pt>
                      <c:pt idx="27">
                        <c:v>150</c:v>
                      </c:pt>
                      <c:pt idx="28">
                        <c:v>150</c:v>
                      </c:pt>
                      <c:pt idx="29">
                        <c:v>150</c:v>
                      </c:pt>
                      <c:pt idx="30">
                        <c:v>150</c:v>
                      </c:pt>
                      <c:pt idx="31">
                        <c:v>150</c:v>
                      </c:pt>
                      <c:pt idx="32">
                        <c:v>150</c:v>
                      </c:pt>
                      <c:pt idx="33">
                        <c:v>150</c:v>
                      </c:pt>
                      <c:pt idx="34">
                        <c:v>150</c:v>
                      </c:pt>
                      <c:pt idx="35">
                        <c:v>150</c:v>
                      </c:pt>
                      <c:pt idx="36">
                        <c:v>150</c:v>
                      </c:pt>
                      <c:pt idx="37">
                        <c:v>150</c:v>
                      </c:pt>
                      <c:pt idx="38">
                        <c:v>150</c:v>
                      </c:pt>
                      <c:pt idx="39">
                        <c:v>150</c:v>
                      </c:pt>
                      <c:pt idx="40">
                        <c:v>150</c:v>
                      </c:pt>
                      <c:pt idx="41">
                        <c:v>150</c:v>
                      </c:pt>
                      <c:pt idx="42">
                        <c:v>150</c:v>
                      </c:pt>
                      <c:pt idx="43">
                        <c:v>150</c:v>
                      </c:pt>
                      <c:pt idx="44">
                        <c:v>150</c:v>
                      </c:pt>
                      <c:pt idx="45">
                        <c:v>150</c:v>
                      </c:pt>
                      <c:pt idx="46">
                        <c:v>150</c:v>
                      </c:pt>
                      <c:pt idx="47">
                        <c:v>150</c:v>
                      </c:pt>
                      <c:pt idx="48">
                        <c:v>150</c:v>
                      </c:pt>
                      <c:pt idx="49">
                        <c:v>150</c:v>
                      </c:pt>
                      <c:pt idx="50">
                        <c:v>150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0054-40B2-856D-0E15D739D60C}"/>
                  </c:ext>
                </c:extLst>
              </c15:ser>
            </c15:filteredScatterSeries>
          </c:ext>
        </c:extLst>
      </c:scatterChart>
      <c:valAx>
        <c:axId val="1878419104"/>
        <c:scaling>
          <c:orientation val="minMax"/>
          <c:max val="200"/>
          <c:min val="-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グラフ!$N$5</c:f>
              <c:strCache>
                <c:ptCount val="1"/>
                <c:pt idx="0">
                  <c:v>inner温度[℃]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8401216"/>
        <c:crosses val="autoZero"/>
        <c:crossBetween val="midCat"/>
      </c:valAx>
      <c:valAx>
        <c:axId val="18784012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グラフ!$AC$4</c:f>
              <c:strCache>
                <c:ptCount val="1"/>
                <c:pt idx="0">
                  <c:v>inner応力[MPa]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8419104"/>
        <c:crossesAt val="-100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温度 </a:t>
            </a:r>
            <a:r>
              <a:rPr lang="en-US" altLang="ja-JP"/>
              <a:t>vs Outer</a:t>
            </a:r>
            <a:r>
              <a:rPr lang="ja-JP" altLang="en-US"/>
              <a:t>応力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22"/>
          <c:order val="22"/>
          <c:tx>
            <c:strRef>
              <c:f>グラフ!$AK$5</c:f>
              <c:strCache>
                <c:ptCount val="1"/>
                <c:pt idx="0">
                  <c:v>outer応力:Δ-30℃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グラフ!$AK$6:$AK$56</c:f>
              <c:numCache>
                <c:formatCode>0.0</c:formatCode>
                <c:ptCount val="51"/>
                <c:pt idx="0">
                  <c:v>171.1208105284725</c:v>
                </c:pt>
                <c:pt idx="1">
                  <c:v>169.03161249972788</c:v>
                </c:pt>
                <c:pt idx="2">
                  <c:v>166.94241447099057</c:v>
                </c:pt>
                <c:pt idx="3">
                  <c:v>164.85321644225331</c:v>
                </c:pt>
                <c:pt idx="4">
                  <c:v>162.76401841350875</c:v>
                </c:pt>
                <c:pt idx="5">
                  <c:v>160.67482038477144</c:v>
                </c:pt>
                <c:pt idx="6">
                  <c:v>158.58562235603415</c:v>
                </c:pt>
                <c:pt idx="7">
                  <c:v>156.49642432728959</c:v>
                </c:pt>
                <c:pt idx="8">
                  <c:v>154.40722629855961</c:v>
                </c:pt>
                <c:pt idx="9">
                  <c:v>152.31802826982229</c:v>
                </c:pt>
                <c:pt idx="10">
                  <c:v>150.22883024107767</c:v>
                </c:pt>
                <c:pt idx="11">
                  <c:v>148.13963221234039</c:v>
                </c:pt>
                <c:pt idx="12">
                  <c:v>146.05043418359583</c:v>
                </c:pt>
                <c:pt idx="13">
                  <c:v>143.96123615486582</c:v>
                </c:pt>
                <c:pt idx="14">
                  <c:v>141.87203812612123</c:v>
                </c:pt>
                <c:pt idx="15">
                  <c:v>139.78284009739124</c:v>
                </c:pt>
                <c:pt idx="16">
                  <c:v>137.69364206864662</c:v>
                </c:pt>
                <c:pt idx="17">
                  <c:v>135.60444403990206</c:v>
                </c:pt>
                <c:pt idx="18">
                  <c:v>133.51524601117205</c:v>
                </c:pt>
                <c:pt idx="19">
                  <c:v>131.42604798242749</c:v>
                </c:pt>
                <c:pt idx="20">
                  <c:v>129.33684995368293</c:v>
                </c:pt>
                <c:pt idx="21">
                  <c:v>127.2476519249529</c:v>
                </c:pt>
                <c:pt idx="22">
                  <c:v>125.15845389620104</c:v>
                </c:pt>
                <c:pt idx="23">
                  <c:v>123.06925586747101</c:v>
                </c:pt>
                <c:pt idx="24">
                  <c:v>120.98005783872644</c:v>
                </c:pt>
                <c:pt idx="25">
                  <c:v>118.89085980998915</c:v>
                </c:pt>
                <c:pt idx="26">
                  <c:v>116.80166178125914</c:v>
                </c:pt>
                <c:pt idx="27">
                  <c:v>114.71246375251458</c:v>
                </c:pt>
                <c:pt idx="28">
                  <c:v>112.62326572378457</c:v>
                </c:pt>
                <c:pt idx="29">
                  <c:v>110.53406769503268</c:v>
                </c:pt>
                <c:pt idx="30">
                  <c:v>108.44486966630268</c:v>
                </c:pt>
                <c:pt idx="31">
                  <c:v>106.3556716375581</c:v>
                </c:pt>
                <c:pt idx="32">
                  <c:v>104.2664736088208</c:v>
                </c:pt>
                <c:pt idx="33">
                  <c:v>102.17727558007624</c:v>
                </c:pt>
                <c:pt idx="34">
                  <c:v>100.08807755133894</c:v>
                </c:pt>
                <c:pt idx="35">
                  <c:v>97.998879522594351</c:v>
                </c:pt>
                <c:pt idx="36">
                  <c:v>95.909681493871631</c:v>
                </c:pt>
                <c:pt idx="37">
                  <c:v>93.820483465134345</c:v>
                </c:pt>
                <c:pt idx="38">
                  <c:v>91.731285436389769</c:v>
                </c:pt>
                <c:pt idx="39">
                  <c:v>89.642087407659773</c:v>
                </c:pt>
                <c:pt idx="40">
                  <c:v>87.552889378907892</c:v>
                </c:pt>
                <c:pt idx="41">
                  <c:v>85.46369135017062</c:v>
                </c:pt>
                <c:pt idx="42">
                  <c:v>83.37449332143332</c:v>
                </c:pt>
                <c:pt idx="43">
                  <c:v>81.28529529268873</c:v>
                </c:pt>
                <c:pt idx="44">
                  <c:v>79.196097263944139</c:v>
                </c:pt>
                <c:pt idx="45">
                  <c:v>77.106899235214144</c:v>
                </c:pt>
                <c:pt idx="46">
                  <c:v>75.017701206476843</c:v>
                </c:pt>
                <c:pt idx="47">
                  <c:v>72.928503177739557</c:v>
                </c:pt>
                <c:pt idx="48">
                  <c:v>70.839305149002257</c:v>
                </c:pt>
                <c:pt idx="49">
                  <c:v>68.750107120264985</c:v>
                </c:pt>
                <c:pt idx="50">
                  <c:v>66.660909091520395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F3-4719-91D0-4CC87A3179E0}"/>
            </c:ext>
          </c:extLst>
        </c:ser>
        <c:ser>
          <c:idx val="23"/>
          <c:order val="23"/>
          <c:tx>
            <c:strRef>
              <c:f>グラフ!$AL$5</c:f>
              <c:strCache>
                <c:ptCount val="1"/>
                <c:pt idx="0">
                  <c:v>outer応力:Δ-20℃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グラフ!$AL$6:$AL$56</c:f>
              <c:numCache>
                <c:formatCode>0.0</c:formatCode>
                <c:ptCount val="51"/>
                <c:pt idx="0">
                  <c:v>161.4473672728387</c:v>
                </c:pt>
                <c:pt idx="1">
                  <c:v>159.35816924410867</c:v>
                </c:pt>
                <c:pt idx="2">
                  <c:v>157.2689712153641</c:v>
                </c:pt>
                <c:pt idx="3">
                  <c:v>155.17977318661951</c:v>
                </c:pt>
                <c:pt idx="4">
                  <c:v>153.09057515788223</c:v>
                </c:pt>
                <c:pt idx="5">
                  <c:v>151.00137712913764</c:v>
                </c:pt>
                <c:pt idx="6">
                  <c:v>148.91217910040763</c:v>
                </c:pt>
                <c:pt idx="7">
                  <c:v>146.82298107166304</c:v>
                </c:pt>
                <c:pt idx="8">
                  <c:v>144.73378304292575</c:v>
                </c:pt>
                <c:pt idx="9">
                  <c:v>142.64458501419577</c:v>
                </c:pt>
                <c:pt idx="10">
                  <c:v>140.5553869854439</c:v>
                </c:pt>
                <c:pt idx="11">
                  <c:v>138.46618895671389</c:v>
                </c:pt>
                <c:pt idx="12">
                  <c:v>136.37699092796933</c:v>
                </c:pt>
                <c:pt idx="13">
                  <c:v>134.28779289923202</c:v>
                </c:pt>
                <c:pt idx="14">
                  <c:v>132.1985948704947</c:v>
                </c:pt>
                <c:pt idx="15">
                  <c:v>130.10939684175744</c:v>
                </c:pt>
                <c:pt idx="16">
                  <c:v>128.02019881302016</c:v>
                </c:pt>
                <c:pt idx="17">
                  <c:v>125.93100078427557</c:v>
                </c:pt>
                <c:pt idx="18">
                  <c:v>123.84180275553828</c:v>
                </c:pt>
                <c:pt idx="19">
                  <c:v>121.75260472680098</c:v>
                </c:pt>
                <c:pt idx="20">
                  <c:v>119.66340669804909</c:v>
                </c:pt>
                <c:pt idx="21">
                  <c:v>117.57420866931909</c:v>
                </c:pt>
                <c:pt idx="22">
                  <c:v>115.48501064057452</c:v>
                </c:pt>
                <c:pt idx="23">
                  <c:v>113.39581261183721</c:v>
                </c:pt>
                <c:pt idx="24">
                  <c:v>111.30661458309994</c:v>
                </c:pt>
                <c:pt idx="25">
                  <c:v>109.21741655436993</c:v>
                </c:pt>
                <c:pt idx="26">
                  <c:v>107.12821852563263</c:v>
                </c:pt>
                <c:pt idx="27">
                  <c:v>105.03902049688075</c:v>
                </c:pt>
                <c:pt idx="28">
                  <c:v>102.94982246815076</c:v>
                </c:pt>
                <c:pt idx="29">
                  <c:v>100.86062443940618</c:v>
                </c:pt>
                <c:pt idx="30">
                  <c:v>98.771426410668894</c:v>
                </c:pt>
                <c:pt idx="31">
                  <c:v>96.682228381924318</c:v>
                </c:pt>
                <c:pt idx="32">
                  <c:v>94.593030353194308</c:v>
                </c:pt>
                <c:pt idx="33">
                  <c:v>92.503832324442413</c:v>
                </c:pt>
                <c:pt idx="34">
                  <c:v>90.414634295719722</c:v>
                </c:pt>
                <c:pt idx="35">
                  <c:v>88.325436266975132</c:v>
                </c:pt>
                <c:pt idx="36">
                  <c:v>86.23623823823786</c:v>
                </c:pt>
                <c:pt idx="37">
                  <c:v>84.14704020950785</c:v>
                </c:pt>
                <c:pt idx="38">
                  <c:v>82.057842180755969</c:v>
                </c:pt>
                <c:pt idx="39">
                  <c:v>79.968644152025959</c:v>
                </c:pt>
                <c:pt idx="40">
                  <c:v>77.879446123281397</c:v>
                </c:pt>
                <c:pt idx="41">
                  <c:v>75.790248094536793</c:v>
                </c:pt>
                <c:pt idx="42">
                  <c:v>73.701050065799521</c:v>
                </c:pt>
                <c:pt idx="43">
                  <c:v>71.611852037062221</c:v>
                </c:pt>
                <c:pt idx="44">
                  <c:v>69.522654008324935</c:v>
                </c:pt>
                <c:pt idx="45">
                  <c:v>67.433455979587634</c:v>
                </c:pt>
                <c:pt idx="46">
                  <c:v>65.344257950843073</c:v>
                </c:pt>
                <c:pt idx="47">
                  <c:v>63.255059922113062</c:v>
                </c:pt>
                <c:pt idx="48">
                  <c:v>61.165861893368465</c:v>
                </c:pt>
                <c:pt idx="49">
                  <c:v>59.076663864631172</c:v>
                </c:pt>
                <c:pt idx="50">
                  <c:v>56.987465835893886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FF3-4719-91D0-4CC87A3179E0}"/>
            </c:ext>
          </c:extLst>
        </c:ser>
        <c:ser>
          <c:idx val="24"/>
          <c:order val="24"/>
          <c:tx>
            <c:strRef>
              <c:f>グラフ!$AM$5</c:f>
              <c:strCache>
                <c:ptCount val="1"/>
                <c:pt idx="0">
                  <c:v>outer応力:Δ-10℃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グラフ!$AM$6:$AM$56</c:f>
              <c:numCache>
                <c:formatCode>0.0</c:formatCode>
                <c:ptCount val="51"/>
                <c:pt idx="0">
                  <c:v>151.77392401721215</c:v>
                </c:pt>
                <c:pt idx="1">
                  <c:v>149.6847259884749</c:v>
                </c:pt>
                <c:pt idx="2">
                  <c:v>147.59552795973761</c:v>
                </c:pt>
                <c:pt idx="3">
                  <c:v>145.50632993098571</c:v>
                </c:pt>
                <c:pt idx="4">
                  <c:v>143.4171319022557</c:v>
                </c:pt>
                <c:pt idx="5">
                  <c:v>141.32793387351117</c:v>
                </c:pt>
                <c:pt idx="6">
                  <c:v>139.23873584477386</c:v>
                </c:pt>
                <c:pt idx="7">
                  <c:v>137.14953781603654</c:v>
                </c:pt>
                <c:pt idx="8">
                  <c:v>135.06033978729195</c:v>
                </c:pt>
                <c:pt idx="9">
                  <c:v>132.97114175856925</c:v>
                </c:pt>
                <c:pt idx="10">
                  <c:v>130.88194372981741</c:v>
                </c:pt>
                <c:pt idx="11">
                  <c:v>128.79274570108009</c:v>
                </c:pt>
                <c:pt idx="12">
                  <c:v>126.70354767234281</c:v>
                </c:pt>
                <c:pt idx="13">
                  <c:v>124.61434964359823</c:v>
                </c:pt>
                <c:pt idx="14">
                  <c:v>122.52515161486821</c:v>
                </c:pt>
                <c:pt idx="15">
                  <c:v>120.43595358613092</c:v>
                </c:pt>
                <c:pt idx="16">
                  <c:v>118.34675555738635</c:v>
                </c:pt>
                <c:pt idx="17">
                  <c:v>116.25755752864906</c:v>
                </c:pt>
                <c:pt idx="18">
                  <c:v>114.16835949990447</c:v>
                </c:pt>
                <c:pt idx="19">
                  <c:v>112.07916147116717</c:v>
                </c:pt>
                <c:pt idx="20">
                  <c:v>109.98996344242258</c:v>
                </c:pt>
                <c:pt idx="21">
                  <c:v>107.90076541368531</c:v>
                </c:pt>
                <c:pt idx="22">
                  <c:v>105.81156738494801</c:v>
                </c:pt>
                <c:pt idx="23">
                  <c:v>103.722369356218</c:v>
                </c:pt>
                <c:pt idx="24">
                  <c:v>101.63317132747343</c:v>
                </c:pt>
                <c:pt idx="25">
                  <c:v>99.543973298736134</c:v>
                </c:pt>
                <c:pt idx="26">
                  <c:v>97.454775269998834</c:v>
                </c:pt>
                <c:pt idx="27">
                  <c:v>95.365577241254258</c:v>
                </c:pt>
                <c:pt idx="28">
                  <c:v>93.276379212516972</c:v>
                </c:pt>
                <c:pt idx="29">
                  <c:v>91.187181183772395</c:v>
                </c:pt>
                <c:pt idx="30">
                  <c:v>89.097983155042385</c:v>
                </c:pt>
                <c:pt idx="31">
                  <c:v>87.008785126290519</c:v>
                </c:pt>
                <c:pt idx="32">
                  <c:v>84.919587097575089</c:v>
                </c:pt>
                <c:pt idx="33">
                  <c:v>82.830389068823209</c:v>
                </c:pt>
                <c:pt idx="34">
                  <c:v>80.741191040085909</c:v>
                </c:pt>
                <c:pt idx="35">
                  <c:v>78.651993011348637</c:v>
                </c:pt>
                <c:pt idx="36">
                  <c:v>76.562794982604061</c:v>
                </c:pt>
                <c:pt idx="37">
                  <c:v>74.473596953874051</c:v>
                </c:pt>
                <c:pt idx="38">
                  <c:v>72.38439892512946</c:v>
                </c:pt>
                <c:pt idx="39">
                  <c:v>70.295200896392174</c:v>
                </c:pt>
                <c:pt idx="40">
                  <c:v>68.206002867647584</c:v>
                </c:pt>
                <c:pt idx="41">
                  <c:v>66.116804838910312</c:v>
                </c:pt>
                <c:pt idx="42">
                  <c:v>64.027606810180302</c:v>
                </c:pt>
                <c:pt idx="43">
                  <c:v>61.938408781435719</c:v>
                </c:pt>
                <c:pt idx="44">
                  <c:v>59.849210752691128</c:v>
                </c:pt>
                <c:pt idx="45">
                  <c:v>57.760012723961125</c:v>
                </c:pt>
                <c:pt idx="46">
                  <c:v>55.670814695209252</c:v>
                </c:pt>
                <c:pt idx="47">
                  <c:v>53.581616666479249</c:v>
                </c:pt>
                <c:pt idx="48">
                  <c:v>51.492418637741956</c:v>
                </c:pt>
                <c:pt idx="49">
                  <c:v>49.403220608997387</c:v>
                </c:pt>
                <c:pt idx="50">
                  <c:v>47.314022580260087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FF3-4719-91D0-4CC87A3179E0}"/>
            </c:ext>
          </c:extLst>
        </c:ser>
        <c:ser>
          <c:idx val="25"/>
          <c:order val="25"/>
          <c:tx>
            <c:strRef>
              <c:f>グラフ!$AN$5</c:f>
              <c:strCache>
                <c:ptCount val="1"/>
                <c:pt idx="0">
                  <c:v>outer応力:Δ0℃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グラフ!$AN$6:$AN$56</c:f>
              <c:numCache>
                <c:formatCode>0.0</c:formatCode>
                <c:ptCount val="51"/>
                <c:pt idx="0">
                  <c:v>142.10048076158566</c:v>
                </c:pt>
                <c:pt idx="1">
                  <c:v>140.0112827328411</c:v>
                </c:pt>
                <c:pt idx="2">
                  <c:v>137.92208470411109</c:v>
                </c:pt>
                <c:pt idx="3">
                  <c:v>135.83288667535922</c:v>
                </c:pt>
                <c:pt idx="4">
                  <c:v>133.74368864662191</c:v>
                </c:pt>
                <c:pt idx="5">
                  <c:v>131.65449061788462</c:v>
                </c:pt>
                <c:pt idx="6">
                  <c:v>129.56529258914003</c:v>
                </c:pt>
                <c:pt idx="7">
                  <c:v>127.47609456041005</c:v>
                </c:pt>
                <c:pt idx="8">
                  <c:v>125.38689653166547</c:v>
                </c:pt>
                <c:pt idx="9">
                  <c:v>123.29769850293548</c:v>
                </c:pt>
                <c:pt idx="10">
                  <c:v>121.20850047419088</c:v>
                </c:pt>
                <c:pt idx="11">
                  <c:v>119.11930244544628</c:v>
                </c:pt>
                <c:pt idx="12">
                  <c:v>117.03010441671628</c:v>
                </c:pt>
                <c:pt idx="13">
                  <c:v>114.94090638797171</c:v>
                </c:pt>
                <c:pt idx="14">
                  <c:v>112.85170835923442</c:v>
                </c:pt>
                <c:pt idx="15">
                  <c:v>110.76251033050441</c:v>
                </c:pt>
                <c:pt idx="16">
                  <c:v>108.67331230175255</c:v>
                </c:pt>
                <c:pt idx="17">
                  <c:v>106.58411427301523</c:v>
                </c:pt>
                <c:pt idx="18">
                  <c:v>104.49491624427796</c:v>
                </c:pt>
                <c:pt idx="19">
                  <c:v>102.40571821553337</c:v>
                </c:pt>
                <c:pt idx="20">
                  <c:v>100.3165201867961</c:v>
                </c:pt>
                <c:pt idx="21">
                  <c:v>98.227322158066087</c:v>
                </c:pt>
                <c:pt idx="22">
                  <c:v>96.138124129321511</c:v>
                </c:pt>
                <c:pt idx="23">
                  <c:v>94.048926100584211</c:v>
                </c:pt>
                <c:pt idx="24">
                  <c:v>91.959728071839621</c:v>
                </c:pt>
                <c:pt idx="25">
                  <c:v>89.870530043109625</c:v>
                </c:pt>
                <c:pt idx="26">
                  <c:v>87.781332014365034</c:v>
                </c:pt>
                <c:pt idx="27">
                  <c:v>85.692133985620458</c:v>
                </c:pt>
                <c:pt idx="28">
                  <c:v>83.602935956890448</c:v>
                </c:pt>
                <c:pt idx="29">
                  <c:v>81.513737928138582</c:v>
                </c:pt>
                <c:pt idx="30">
                  <c:v>79.424539899423152</c:v>
                </c:pt>
                <c:pt idx="31">
                  <c:v>77.3353418706713</c:v>
                </c:pt>
                <c:pt idx="32">
                  <c:v>75.24614384194129</c:v>
                </c:pt>
                <c:pt idx="33">
                  <c:v>73.1569458131967</c:v>
                </c:pt>
                <c:pt idx="34">
                  <c:v>71.067747784452123</c:v>
                </c:pt>
                <c:pt idx="35">
                  <c:v>68.978549755714837</c:v>
                </c:pt>
                <c:pt idx="36">
                  <c:v>66.889351726977537</c:v>
                </c:pt>
                <c:pt idx="37">
                  <c:v>64.800153698240237</c:v>
                </c:pt>
                <c:pt idx="38">
                  <c:v>62.710955669495661</c:v>
                </c:pt>
                <c:pt idx="39">
                  <c:v>60.621757640765658</c:v>
                </c:pt>
                <c:pt idx="40">
                  <c:v>58.532559612028372</c:v>
                </c:pt>
                <c:pt idx="41">
                  <c:v>56.443361583283789</c:v>
                </c:pt>
                <c:pt idx="42">
                  <c:v>54.354163554546489</c:v>
                </c:pt>
                <c:pt idx="43">
                  <c:v>52.264965525809203</c:v>
                </c:pt>
                <c:pt idx="44">
                  <c:v>50.175767497057336</c:v>
                </c:pt>
                <c:pt idx="45">
                  <c:v>48.086569468327326</c:v>
                </c:pt>
                <c:pt idx="46">
                  <c:v>45.99737143958275</c:v>
                </c:pt>
                <c:pt idx="47">
                  <c:v>43.90817341084545</c:v>
                </c:pt>
                <c:pt idx="48">
                  <c:v>41.818975382108164</c:v>
                </c:pt>
                <c:pt idx="49">
                  <c:v>39.729777353370871</c:v>
                </c:pt>
                <c:pt idx="50">
                  <c:v>37.640579324640868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FF3-4719-91D0-4CC87A3179E0}"/>
            </c:ext>
          </c:extLst>
        </c:ser>
        <c:ser>
          <c:idx val="26"/>
          <c:order val="26"/>
          <c:tx>
            <c:strRef>
              <c:f>グラフ!$AO$5</c:f>
              <c:strCache>
                <c:ptCount val="1"/>
                <c:pt idx="0">
                  <c:v>outer応力:Δ+10℃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グラフ!$AO$6:$AO$56</c:f>
              <c:numCache>
                <c:formatCode>0.0</c:formatCode>
                <c:ptCount val="51"/>
                <c:pt idx="0">
                  <c:v>132.42703750595916</c:v>
                </c:pt>
                <c:pt idx="1">
                  <c:v>130.33783947721457</c:v>
                </c:pt>
                <c:pt idx="2">
                  <c:v>128.24864144847729</c:v>
                </c:pt>
                <c:pt idx="3">
                  <c:v>126.15944341973271</c:v>
                </c:pt>
                <c:pt idx="4">
                  <c:v>124.07024539098812</c:v>
                </c:pt>
                <c:pt idx="5">
                  <c:v>121.98104736225811</c:v>
                </c:pt>
                <c:pt idx="6">
                  <c:v>119.89184933351353</c:v>
                </c:pt>
                <c:pt idx="7">
                  <c:v>117.80265130477623</c:v>
                </c:pt>
                <c:pt idx="8">
                  <c:v>115.71345327603896</c:v>
                </c:pt>
                <c:pt idx="9">
                  <c:v>113.62425524730166</c:v>
                </c:pt>
                <c:pt idx="10">
                  <c:v>111.53505721856435</c:v>
                </c:pt>
                <c:pt idx="11">
                  <c:v>109.44585918981979</c:v>
                </c:pt>
                <c:pt idx="12">
                  <c:v>107.3566611610825</c:v>
                </c:pt>
                <c:pt idx="13">
                  <c:v>105.2674631323452</c:v>
                </c:pt>
                <c:pt idx="14">
                  <c:v>103.17826510360064</c:v>
                </c:pt>
                <c:pt idx="15">
                  <c:v>101.08906707487063</c:v>
                </c:pt>
                <c:pt idx="16">
                  <c:v>98.999869046126022</c:v>
                </c:pt>
                <c:pt idx="17">
                  <c:v>96.910671017381446</c:v>
                </c:pt>
                <c:pt idx="18">
                  <c:v>94.821472988651436</c:v>
                </c:pt>
                <c:pt idx="19">
                  <c:v>92.73227495991415</c:v>
                </c:pt>
                <c:pt idx="20">
                  <c:v>90.643076931169574</c:v>
                </c:pt>
                <c:pt idx="21">
                  <c:v>88.553878902432288</c:v>
                </c:pt>
                <c:pt idx="22">
                  <c:v>86.464680873687698</c:v>
                </c:pt>
                <c:pt idx="23">
                  <c:v>84.375482844957688</c:v>
                </c:pt>
                <c:pt idx="24">
                  <c:v>82.286284816205836</c:v>
                </c:pt>
                <c:pt idx="25">
                  <c:v>80.197086787475826</c:v>
                </c:pt>
                <c:pt idx="26">
                  <c:v>78.10788875873854</c:v>
                </c:pt>
                <c:pt idx="27">
                  <c:v>76.018690729986659</c:v>
                </c:pt>
                <c:pt idx="28">
                  <c:v>73.929492701271244</c:v>
                </c:pt>
                <c:pt idx="29">
                  <c:v>71.840294672519363</c:v>
                </c:pt>
                <c:pt idx="30">
                  <c:v>69.751096643789367</c:v>
                </c:pt>
                <c:pt idx="31">
                  <c:v>67.661898615044763</c:v>
                </c:pt>
                <c:pt idx="32">
                  <c:v>65.572700586307491</c:v>
                </c:pt>
                <c:pt idx="33">
                  <c:v>63.4835025575629</c:v>
                </c:pt>
                <c:pt idx="34">
                  <c:v>61.394304528825614</c:v>
                </c:pt>
                <c:pt idx="35">
                  <c:v>59.305106500081038</c:v>
                </c:pt>
                <c:pt idx="36">
                  <c:v>57.215908471343752</c:v>
                </c:pt>
                <c:pt idx="37">
                  <c:v>55.126710442613742</c:v>
                </c:pt>
                <c:pt idx="38">
                  <c:v>53.037512413876442</c:v>
                </c:pt>
                <c:pt idx="39">
                  <c:v>50.948314385139156</c:v>
                </c:pt>
                <c:pt idx="40">
                  <c:v>48.859116356394573</c:v>
                </c:pt>
                <c:pt idx="41">
                  <c:v>46.769918327657273</c:v>
                </c:pt>
                <c:pt idx="42">
                  <c:v>44.680720298912703</c:v>
                </c:pt>
                <c:pt idx="43">
                  <c:v>42.591522270175403</c:v>
                </c:pt>
                <c:pt idx="44">
                  <c:v>40.50232424143082</c:v>
                </c:pt>
                <c:pt idx="45">
                  <c:v>38.413126212693534</c:v>
                </c:pt>
                <c:pt idx="46">
                  <c:v>36.323928183948951</c:v>
                </c:pt>
                <c:pt idx="47">
                  <c:v>34.234730155218948</c:v>
                </c:pt>
                <c:pt idx="48">
                  <c:v>32.145532126488945</c:v>
                </c:pt>
                <c:pt idx="49">
                  <c:v>30.056334097744362</c:v>
                </c:pt>
                <c:pt idx="50">
                  <c:v>27.967136069007068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FF3-4719-91D0-4CC87A3179E0}"/>
            </c:ext>
          </c:extLst>
        </c:ser>
        <c:ser>
          <c:idx val="27"/>
          <c:order val="27"/>
          <c:tx>
            <c:strRef>
              <c:f>グラフ!$AP$5</c:f>
              <c:strCache>
                <c:ptCount val="1"/>
                <c:pt idx="0">
                  <c:v>outer応力:Δ+20℃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グラフ!$AP$6:$AP$56</c:f>
              <c:numCache>
                <c:formatCode>0.0</c:formatCode>
                <c:ptCount val="51"/>
                <c:pt idx="0">
                  <c:v>122.75359425032536</c:v>
                </c:pt>
                <c:pt idx="1">
                  <c:v>120.66439622158808</c:v>
                </c:pt>
                <c:pt idx="2">
                  <c:v>118.57519819284349</c:v>
                </c:pt>
                <c:pt idx="3">
                  <c:v>116.48600016410619</c:v>
                </c:pt>
                <c:pt idx="4">
                  <c:v>114.39680213536161</c:v>
                </c:pt>
                <c:pt idx="5">
                  <c:v>112.30760410662432</c:v>
                </c:pt>
                <c:pt idx="6">
                  <c:v>110.21840607788702</c:v>
                </c:pt>
                <c:pt idx="7">
                  <c:v>108.12920804914246</c:v>
                </c:pt>
                <c:pt idx="8">
                  <c:v>106.04001002041245</c:v>
                </c:pt>
                <c:pt idx="9">
                  <c:v>103.95081199167515</c:v>
                </c:pt>
                <c:pt idx="10">
                  <c:v>101.86161396293056</c:v>
                </c:pt>
                <c:pt idx="11">
                  <c:v>99.772415934193276</c:v>
                </c:pt>
                <c:pt idx="12">
                  <c:v>97.683217905448686</c:v>
                </c:pt>
                <c:pt idx="13">
                  <c:v>95.594019876711414</c:v>
                </c:pt>
                <c:pt idx="14">
                  <c:v>93.504821847974114</c:v>
                </c:pt>
                <c:pt idx="15">
                  <c:v>91.415623819236814</c:v>
                </c:pt>
                <c:pt idx="16">
                  <c:v>89.326425790499528</c:v>
                </c:pt>
                <c:pt idx="17">
                  <c:v>87.237227761762227</c:v>
                </c:pt>
                <c:pt idx="18">
                  <c:v>85.148029733024941</c:v>
                </c:pt>
                <c:pt idx="19">
                  <c:v>83.058831704280365</c:v>
                </c:pt>
                <c:pt idx="20">
                  <c:v>80.969633675535775</c:v>
                </c:pt>
                <c:pt idx="21">
                  <c:v>78.880435646805779</c:v>
                </c:pt>
                <c:pt idx="22">
                  <c:v>76.791237618053898</c:v>
                </c:pt>
                <c:pt idx="23">
                  <c:v>74.702039589323888</c:v>
                </c:pt>
                <c:pt idx="24">
                  <c:v>72.612841560579312</c:v>
                </c:pt>
                <c:pt idx="25">
                  <c:v>70.523643531842026</c:v>
                </c:pt>
                <c:pt idx="26">
                  <c:v>68.434445503119321</c:v>
                </c:pt>
                <c:pt idx="27">
                  <c:v>66.34524747436744</c:v>
                </c:pt>
                <c:pt idx="28">
                  <c:v>64.25604944563743</c:v>
                </c:pt>
                <c:pt idx="29">
                  <c:v>62.166851416892854</c:v>
                </c:pt>
                <c:pt idx="30">
                  <c:v>60.077653388155561</c:v>
                </c:pt>
                <c:pt idx="31">
                  <c:v>57.988455359410992</c:v>
                </c:pt>
                <c:pt idx="32">
                  <c:v>55.899257330680982</c:v>
                </c:pt>
                <c:pt idx="33">
                  <c:v>53.810059301929108</c:v>
                </c:pt>
                <c:pt idx="34">
                  <c:v>51.720861273191822</c:v>
                </c:pt>
                <c:pt idx="35">
                  <c:v>49.631663244454529</c:v>
                </c:pt>
                <c:pt idx="36">
                  <c:v>47.542465215724519</c:v>
                </c:pt>
                <c:pt idx="37">
                  <c:v>45.453267186987226</c:v>
                </c:pt>
                <c:pt idx="38">
                  <c:v>43.36406915824265</c:v>
                </c:pt>
                <c:pt idx="39">
                  <c:v>41.27487112951264</c:v>
                </c:pt>
                <c:pt idx="40">
                  <c:v>39.185673100760773</c:v>
                </c:pt>
                <c:pt idx="41">
                  <c:v>37.09647507202348</c:v>
                </c:pt>
                <c:pt idx="42">
                  <c:v>35.007277043286194</c:v>
                </c:pt>
                <c:pt idx="43">
                  <c:v>32.918079014541611</c:v>
                </c:pt>
                <c:pt idx="44">
                  <c:v>30.828880985797028</c:v>
                </c:pt>
                <c:pt idx="45">
                  <c:v>28.739682957067021</c:v>
                </c:pt>
                <c:pt idx="46">
                  <c:v>26.650484928329735</c:v>
                </c:pt>
                <c:pt idx="47">
                  <c:v>24.561286899592439</c:v>
                </c:pt>
                <c:pt idx="48">
                  <c:v>22.472088870855149</c:v>
                </c:pt>
                <c:pt idx="49">
                  <c:v>20.382890842117856</c:v>
                </c:pt>
                <c:pt idx="50">
                  <c:v>18.293692813373273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FF3-4719-91D0-4CC87A3179E0}"/>
            </c:ext>
          </c:extLst>
        </c:ser>
        <c:ser>
          <c:idx val="28"/>
          <c:order val="28"/>
          <c:tx>
            <c:strRef>
              <c:f>グラフ!$AQ$5</c:f>
              <c:strCache>
                <c:ptCount val="1"/>
                <c:pt idx="0">
                  <c:v>outer応力:Δ+30℃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グラフ!$AQ$6:$AQ$56</c:f>
              <c:numCache>
                <c:formatCode>0.0</c:formatCode>
                <c:ptCount val="51"/>
                <c:pt idx="0">
                  <c:v>113.08015099469155</c:v>
                </c:pt>
                <c:pt idx="1">
                  <c:v>110.99095296596154</c:v>
                </c:pt>
                <c:pt idx="2">
                  <c:v>108.90175493721698</c:v>
                </c:pt>
                <c:pt idx="3">
                  <c:v>106.81255690847239</c:v>
                </c:pt>
                <c:pt idx="4">
                  <c:v>104.7233588797351</c:v>
                </c:pt>
                <c:pt idx="5">
                  <c:v>102.63416085099053</c:v>
                </c:pt>
                <c:pt idx="6">
                  <c:v>100.54496282226053</c:v>
                </c:pt>
                <c:pt idx="7">
                  <c:v>98.455764793515939</c:v>
                </c:pt>
                <c:pt idx="8">
                  <c:v>96.366566764778639</c:v>
                </c:pt>
                <c:pt idx="9">
                  <c:v>94.277368736048629</c:v>
                </c:pt>
                <c:pt idx="10">
                  <c:v>92.188170707296777</c:v>
                </c:pt>
                <c:pt idx="11">
                  <c:v>90.098972678559477</c:v>
                </c:pt>
                <c:pt idx="12">
                  <c:v>88.009774649822191</c:v>
                </c:pt>
                <c:pt idx="13">
                  <c:v>85.920576621077615</c:v>
                </c:pt>
                <c:pt idx="14">
                  <c:v>83.831378592347619</c:v>
                </c:pt>
                <c:pt idx="15">
                  <c:v>81.742180563617609</c:v>
                </c:pt>
                <c:pt idx="16">
                  <c:v>79.652982534873018</c:v>
                </c:pt>
                <c:pt idx="17">
                  <c:v>77.563784506128428</c:v>
                </c:pt>
                <c:pt idx="18">
                  <c:v>75.474586477391128</c:v>
                </c:pt>
                <c:pt idx="19">
                  <c:v>73.385388448653842</c:v>
                </c:pt>
                <c:pt idx="20">
                  <c:v>71.29619041990199</c:v>
                </c:pt>
                <c:pt idx="21">
                  <c:v>69.206992391171966</c:v>
                </c:pt>
                <c:pt idx="22">
                  <c:v>67.117794362427404</c:v>
                </c:pt>
                <c:pt idx="23">
                  <c:v>65.028596333690103</c:v>
                </c:pt>
                <c:pt idx="24">
                  <c:v>62.939398304960108</c:v>
                </c:pt>
                <c:pt idx="25">
                  <c:v>60.850200276222807</c:v>
                </c:pt>
                <c:pt idx="26">
                  <c:v>58.761002247485514</c:v>
                </c:pt>
                <c:pt idx="27">
                  <c:v>56.671804218740931</c:v>
                </c:pt>
                <c:pt idx="28">
                  <c:v>54.582606190003638</c:v>
                </c:pt>
                <c:pt idx="29">
                  <c:v>52.493408161259055</c:v>
                </c:pt>
                <c:pt idx="30">
                  <c:v>50.404210132529052</c:v>
                </c:pt>
                <c:pt idx="31">
                  <c:v>48.315012103777185</c:v>
                </c:pt>
                <c:pt idx="32">
                  <c:v>46.225814075047182</c:v>
                </c:pt>
                <c:pt idx="33">
                  <c:v>44.136616046302599</c:v>
                </c:pt>
                <c:pt idx="34">
                  <c:v>42.047418017572596</c:v>
                </c:pt>
                <c:pt idx="35">
                  <c:v>39.95821998882802</c:v>
                </c:pt>
                <c:pt idx="36">
                  <c:v>37.86902196009072</c:v>
                </c:pt>
                <c:pt idx="37">
                  <c:v>35.779823931360717</c:v>
                </c:pt>
                <c:pt idx="38">
                  <c:v>33.690625902608851</c:v>
                </c:pt>
                <c:pt idx="39">
                  <c:v>31.601427873878841</c:v>
                </c:pt>
                <c:pt idx="40">
                  <c:v>29.512229845134264</c:v>
                </c:pt>
                <c:pt idx="41">
                  <c:v>27.423031816389688</c:v>
                </c:pt>
                <c:pt idx="42">
                  <c:v>25.333833787652392</c:v>
                </c:pt>
                <c:pt idx="43">
                  <c:v>23.244635758915098</c:v>
                </c:pt>
                <c:pt idx="44">
                  <c:v>21.155437730177809</c:v>
                </c:pt>
                <c:pt idx="45">
                  <c:v>19.066239701440516</c:v>
                </c:pt>
                <c:pt idx="46">
                  <c:v>16.977041672695933</c:v>
                </c:pt>
                <c:pt idx="47">
                  <c:v>14.887843643965931</c:v>
                </c:pt>
                <c:pt idx="48">
                  <c:v>12.798645615221348</c:v>
                </c:pt>
                <c:pt idx="49">
                  <c:v>10.709447586484057</c:v>
                </c:pt>
                <c:pt idx="50">
                  <c:v>8.6202495577467655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FF3-4719-91D0-4CC87A3179E0}"/>
            </c:ext>
          </c:extLst>
        </c:ser>
        <c:ser>
          <c:idx val="29"/>
          <c:order val="29"/>
          <c:tx>
            <c:strRef>
              <c:f>グラフ!$AR$5</c:f>
              <c:strCache>
                <c:ptCount val="1"/>
                <c:pt idx="0">
                  <c:v>outer降伏点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グラフ!$AR$6:$AR$56</c:f>
              <c:numCache>
                <c:formatCode>0.0</c:formatCode>
                <c:ptCount val="51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150</c:v>
                </c:pt>
                <c:pt idx="17">
                  <c:v>150</c:v>
                </c:pt>
                <c:pt idx="18">
                  <c:v>150</c:v>
                </c:pt>
                <c:pt idx="19">
                  <c:v>150</c:v>
                </c:pt>
                <c:pt idx="20">
                  <c:v>150</c:v>
                </c:pt>
                <c:pt idx="21">
                  <c:v>150</c:v>
                </c:pt>
                <c:pt idx="22">
                  <c:v>150</c:v>
                </c:pt>
                <c:pt idx="23">
                  <c:v>150</c:v>
                </c:pt>
                <c:pt idx="24">
                  <c:v>150</c:v>
                </c:pt>
                <c:pt idx="25">
                  <c:v>150</c:v>
                </c:pt>
                <c:pt idx="26">
                  <c:v>150</c:v>
                </c:pt>
                <c:pt idx="27">
                  <c:v>150</c:v>
                </c:pt>
                <c:pt idx="28">
                  <c:v>150</c:v>
                </c:pt>
                <c:pt idx="29">
                  <c:v>150</c:v>
                </c:pt>
                <c:pt idx="30">
                  <c:v>150</c:v>
                </c:pt>
                <c:pt idx="31">
                  <c:v>150</c:v>
                </c:pt>
                <c:pt idx="32">
                  <c:v>150</c:v>
                </c:pt>
                <c:pt idx="33">
                  <c:v>150</c:v>
                </c:pt>
                <c:pt idx="34">
                  <c:v>150</c:v>
                </c:pt>
                <c:pt idx="35">
                  <c:v>150</c:v>
                </c:pt>
                <c:pt idx="36">
                  <c:v>150</c:v>
                </c:pt>
                <c:pt idx="37">
                  <c:v>150</c:v>
                </c:pt>
                <c:pt idx="38">
                  <c:v>150</c:v>
                </c:pt>
                <c:pt idx="39">
                  <c:v>150</c:v>
                </c:pt>
                <c:pt idx="40">
                  <c:v>150</c:v>
                </c:pt>
                <c:pt idx="41">
                  <c:v>150</c:v>
                </c:pt>
                <c:pt idx="42">
                  <c:v>150</c:v>
                </c:pt>
                <c:pt idx="43">
                  <c:v>150</c:v>
                </c:pt>
                <c:pt idx="44">
                  <c:v>150</c:v>
                </c:pt>
                <c:pt idx="45">
                  <c:v>150</c:v>
                </c:pt>
                <c:pt idx="46">
                  <c:v>150</c:v>
                </c:pt>
                <c:pt idx="47">
                  <c:v>150</c:v>
                </c:pt>
                <c:pt idx="48">
                  <c:v>150</c:v>
                </c:pt>
                <c:pt idx="49">
                  <c:v>150</c:v>
                </c:pt>
                <c:pt idx="50">
                  <c:v>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FF3-4719-91D0-4CC87A317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419104"/>
        <c:axId val="187840121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グラフ!$O$5</c15:sqref>
                        </c15:formulaRef>
                      </c:ext>
                    </c:extLst>
                    <c:strCache>
                      <c:ptCount val="1"/>
                      <c:pt idx="0">
                        <c:v>締め代：Δ-30℃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グラフ!$O$6:$O$56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0.16679667000000364</c:v>
                      </c:pt>
                      <c:pt idx="1">
                        <c:v>0.16476026499999818</c:v>
                      </c:pt>
                      <c:pt idx="2">
                        <c:v>0.16272385999999983</c:v>
                      </c:pt>
                      <c:pt idx="3">
                        <c:v>0.16068745500000148</c:v>
                      </c:pt>
                      <c:pt idx="4">
                        <c:v>0.15865104999999602</c:v>
                      </c:pt>
                      <c:pt idx="5">
                        <c:v>0.15661464499999767</c:v>
                      </c:pt>
                      <c:pt idx="6">
                        <c:v>0.15457823999999931</c:v>
                      </c:pt>
                      <c:pt idx="7">
                        <c:v>0.15254183499999385</c:v>
                      </c:pt>
                      <c:pt idx="8">
                        <c:v>0.1505054300000026</c:v>
                      </c:pt>
                      <c:pt idx="9">
                        <c:v>0.14846902500000425</c:v>
                      </c:pt>
                      <c:pt idx="10">
                        <c:v>0.14643261999999879</c:v>
                      </c:pt>
                      <c:pt idx="11">
                        <c:v>0.14439621500000044</c:v>
                      </c:pt>
                      <c:pt idx="12">
                        <c:v>0.14235980999999498</c:v>
                      </c:pt>
                      <c:pt idx="13">
                        <c:v>0.14032340500000373</c:v>
                      </c:pt>
                      <c:pt idx="14">
                        <c:v>0.13828699999999827</c:v>
                      </c:pt>
                      <c:pt idx="15">
                        <c:v>0.13625059500000702</c:v>
                      </c:pt>
                      <c:pt idx="16">
                        <c:v>0.13421419000000157</c:v>
                      </c:pt>
                      <c:pt idx="17">
                        <c:v>0.13217778499999611</c:v>
                      </c:pt>
                      <c:pt idx="18">
                        <c:v>0.13014138000000486</c:v>
                      </c:pt>
                      <c:pt idx="19">
                        <c:v>0.1281049749999994</c:v>
                      </c:pt>
                      <c:pt idx="20">
                        <c:v>0.12606856999999394</c:v>
                      </c:pt>
                      <c:pt idx="21">
                        <c:v>0.12403216500000269</c:v>
                      </c:pt>
                      <c:pt idx="22">
                        <c:v>0.12199575999999013</c:v>
                      </c:pt>
                      <c:pt idx="23">
                        <c:v>0.11995935499999888</c:v>
                      </c:pt>
                      <c:pt idx="24">
                        <c:v>0.11792294999999342</c:v>
                      </c:pt>
                      <c:pt idx="25">
                        <c:v>0.11588654499999507</c:v>
                      </c:pt>
                      <c:pt idx="26">
                        <c:v>0.11385014000000382</c:v>
                      </c:pt>
                      <c:pt idx="27">
                        <c:v>0.11181373499999836</c:v>
                      </c:pt>
                      <c:pt idx="28">
                        <c:v>0.10977733000000711</c:v>
                      </c:pt>
                      <c:pt idx="29">
                        <c:v>0.10774092499999455</c:v>
                      </c:pt>
                      <c:pt idx="30">
                        <c:v>0.1057045200000033</c:v>
                      </c:pt>
                      <c:pt idx="31">
                        <c:v>0.10366811499999784</c:v>
                      </c:pt>
                      <c:pt idx="32">
                        <c:v>0.10163170999999949</c:v>
                      </c:pt>
                      <c:pt idx="33">
                        <c:v>9.9595304999994028E-2</c:v>
                      </c:pt>
                      <c:pt idx="34">
                        <c:v>9.7558899999995674E-2</c:v>
                      </c:pt>
                      <c:pt idx="35">
                        <c:v>9.5522494999990215E-2</c:v>
                      </c:pt>
                      <c:pt idx="36">
                        <c:v>9.3486090000006072E-2</c:v>
                      </c:pt>
                      <c:pt idx="37">
                        <c:v>9.1449685000007719E-2</c:v>
                      </c:pt>
                      <c:pt idx="38">
                        <c:v>8.941328000000226E-2</c:v>
                      </c:pt>
                      <c:pt idx="39">
                        <c:v>8.7376875000011012E-2</c:v>
                      </c:pt>
                      <c:pt idx="40">
                        <c:v>8.5340469999998447E-2</c:v>
                      </c:pt>
                      <c:pt idx="41">
                        <c:v>8.3304065000000094E-2</c:v>
                      </c:pt>
                      <c:pt idx="42">
                        <c:v>8.126766000000174E-2</c:v>
                      </c:pt>
                      <c:pt idx="43">
                        <c:v>7.9231254999996281E-2</c:v>
                      </c:pt>
                      <c:pt idx="44">
                        <c:v>7.7194849999990822E-2</c:v>
                      </c:pt>
                      <c:pt idx="45">
                        <c:v>7.5158444999999574E-2</c:v>
                      </c:pt>
                      <c:pt idx="46">
                        <c:v>7.3122040000001221E-2</c:v>
                      </c:pt>
                      <c:pt idx="47">
                        <c:v>7.1085635000002867E-2</c:v>
                      </c:pt>
                      <c:pt idx="48">
                        <c:v>6.9049230000004513E-2</c:v>
                      </c:pt>
                      <c:pt idx="49">
                        <c:v>6.701282500000616E-2</c:v>
                      </c:pt>
                      <c:pt idx="50">
                        <c:v>6.4976420000000701E-2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8FF3-4719-91D0-4CC87A3179E0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グラフ!$P$5</c15:sqref>
                        </c15:formulaRef>
                      </c:ext>
                    </c:extLst>
                    <c:strCache>
                      <c:ptCount val="1"/>
                      <c:pt idx="0">
                        <c:v>締め代：Δ-20℃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グラフ!$P$6:$P$56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0.15736766999999929</c:v>
                      </c:pt>
                      <c:pt idx="1">
                        <c:v>0.15533126500000805</c:v>
                      </c:pt>
                      <c:pt idx="2">
                        <c:v>0.15329486000000259</c:v>
                      </c:pt>
                      <c:pt idx="3">
                        <c:v>0.15125845499999713</c:v>
                      </c:pt>
                      <c:pt idx="4">
                        <c:v>0.14922204999999877</c:v>
                      </c:pt>
                      <c:pt idx="5">
                        <c:v>0.14718564499999331</c:v>
                      </c:pt>
                      <c:pt idx="6">
                        <c:v>0.14514924000000207</c:v>
                      </c:pt>
                      <c:pt idx="7">
                        <c:v>0.14311283499999661</c:v>
                      </c:pt>
                      <c:pt idx="8">
                        <c:v>0.14107642999999825</c:v>
                      </c:pt>
                      <c:pt idx="9">
                        <c:v>0.13904002500000701</c:v>
                      </c:pt>
                      <c:pt idx="10">
                        <c:v>0.13700361999999444</c:v>
                      </c:pt>
                      <c:pt idx="11">
                        <c:v>0.13496721500000319</c:v>
                      </c:pt>
                      <c:pt idx="12">
                        <c:v>0.13293080999999773</c:v>
                      </c:pt>
                      <c:pt idx="13">
                        <c:v>0.13089440499999938</c:v>
                      </c:pt>
                      <c:pt idx="14">
                        <c:v>0.12885800000000103</c:v>
                      </c:pt>
                      <c:pt idx="15">
                        <c:v>0.12682159500000267</c:v>
                      </c:pt>
                      <c:pt idx="16">
                        <c:v>0.12478519000000432</c:v>
                      </c:pt>
                      <c:pt idx="17">
                        <c:v>0.12274878499999886</c:v>
                      </c:pt>
                      <c:pt idx="18">
                        <c:v>0.12071238000000051</c:v>
                      </c:pt>
                      <c:pt idx="19">
                        <c:v>0.11867597500000215</c:v>
                      </c:pt>
                      <c:pt idx="20">
                        <c:v>0.11663956999998959</c:v>
                      </c:pt>
                      <c:pt idx="21">
                        <c:v>0.11460316499999834</c:v>
                      </c:pt>
                      <c:pt idx="22">
                        <c:v>0.11256675999999288</c:v>
                      </c:pt>
                      <c:pt idx="23">
                        <c:v>0.11053035499999453</c:v>
                      </c:pt>
                      <c:pt idx="24">
                        <c:v>0.10849394999999618</c:v>
                      </c:pt>
                      <c:pt idx="25">
                        <c:v>0.10645754500000493</c:v>
                      </c:pt>
                      <c:pt idx="26">
                        <c:v>0.10442114000000657</c:v>
                      </c:pt>
                      <c:pt idx="27">
                        <c:v>0.10238473499999401</c:v>
                      </c:pt>
                      <c:pt idx="28">
                        <c:v>0.10034833000000276</c:v>
                      </c:pt>
                      <c:pt idx="29">
                        <c:v>9.8311924999997302E-2</c:v>
                      </c:pt>
                      <c:pt idx="30">
                        <c:v>9.6275519999998949E-2</c:v>
                      </c:pt>
                      <c:pt idx="31">
                        <c:v>9.423911499999349E-2</c:v>
                      </c:pt>
                      <c:pt idx="32">
                        <c:v>9.2202710000002241E-2</c:v>
                      </c:pt>
                      <c:pt idx="33">
                        <c:v>9.0166304999989677E-2</c:v>
                      </c:pt>
                      <c:pt idx="34">
                        <c:v>8.8129900000005534E-2</c:v>
                      </c:pt>
                      <c:pt idx="35">
                        <c:v>8.6093495000000075E-2</c:v>
                      </c:pt>
                      <c:pt idx="36">
                        <c:v>8.4057090000001722E-2</c:v>
                      </c:pt>
                      <c:pt idx="37">
                        <c:v>8.2020685000010474E-2</c:v>
                      </c:pt>
                      <c:pt idx="38">
                        <c:v>7.9984279999997909E-2</c:v>
                      </c:pt>
                      <c:pt idx="39">
                        <c:v>7.7947875000006661E-2</c:v>
                      </c:pt>
                      <c:pt idx="40">
                        <c:v>7.5911470000001202E-2</c:v>
                      </c:pt>
                      <c:pt idx="41">
                        <c:v>7.3875064999995743E-2</c:v>
                      </c:pt>
                      <c:pt idx="42">
                        <c:v>7.183865999999739E-2</c:v>
                      </c:pt>
                      <c:pt idx="43">
                        <c:v>6.9802254999999036E-2</c:v>
                      </c:pt>
                      <c:pt idx="44">
                        <c:v>6.7765850000000682E-2</c:v>
                      </c:pt>
                      <c:pt idx="45">
                        <c:v>6.5729445000002329E-2</c:v>
                      </c:pt>
                      <c:pt idx="46">
                        <c:v>6.369303999999687E-2</c:v>
                      </c:pt>
                      <c:pt idx="47">
                        <c:v>6.1656635000005622E-2</c:v>
                      </c:pt>
                      <c:pt idx="48">
                        <c:v>5.9620230000000163E-2</c:v>
                      </c:pt>
                      <c:pt idx="49">
                        <c:v>5.7583825000001809E-2</c:v>
                      </c:pt>
                      <c:pt idx="50">
                        <c:v>5.5547420000003456E-2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8FF3-4719-91D0-4CC87A3179E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グラフ!$Q$5</c15:sqref>
                        </c15:formulaRef>
                      </c:ext>
                    </c:extLst>
                    <c:strCache>
                      <c:ptCount val="1"/>
                      <c:pt idx="0">
                        <c:v>締め代：Δ-10℃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グラフ!$Q$6:$Q$56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0.14793867000000205</c:v>
                      </c:pt>
                      <c:pt idx="1">
                        <c:v>0.14590226500000369</c:v>
                      </c:pt>
                      <c:pt idx="2">
                        <c:v>0.14386586000000534</c:v>
                      </c:pt>
                      <c:pt idx="3">
                        <c:v>0.14182945499999278</c:v>
                      </c:pt>
                      <c:pt idx="4">
                        <c:v>0.13979305000000153</c:v>
                      </c:pt>
                      <c:pt idx="5">
                        <c:v>0.13775664499999607</c:v>
                      </c:pt>
                      <c:pt idx="6">
                        <c:v>0.13572023999999772</c:v>
                      </c:pt>
                      <c:pt idx="7">
                        <c:v>0.13368383499999936</c:v>
                      </c:pt>
                      <c:pt idx="8">
                        <c:v>0.1316474299999939</c:v>
                      </c:pt>
                      <c:pt idx="9">
                        <c:v>0.12961102500000976</c:v>
                      </c:pt>
                      <c:pt idx="10">
                        <c:v>0.1275746199999972</c:v>
                      </c:pt>
                      <c:pt idx="11">
                        <c:v>0.12553821499999884</c:v>
                      </c:pt>
                      <c:pt idx="12">
                        <c:v>0.12350181000000049</c:v>
                      </c:pt>
                      <c:pt idx="13">
                        <c:v>0.12146540499999503</c:v>
                      </c:pt>
                      <c:pt idx="14">
                        <c:v>0.11942900000000378</c:v>
                      </c:pt>
                      <c:pt idx="15">
                        <c:v>0.11739259500000543</c:v>
                      </c:pt>
                      <c:pt idx="16">
                        <c:v>0.11535618999999997</c:v>
                      </c:pt>
                      <c:pt idx="17">
                        <c:v>0.11331978500000162</c:v>
                      </c:pt>
                      <c:pt idx="18">
                        <c:v>0.11128337999999616</c:v>
                      </c:pt>
                      <c:pt idx="19">
                        <c:v>0.1092469749999978</c:v>
                      </c:pt>
                      <c:pt idx="20">
                        <c:v>0.10721056999999234</c:v>
                      </c:pt>
                      <c:pt idx="21">
                        <c:v>0.10517416499999399</c:v>
                      </c:pt>
                      <c:pt idx="22">
                        <c:v>0.10313775999999564</c:v>
                      </c:pt>
                      <c:pt idx="23">
                        <c:v>0.10110135500000439</c:v>
                      </c:pt>
                      <c:pt idx="24">
                        <c:v>9.906494999999893E-2</c:v>
                      </c:pt>
                      <c:pt idx="25">
                        <c:v>9.7028545000000577E-2</c:v>
                      </c:pt>
                      <c:pt idx="26">
                        <c:v>9.4992140000002223E-2</c:v>
                      </c:pt>
                      <c:pt idx="27">
                        <c:v>9.2955734999996764E-2</c:v>
                      </c:pt>
                      <c:pt idx="28">
                        <c:v>9.0919329999998411E-2</c:v>
                      </c:pt>
                      <c:pt idx="29">
                        <c:v>8.8882924999992952E-2</c:v>
                      </c:pt>
                      <c:pt idx="30">
                        <c:v>8.6846520000001703E-2</c:v>
                      </c:pt>
                      <c:pt idx="31">
                        <c:v>8.4810114999989139E-2</c:v>
                      </c:pt>
                      <c:pt idx="32">
                        <c:v>8.2773710000012102E-2</c:v>
                      </c:pt>
                      <c:pt idx="33">
                        <c:v>8.0737304999999537E-2</c:v>
                      </c:pt>
                      <c:pt idx="34">
                        <c:v>7.8700900000001184E-2</c:v>
                      </c:pt>
                      <c:pt idx="35">
                        <c:v>7.666449500000283E-2</c:v>
                      </c:pt>
                      <c:pt idx="36">
                        <c:v>7.4628089999997371E-2</c:v>
                      </c:pt>
                      <c:pt idx="37">
                        <c:v>7.2591685000006123E-2</c:v>
                      </c:pt>
                      <c:pt idx="38">
                        <c:v>7.0555280000000664E-2</c:v>
                      </c:pt>
                      <c:pt idx="39">
                        <c:v>6.8518875000002311E-2</c:v>
                      </c:pt>
                      <c:pt idx="40">
                        <c:v>6.6482469999996852E-2</c:v>
                      </c:pt>
                      <c:pt idx="41">
                        <c:v>6.4446064999998498E-2</c:v>
                      </c:pt>
                      <c:pt idx="42">
                        <c:v>6.240966000000725E-2</c:v>
                      </c:pt>
                      <c:pt idx="43">
                        <c:v>6.0373255000001791E-2</c:v>
                      </c:pt>
                      <c:pt idx="44">
                        <c:v>5.8336849999996332E-2</c:v>
                      </c:pt>
                      <c:pt idx="45">
                        <c:v>5.6300445000005084E-2</c:v>
                      </c:pt>
                      <c:pt idx="46">
                        <c:v>5.4264039999992519E-2</c:v>
                      </c:pt>
                      <c:pt idx="47">
                        <c:v>5.2227635000001271E-2</c:v>
                      </c:pt>
                      <c:pt idx="48">
                        <c:v>5.0191230000002918E-2</c:v>
                      </c:pt>
                      <c:pt idx="49">
                        <c:v>4.8154824999997459E-2</c:v>
                      </c:pt>
                      <c:pt idx="50">
                        <c:v>4.6118419999999105E-2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8FF3-4719-91D0-4CC87A3179E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グラフ!$R$5</c15:sqref>
                        </c15:formulaRef>
                      </c:ext>
                    </c:extLst>
                    <c:strCache>
                      <c:ptCount val="1"/>
                      <c:pt idx="0">
                        <c:v>締め代：Δ0℃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グラフ!$R$6:$R$56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0.1385096700000048</c:v>
                      </c:pt>
                      <c:pt idx="1">
                        <c:v>0.13647326499999934</c:v>
                      </c:pt>
                      <c:pt idx="2">
                        <c:v>0.1344368600000081</c:v>
                      </c:pt>
                      <c:pt idx="3">
                        <c:v>0.13240045499999553</c:v>
                      </c:pt>
                      <c:pt idx="4">
                        <c:v>0.13036404999999718</c:v>
                      </c:pt>
                      <c:pt idx="5">
                        <c:v>0.12832764499999882</c:v>
                      </c:pt>
                      <c:pt idx="6">
                        <c:v>0.12629123999999337</c:v>
                      </c:pt>
                      <c:pt idx="7">
                        <c:v>0.12425483500000212</c:v>
                      </c:pt>
                      <c:pt idx="8">
                        <c:v>0.12221842999999666</c:v>
                      </c:pt>
                      <c:pt idx="9">
                        <c:v>0.12018202500000541</c:v>
                      </c:pt>
                      <c:pt idx="10">
                        <c:v>0.11814561999999995</c:v>
                      </c:pt>
                      <c:pt idx="11">
                        <c:v>0.11610921499999449</c:v>
                      </c:pt>
                      <c:pt idx="12">
                        <c:v>0.11407281000000324</c:v>
                      </c:pt>
                      <c:pt idx="13">
                        <c:v>0.11203640499999779</c:v>
                      </c:pt>
                      <c:pt idx="14">
                        <c:v>0.10999999999999943</c:v>
                      </c:pt>
                      <c:pt idx="15">
                        <c:v>0.10796359500000818</c:v>
                      </c:pt>
                      <c:pt idx="16">
                        <c:v>0.10592718999999562</c:v>
                      </c:pt>
                      <c:pt idx="17">
                        <c:v>0.10389078499999727</c:v>
                      </c:pt>
                      <c:pt idx="18">
                        <c:v>0.10185437999999891</c:v>
                      </c:pt>
                      <c:pt idx="19">
                        <c:v>9.9817974999993453E-2</c:v>
                      </c:pt>
                      <c:pt idx="20">
                        <c:v>9.7781569999995099E-2</c:v>
                      </c:pt>
                      <c:pt idx="21">
                        <c:v>9.5745165000003851E-2</c:v>
                      </c:pt>
                      <c:pt idx="22">
                        <c:v>9.3708759999998392E-2</c:v>
                      </c:pt>
                      <c:pt idx="23">
                        <c:v>9.1672355000000039E-2</c:v>
                      </c:pt>
                      <c:pt idx="24">
                        <c:v>8.963594999999458E-2</c:v>
                      </c:pt>
                      <c:pt idx="25">
                        <c:v>8.7599545000003332E-2</c:v>
                      </c:pt>
                      <c:pt idx="26">
                        <c:v>8.5563139999997873E-2</c:v>
                      </c:pt>
                      <c:pt idx="27">
                        <c:v>8.3526734999992414E-2</c:v>
                      </c:pt>
                      <c:pt idx="28">
                        <c:v>8.1490330000001165E-2</c:v>
                      </c:pt>
                      <c:pt idx="29">
                        <c:v>7.9453924999988601E-2</c:v>
                      </c:pt>
                      <c:pt idx="30">
                        <c:v>7.7417520000011564E-2</c:v>
                      </c:pt>
                      <c:pt idx="31">
                        <c:v>7.5381114999998999E-2</c:v>
                      </c:pt>
                      <c:pt idx="32">
                        <c:v>7.3344710000007751E-2</c:v>
                      </c:pt>
                      <c:pt idx="33">
                        <c:v>7.1308305000002292E-2</c:v>
                      </c:pt>
                      <c:pt idx="34">
                        <c:v>6.9271899999996833E-2</c:v>
                      </c:pt>
                      <c:pt idx="35">
                        <c:v>6.723549499999848E-2</c:v>
                      </c:pt>
                      <c:pt idx="36">
                        <c:v>6.5199090000000126E-2</c:v>
                      </c:pt>
                      <c:pt idx="37">
                        <c:v>6.3162685000001773E-2</c:v>
                      </c:pt>
                      <c:pt idx="38">
                        <c:v>6.1126279999996314E-2</c:v>
                      </c:pt>
                      <c:pt idx="39">
                        <c:v>5.9089875000005065E-2</c:v>
                      </c:pt>
                      <c:pt idx="40">
                        <c:v>5.7053470000006712E-2</c:v>
                      </c:pt>
                      <c:pt idx="41">
                        <c:v>5.5017065000001253E-2</c:v>
                      </c:pt>
                      <c:pt idx="42">
                        <c:v>5.2980660000002899E-2</c:v>
                      </c:pt>
                      <c:pt idx="43">
                        <c:v>5.0944255000004546E-2</c:v>
                      </c:pt>
                      <c:pt idx="44">
                        <c:v>4.8907849999991981E-2</c:v>
                      </c:pt>
                      <c:pt idx="45">
                        <c:v>4.6871445000000733E-2</c:v>
                      </c:pt>
                      <c:pt idx="46">
                        <c:v>4.4835039999995274E-2</c:v>
                      </c:pt>
                      <c:pt idx="47">
                        <c:v>4.2798634999996921E-2</c:v>
                      </c:pt>
                      <c:pt idx="48">
                        <c:v>4.0762229999998567E-2</c:v>
                      </c:pt>
                      <c:pt idx="49">
                        <c:v>3.8725825000000214E-2</c:v>
                      </c:pt>
                      <c:pt idx="50">
                        <c:v>3.6689420000008965E-2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8FF3-4719-91D0-4CC87A3179E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グラフ!$S$5</c15:sqref>
                        </c15:formulaRef>
                      </c:ext>
                    </c:extLst>
                    <c:strCache>
                      <c:ptCount val="1"/>
                      <c:pt idx="0">
                        <c:v>締め代：Δ+10℃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グラフ!$S$6:$S$56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0.12908067000000756</c:v>
                      </c:pt>
                      <c:pt idx="1">
                        <c:v>0.1270442650000021</c:v>
                      </c:pt>
                      <c:pt idx="2">
                        <c:v>0.12500786000000375</c:v>
                      </c:pt>
                      <c:pt idx="3">
                        <c:v>0.12297145499999829</c:v>
                      </c:pt>
                      <c:pt idx="4">
                        <c:v>0.12093504999999283</c:v>
                      </c:pt>
                      <c:pt idx="5">
                        <c:v>0.11889864500000158</c:v>
                      </c:pt>
                      <c:pt idx="6">
                        <c:v>0.11686223999999612</c:v>
                      </c:pt>
                      <c:pt idx="7">
                        <c:v>0.11482583499999777</c:v>
                      </c:pt>
                      <c:pt idx="8">
                        <c:v>0.11278942999999941</c:v>
                      </c:pt>
                      <c:pt idx="9">
                        <c:v>0.11075302500000106</c:v>
                      </c:pt>
                      <c:pt idx="10">
                        <c:v>0.10871662000000271</c:v>
                      </c:pt>
                      <c:pt idx="11">
                        <c:v>0.10668021499999725</c:v>
                      </c:pt>
                      <c:pt idx="12">
                        <c:v>0.10464380999999889</c:v>
                      </c:pt>
                      <c:pt idx="13">
                        <c:v>0.10260740500000054</c:v>
                      </c:pt>
                      <c:pt idx="14">
                        <c:v>0.10057099999999508</c:v>
                      </c:pt>
                      <c:pt idx="15">
                        <c:v>9.8534595000003833E-2</c:v>
                      </c:pt>
                      <c:pt idx="16">
                        <c:v>9.6498189999998374E-2</c:v>
                      </c:pt>
                      <c:pt idx="17">
                        <c:v>9.4461784999992915E-2</c:v>
                      </c:pt>
                      <c:pt idx="18">
                        <c:v>9.2425380000001667E-2</c:v>
                      </c:pt>
                      <c:pt idx="19">
                        <c:v>9.0388975000003313E-2</c:v>
                      </c:pt>
                      <c:pt idx="20">
                        <c:v>8.8352569999997854E-2</c:v>
                      </c:pt>
                      <c:pt idx="21">
                        <c:v>8.6316164999999501E-2</c:v>
                      </c:pt>
                      <c:pt idx="22">
                        <c:v>8.4279759999994042E-2</c:v>
                      </c:pt>
                      <c:pt idx="23">
                        <c:v>8.2243355000002794E-2</c:v>
                      </c:pt>
                      <c:pt idx="24">
                        <c:v>8.0206949999990229E-2</c:v>
                      </c:pt>
                      <c:pt idx="25">
                        <c:v>7.8170544999998981E-2</c:v>
                      </c:pt>
                      <c:pt idx="26">
                        <c:v>7.6134140000000627E-2</c:v>
                      </c:pt>
                      <c:pt idx="27">
                        <c:v>7.4097734999988063E-2</c:v>
                      </c:pt>
                      <c:pt idx="28">
                        <c:v>7.2061330000011026E-2</c:v>
                      </c:pt>
                      <c:pt idx="29">
                        <c:v>7.0024924999998461E-2</c:v>
                      </c:pt>
                      <c:pt idx="30">
                        <c:v>6.7988520000007213E-2</c:v>
                      </c:pt>
                      <c:pt idx="31">
                        <c:v>6.5952115000001754E-2</c:v>
                      </c:pt>
                      <c:pt idx="32">
                        <c:v>6.3915710000003401E-2</c:v>
                      </c:pt>
                      <c:pt idx="33">
                        <c:v>6.1879304999997942E-2</c:v>
                      </c:pt>
                      <c:pt idx="34">
                        <c:v>5.9842899999999588E-2</c:v>
                      </c:pt>
                      <c:pt idx="35">
                        <c:v>5.7806494999994129E-2</c:v>
                      </c:pt>
                      <c:pt idx="36">
                        <c:v>5.5770089999995776E-2</c:v>
                      </c:pt>
                      <c:pt idx="37">
                        <c:v>5.3733685000004527E-2</c:v>
                      </c:pt>
                      <c:pt idx="38">
                        <c:v>5.1697280000006174E-2</c:v>
                      </c:pt>
                      <c:pt idx="39">
                        <c:v>4.966087500000782E-2</c:v>
                      </c:pt>
                      <c:pt idx="40">
                        <c:v>4.7624470000002361E-2</c:v>
                      </c:pt>
                      <c:pt idx="41">
                        <c:v>4.5588065000004008E-2</c:v>
                      </c:pt>
                      <c:pt idx="42">
                        <c:v>4.3551659999998549E-2</c:v>
                      </c:pt>
                      <c:pt idx="43">
                        <c:v>4.1515255000000195E-2</c:v>
                      </c:pt>
                      <c:pt idx="44">
                        <c:v>3.9478849999994736E-2</c:v>
                      </c:pt>
                      <c:pt idx="45">
                        <c:v>3.7442444999996383E-2</c:v>
                      </c:pt>
                      <c:pt idx="46">
                        <c:v>3.5406039999990924E-2</c:v>
                      </c:pt>
                      <c:pt idx="47">
                        <c:v>3.3369634999999676E-2</c:v>
                      </c:pt>
                      <c:pt idx="48">
                        <c:v>3.1333230000008427E-2</c:v>
                      </c:pt>
                      <c:pt idx="49">
                        <c:v>2.9296825000002968E-2</c:v>
                      </c:pt>
                      <c:pt idx="50">
                        <c:v>2.7260420000004615E-2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8FF3-4719-91D0-4CC87A3179E0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グラフ!$T$5</c15:sqref>
                        </c15:formulaRef>
                      </c:ext>
                    </c:extLst>
                    <c:strCache>
                      <c:ptCount val="1"/>
                      <c:pt idx="0">
                        <c:v>締め代：Δ+20℃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グラフ!$T$6:$T$56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0.11965167000000321</c:v>
                      </c:pt>
                      <c:pt idx="1">
                        <c:v>0.11761526500000485</c:v>
                      </c:pt>
                      <c:pt idx="2">
                        <c:v>0.11557885999999939</c:v>
                      </c:pt>
                      <c:pt idx="3">
                        <c:v>0.11354245500000104</c:v>
                      </c:pt>
                      <c:pt idx="4">
                        <c:v>0.11150604999999558</c:v>
                      </c:pt>
                      <c:pt idx="5">
                        <c:v>0.10946964499999723</c:v>
                      </c:pt>
                      <c:pt idx="6">
                        <c:v>0.10743323999999888</c:v>
                      </c:pt>
                      <c:pt idx="7">
                        <c:v>0.10539683499999342</c:v>
                      </c:pt>
                      <c:pt idx="8">
                        <c:v>0.10336043000000217</c:v>
                      </c:pt>
                      <c:pt idx="9">
                        <c:v>0.10132402500000381</c:v>
                      </c:pt>
                      <c:pt idx="10">
                        <c:v>9.9287619999998356E-2</c:v>
                      </c:pt>
                      <c:pt idx="11">
                        <c:v>9.7251215000000002E-2</c:v>
                      </c:pt>
                      <c:pt idx="12">
                        <c:v>9.5214809999994543E-2</c:v>
                      </c:pt>
                      <c:pt idx="13">
                        <c:v>9.3178404999996189E-2</c:v>
                      </c:pt>
                      <c:pt idx="14">
                        <c:v>9.1141999999997836E-2</c:v>
                      </c:pt>
                      <c:pt idx="15">
                        <c:v>8.9105594999999482E-2</c:v>
                      </c:pt>
                      <c:pt idx="16">
                        <c:v>8.7069190000001129E-2</c:v>
                      </c:pt>
                      <c:pt idx="17">
                        <c:v>8.5032785000002775E-2</c:v>
                      </c:pt>
                      <c:pt idx="18">
                        <c:v>8.2996380000004422E-2</c:v>
                      </c:pt>
                      <c:pt idx="19">
                        <c:v>8.0959974999998963E-2</c:v>
                      </c:pt>
                      <c:pt idx="20">
                        <c:v>7.8923569999993504E-2</c:v>
                      </c:pt>
                      <c:pt idx="21">
                        <c:v>7.6887165000002256E-2</c:v>
                      </c:pt>
                      <c:pt idx="22">
                        <c:v>7.4850759999989691E-2</c:v>
                      </c:pt>
                      <c:pt idx="23">
                        <c:v>7.2814354999998443E-2</c:v>
                      </c:pt>
                      <c:pt idx="24">
                        <c:v>7.0777949999992984E-2</c:v>
                      </c:pt>
                      <c:pt idx="25">
                        <c:v>6.874154499999463E-2</c:v>
                      </c:pt>
                      <c:pt idx="26">
                        <c:v>6.6705140000010488E-2</c:v>
                      </c:pt>
                      <c:pt idx="27">
                        <c:v>6.4668734999997923E-2</c:v>
                      </c:pt>
                      <c:pt idx="28">
                        <c:v>6.2632330000006675E-2</c:v>
                      </c:pt>
                      <c:pt idx="29">
                        <c:v>6.0595925000001216E-2</c:v>
                      </c:pt>
                      <c:pt idx="30">
                        <c:v>5.8559520000002863E-2</c:v>
                      </c:pt>
                      <c:pt idx="31">
                        <c:v>5.6523114999997404E-2</c:v>
                      </c:pt>
                      <c:pt idx="32">
                        <c:v>5.4486710000006155E-2</c:v>
                      </c:pt>
                      <c:pt idx="33">
                        <c:v>5.2450304999993591E-2</c:v>
                      </c:pt>
                      <c:pt idx="34">
                        <c:v>5.0413899999995238E-2</c:v>
                      </c:pt>
                      <c:pt idx="35">
                        <c:v>4.8377494999996884E-2</c:v>
                      </c:pt>
                      <c:pt idx="36">
                        <c:v>4.6341090000005636E-2</c:v>
                      </c:pt>
                      <c:pt idx="37">
                        <c:v>4.4304685000007282E-2</c:v>
                      </c:pt>
                      <c:pt idx="38">
                        <c:v>4.2268280000001823E-2</c:v>
                      </c:pt>
                      <c:pt idx="39">
                        <c:v>4.0231875000010575E-2</c:v>
                      </c:pt>
                      <c:pt idx="40">
                        <c:v>3.8195469999998011E-2</c:v>
                      </c:pt>
                      <c:pt idx="41">
                        <c:v>3.6159064999999657E-2</c:v>
                      </c:pt>
                      <c:pt idx="42">
                        <c:v>3.4122660000001304E-2</c:v>
                      </c:pt>
                      <c:pt idx="43">
                        <c:v>3.2086254999995845E-2</c:v>
                      </c:pt>
                      <c:pt idx="44">
                        <c:v>3.0049849999990386E-2</c:v>
                      </c:pt>
                      <c:pt idx="45">
                        <c:v>2.8013444999999138E-2</c:v>
                      </c:pt>
                      <c:pt idx="46">
                        <c:v>2.5977040000000784E-2</c:v>
                      </c:pt>
                      <c:pt idx="47">
                        <c:v>2.394063500000243E-2</c:v>
                      </c:pt>
                      <c:pt idx="48">
                        <c:v>2.1904230000004077E-2</c:v>
                      </c:pt>
                      <c:pt idx="49">
                        <c:v>1.9867825000005723E-2</c:v>
                      </c:pt>
                      <c:pt idx="50">
                        <c:v>1.7831420000000264E-2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8FF3-4719-91D0-4CC87A3179E0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グラフ!$U$5</c15:sqref>
                        </c15:formulaRef>
                      </c:ext>
                    </c:extLst>
                    <c:strCache>
                      <c:ptCount val="1"/>
                      <c:pt idx="0">
                        <c:v>締め代：Δ+30℃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グラフ!$U$6:$U$56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0.11022266999999886</c:v>
                      </c:pt>
                      <c:pt idx="1">
                        <c:v>0.10818626500000761</c:v>
                      </c:pt>
                      <c:pt idx="2">
                        <c:v>0.10614986000000215</c:v>
                      </c:pt>
                      <c:pt idx="3">
                        <c:v>0.10411345499999669</c:v>
                      </c:pt>
                      <c:pt idx="4">
                        <c:v>0.10207704999999834</c:v>
                      </c:pt>
                      <c:pt idx="5">
                        <c:v>0.10004064499999288</c:v>
                      </c:pt>
                      <c:pt idx="6">
                        <c:v>9.800424000000163E-2</c:v>
                      </c:pt>
                      <c:pt idx="7">
                        <c:v>9.5967834999996171E-2</c:v>
                      </c:pt>
                      <c:pt idx="8">
                        <c:v>9.3931429999997818E-2</c:v>
                      </c:pt>
                      <c:pt idx="9">
                        <c:v>9.1895025000006569E-2</c:v>
                      </c:pt>
                      <c:pt idx="10">
                        <c:v>8.9858619999994005E-2</c:v>
                      </c:pt>
                      <c:pt idx="11">
                        <c:v>8.7822214999995651E-2</c:v>
                      </c:pt>
                      <c:pt idx="12">
                        <c:v>8.5785809999997298E-2</c:v>
                      </c:pt>
                      <c:pt idx="13">
                        <c:v>8.3749404999991839E-2</c:v>
                      </c:pt>
                      <c:pt idx="14">
                        <c:v>8.1713000000000591E-2</c:v>
                      </c:pt>
                      <c:pt idx="15">
                        <c:v>7.9676595000009343E-2</c:v>
                      </c:pt>
                      <c:pt idx="16">
                        <c:v>7.7640190000003884E-2</c:v>
                      </c:pt>
                      <c:pt idx="17">
                        <c:v>7.5603784999998425E-2</c:v>
                      </c:pt>
                      <c:pt idx="18">
                        <c:v>7.3567380000000071E-2</c:v>
                      </c:pt>
                      <c:pt idx="19">
                        <c:v>7.1530975000001717E-2</c:v>
                      </c:pt>
                      <c:pt idx="20">
                        <c:v>6.9494569999989153E-2</c:v>
                      </c:pt>
                      <c:pt idx="21">
                        <c:v>6.7458164999997905E-2</c:v>
                      </c:pt>
                      <c:pt idx="22">
                        <c:v>6.5421759999992446E-2</c:v>
                      </c:pt>
                      <c:pt idx="23">
                        <c:v>6.3385354999994092E-2</c:v>
                      </c:pt>
                      <c:pt idx="24">
                        <c:v>6.1348950000002844E-2</c:v>
                      </c:pt>
                      <c:pt idx="25">
                        <c:v>5.9312545000004491E-2</c:v>
                      </c:pt>
                      <c:pt idx="26">
                        <c:v>5.7276140000006137E-2</c:v>
                      </c:pt>
                      <c:pt idx="27">
                        <c:v>5.5239735000000678E-2</c:v>
                      </c:pt>
                      <c:pt idx="28">
                        <c:v>5.3203330000002325E-2</c:v>
                      </c:pt>
                      <c:pt idx="29">
                        <c:v>5.1166924999996866E-2</c:v>
                      </c:pt>
                      <c:pt idx="30">
                        <c:v>4.9130520000005617E-2</c:v>
                      </c:pt>
                      <c:pt idx="31">
                        <c:v>4.7094114999993053E-2</c:v>
                      </c:pt>
                      <c:pt idx="32">
                        <c:v>4.5057710000001805E-2</c:v>
                      </c:pt>
                      <c:pt idx="33">
                        <c:v>4.3021304999996346E-2</c:v>
                      </c:pt>
                      <c:pt idx="34">
                        <c:v>4.0984900000005098E-2</c:v>
                      </c:pt>
                      <c:pt idx="35">
                        <c:v>3.8948494999999639E-2</c:v>
                      </c:pt>
                      <c:pt idx="36">
                        <c:v>3.6912090000001285E-2</c:v>
                      </c:pt>
                      <c:pt idx="37">
                        <c:v>3.4875685000010037E-2</c:v>
                      </c:pt>
                      <c:pt idx="38">
                        <c:v>3.2839279999997473E-2</c:v>
                      </c:pt>
                      <c:pt idx="39">
                        <c:v>3.0802875000006225E-2</c:v>
                      </c:pt>
                      <c:pt idx="40">
                        <c:v>2.8766470000000766E-2</c:v>
                      </c:pt>
                      <c:pt idx="41">
                        <c:v>2.6730064999995307E-2</c:v>
                      </c:pt>
                      <c:pt idx="42">
                        <c:v>2.4693659999996953E-2</c:v>
                      </c:pt>
                      <c:pt idx="43">
                        <c:v>2.2657254999998599E-2</c:v>
                      </c:pt>
                      <c:pt idx="44">
                        <c:v>2.0620850000000246E-2</c:v>
                      </c:pt>
                      <c:pt idx="45">
                        <c:v>1.8584445000001892E-2</c:v>
                      </c:pt>
                      <c:pt idx="46">
                        <c:v>1.6548039999996433E-2</c:v>
                      </c:pt>
                      <c:pt idx="47">
                        <c:v>1.4511635000005185E-2</c:v>
                      </c:pt>
                      <c:pt idx="48">
                        <c:v>1.2475229999999726E-2</c:v>
                      </c:pt>
                      <c:pt idx="49">
                        <c:v>1.0438825000001373E-2</c:v>
                      </c:pt>
                      <c:pt idx="50">
                        <c:v>8.4024200000030191E-3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8FF3-4719-91D0-4CC87A3179E0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グラフ!$V$5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グラフ!$V$6:$V$56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87.419322699883182</c:v>
                      </c:pt>
                      <c:pt idx="1">
                        <c:v>86.352028335774293</c:v>
                      </c:pt>
                      <c:pt idx="2">
                        <c:v>85.284733971669127</c:v>
                      </c:pt>
                      <c:pt idx="3">
                        <c:v>84.217439607563975</c:v>
                      </c:pt>
                      <c:pt idx="4">
                        <c:v>83.1501452434551</c:v>
                      </c:pt>
                      <c:pt idx="5">
                        <c:v>82.082850879349934</c:v>
                      </c:pt>
                      <c:pt idx="6">
                        <c:v>81.015556515244782</c:v>
                      </c:pt>
                      <c:pt idx="7">
                        <c:v>79.948262151135907</c:v>
                      </c:pt>
                      <c:pt idx="8">
                        <c:v>78.880967787034479</c:v>
                      </c:pt>
                      <c:pt idx="9">
                        <c:v>77.813673422929313</c:v>
                      </c:pt>
                      <c:pt idx="10">
                        <c:v>76.746379058820423</c:v>
                      </c:pt>
                      <c:pt idx="11">
                        <c:v>75.679084694715272</c:v>
                      </c:pt>
                      <c:pt idx="12">
                        <c:v>74.611790330606397</c:v>
                      </c:pt>
                      <c:pt idx="13">
                        <c:v>73.544495966504954</c:v>
                      </c:pt>
                      <c:pt idx="14">
                        <c:v>72.477201602396079</c:v>
                      </c:pt>
                      <c:pt idx="15">
                        <c:v>71.40990723829465</c:v>
                      </c:pt>
                      <c:pt idx="16">
                        <c:v>70.342612874185761</c:v>
                      </c:pt>
                      <c:pt idx="17">
                        <c:v>69.275318510076872</c:v>
                      </c:pt>
                      <c:pt idx="18">
                        <c:v>68.208024145975443</c:v>
                      </c:pt>
                      <c:pt idx="19">
                        <c:v>67.140729781866568</c:v>
                      </c:pt>
                      <c:pt idx="20">
                        <c:v>66.073435417757693</c:v>
                      </c:pt>
                      <c:pt idx="21">
                        <c:v>65.006141053656251</c:v>
                      </c:pt>
                      <c:pt idx="22">
                        <c:v>63.938846689543645</c:v>
                      </c:pt>
                      <c:pt idx="23">
                        <c:v>62.87155232544221</c:v>
                      </c:pt>
                      <c:pt idx="24">
                        <c:v>61.804257961333327</c:v>
                      </c:pt>
                      <c:pt idx="25">
                        <c:v>60.736963597228176</c:v>
                      </c:pt>
                      <c:pt idx="26">
                        <c:v>59.66966923312674</c:v>
                      </c:pt>
                      <c:pt idx="27">
                        <c:v>58.602374869017865</c:v>
                      </c:pt>
                      <c:pt idx="28">
                        <c:v>57.535080504916429</c:v>
                      </c:pt>
                      <c:pt idx="29">
                        <c:v>56.467786140803817</c:v>
                      </c:pt>
                      <c:pt idx="30">
                        <c:v>55.400491776702381</c:v>
                      </c:pt>
                      <c:pt idx="31">
                        <c:v>54.333197412593506</c:v>
                      </c:pt>
                      <c:pt idx="32">
                        <c:v>53.265903048488347</c:v>
                      </c:pt>
                      <c:pt idx="33">
                        <c:v>52.198608684379472</c:v>
                      </c:pt>
                      <c:pt idx="34">
                        <c:v>51.131314320274306</c:v>
                      </c:pt>
                      <c:pt idx="35">
                        <c:v>50.064019956165424</c:v>
                      </c:pt>
                      <c:pt idx="36">
                        <c:v>48.996725592067712</c:v>
                      </c:pt>
                      <c:pt idx="37">
                        <c:v>47.92943122796256</c:v>
                      </c:pt>
                      <c:pt idx="38">
                        <c:v>46.862136863853678</c:v>
                      </c:pt>
                      <c:pt idx="39">
                        <c:v>45.794842499752249</c:v>
                      </c:pt>
                      <c:pt idx="40">
                        <c:v>44.727548135639637</c:v>
                      </c:pt>
                      <c:pt idx="41">
                        <c:v>43.660253771534485</c:v>
                      </c:pt>
                      <c:pt idx="42">
                        <c:v>42.592959407429326</c:v>
                      </c:pt>
                      <c:pt idx="43">
                        <c:v>41.525665043320444</c:v>
                      </c:pt>
                      <c:pt idx="44">
                        <c:v>40.458370679211562</c:v>
                      </c:pt>
                      <c:pt idx="45">
                        <c:v>39.391076315110134</c:v>
                      </c:pt>
                      <c:pt idx="46">
                        <c:v>38.323781951004968</c:v>
                      </c:pt>
                      <c:pt idx="47">
                        <c:v>37.256487586899816</c:v>
                      </c:pt>
                      <c:pt idx="48">
                        <c:v>36.189193222794657</c:v>
                      </c:pt>
                      <c:pt idx="49">
                        <c:v>35.121898858689505</c:v>
                      </c:pt>
                      <c:pt idx="50">
                        <c:v>34.054604494580616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FF3-4719-91D0-4CC87A3179E0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グラフ!$W$5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グラフ!$W$6:$W$56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82.477516645016735</c:v>
                      </c:pt>
                      <c:pt idx="1">
                        <c:v>81.410222280915292</c:v>
                      </c:pt>
                      <c:pt idx="2">
                        <c:v>80.342927916806403</c:v>
                      </c:pt>
                      <c:pt idx="3">
                        <c:v>79.275633552697528</c:v>
                      </c:pt>
                      <c:pt idx="4">
                        <c:v>78.208339188592376</c:v>
                      </c:pt>
                      <c:pt idx="5">
                        <c:v>77.141044824483501</c:v>
                      </c:pt>
                      <c:pt idx="6">
                        <c:v>76.073750460382058</c:v>
                      </c:pt>
                      <c:pt idx="7">
                        <c:v>75.006456096273169</c:v>
                      </c:pt>
                      <c:pt idx="8">
                        <c:v>73.939161732168017</c:v>
                      </c:pt>
                      <c:pt idx="9">
                        <c:v>72.871867368066589</c:v>
                      </c:pt>
                      <c:pt idx="10">
                        <c:v>71.804573003953976</c:v>
                      </c:pt>
                      <c:pt idx="11">
                        <c:v>70.737278639852548</c:v>
                      </c:pt>
                      <c:pt idx="12">
                        <c:v>69.669984275743673</c:v>
                      </c:pt>
                      <c:pt idx="13">
                        <c:v>68.602689911638507</c:v>
                      </c:pt>
                      <c:pt idx="14">
                        <c:v>67.535395547533341</c:v>
                      </c:pt>
                      <c:pt idx="15">
                        <c:v>66.468101183428189</c:v>
                      </c:pt>
                      <c:pt idx="16">
                        <c:v>65.400806819323037</c:v>
                      </c:pt>
                      <c:pt idx="17">
                        <c:v>64.333512455214162</c:v>
                      </c:pt>
                      <c:pt idx="18">
                        <c:v>63.266218091109003</c:v>
                      </c:pt>
                      <c:pt idx="19">
                        <c:v>62.198923727003844</c:v>
                      </c:pt>
                      <c:pt idx="20">
                        <c:v>61.131629362891232</c:v>
                      </c:pt>
                      <c:pt idx="21">
                        <c:v>60.064334998789796</c:v>
                      </c:pt>
                      <c:pt idx="22">
                        <c:v>58.997040634680921</c:v>
                      </c:pt>
                      <c:pt idx="23">
                        <c:v>57.929746270575762</c:v>
                      </c:pt>
                      <c:pt idx="24">
                        <c:v>56.862451906470611</c:v>
                      </c:pt>
                      <c:pt idx="25">
                        <c:v>55.795157542369175</c:v>
                      </c:pt>
                      <c:pt idx="26">
                        <c:v>54.727863178264016</c:v>
                      </c:pt>
                      <c:pt idx="27">
                        <c:v>53.660568814151404</c:v>
                      </c:pt>
                      <c:pt idx="28">
                        <c:v>52.593274450049975</c:v>
                      </c:pt>
                      <c:pt idx="29">
                        <c:v>51.525980085941093</c:v>
                      </c:pt>
                      <c:pt idx="30">
                        <c:v>50.458685721835941</c:v>
                      </c:pt>
                      <c:pt idx="31">
                        <c:v>49.391391357727059</c:v>
                      </c:pt>
                      <c:pt idx="32">
                        <c:v>48.324096993625623</c:v>
                      </c:pt>
                      <c:pt idx="33">
                        <c:v>47.256802629513011</c:v>
                      </c:pt>
                      <c:pt idx="34">
                        <c:v>46.189508265415306</c:v>
                      </c:pt>
                      <c:pt idx="35">
                        <c:v>45.122213901306424</c:v>
                      </c:pt>
                      <c:pt idx="36">
                        <c:v>44.054919537201272</c:v>
                      </c:pt>
                      <c:pt idx="37">
                        <c:v>42.987625173099836</c:v>
                      </c:pt>
                      <c:pt idx="38">
                        <c:v>41.920330808987231</c:v>
                      </c:pt>
                      <c:pt idx="39">
                        <c:v>40.853036444885795</c:v>
                      </c:pt>
                      <c:pt idx="40">
                        <c:v>39.78574208077692</c:v>
                      </c:pt>
                      <c:pt idx="41">
                        <c:v>38.718447716668031</c:v>
                      </c:pt>
                      <c:pt idx="42">
                        <c:v>37.651153352562879</c:v>
                      </c:pt>
                      <c:pt idx="43">
                        <c:v>36.58385898845772</c:v>
                      </c:pt>
                      <c:pt idx="44">
                        <c:v>35.516564624352569</c:v>
                      </c:pt>
                      <c:pt idx="45">
                        <c:v>34.449270260247403</c:v>
                      </c:pt>
                      <c:pt idx="46">
                        <c:v>33.381975896138528</c:v>
                      </c:pt>
                      <c:pt idx="47">
                        <c:v>32.314681532037092</c:v>
                      </c:pt>
                      <c:pt idx="48">
                        <c:v>31.247387167928206</c:v>
                      </c:pt>
                      <c:pt idx="49">
                        <c:v>30.180092803823051</c:v>
                      </c:pt>
                      <c:pt idx="50">
                        <c:v>29.112798439717896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FF3-4719-91D0-4CC87A3179E0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グラフ!$X$5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グラフ!$X$6:$X$56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77.535710590153997</c:v>
                      </c:pt>
                      <c:pt idx="1">
                        <c:v>76.468416226048845</c:v>
                      </c:pt>
                      <c:pt idx="2">
                        <c:v>75.401121861943693</c:v>
                      </c:pt>
                      <c:pt idx="3">
                        <c:v>74.333827497831081</c:v>
                      </c:pt>
                      <c:pt idx="4">
                        <c:v>73.266533133729652</c:v>
                      </c:pt>
                      <c:pt idx="5">
                        <c:v>72.199238769620777</c:v>
                      </c:pt>
                      <c:pt idx="6">
                        <c:v>71.131944405515611</c:v>
                      </c:pt>
                      <c:pt idx="7">
                        <c:v>70.064650041410445</c:v>
                      </c:pt>
                      <c:pt idx="8">
                        <c:v>68.99735567730157</c:v>
                      </c:pt>
                      <c:pt idx="9">
                        <c:v>67.930061313203865</c:v>
                      </c:pt>
                      <c:pt idx="10">
                        <c:v>66.862766949091267</c:v>
                      </c:pt>
                      <c:pt idx="11">
                        <c:v>65.795472584986101</c:v>
                      </c:pt>
                      <c:pt idx="12">
                        <c:v>64.728178220880949</c:v>
                      </c:pt>
                      <c:pt idx="13">
                        <c:v>63.66088385677206</c:v>
                      </c:pt>
                      <c:pt idx="14">
                        <c:v>62.593589492670624</c:v>
                      </c:pt>
                      <c:pt idx="15">
                        <c:v>61.526295128565472</c:v>
                      </c:pt>
                      <c:pt idx="16">
                        <c:v>60.45900076445659</c:v>
                      </c:pt>
                      <c:pt idx="17">
                        <c:v>59.391706400351431</c:v>
                      </c:pt>
                      <c:pt idx="18">
                        <c:v>58.324412036242556</c:v>
                      </c:pt>
                      <c:pt idx="19">
                        <c:v>57.25711767213739</c:v>
                      </c:pt>
                      <c:pt idx="20">
                        <c:v>56.189823308028508</c:v>
                      </c:pt>
                      <c:pt idx="21">
                        <c:v>55.122528943923356</c:v>
                      </c:pt>
                      <c:pt idx="22">
                        <c:v>54.055234579818197</c:v>
                      </c:pt>
                      <c:pt idx="23">
                        <c:v>52.987940215716762</c:v>
                      </c:pt>
                      <c:pt idx="24">
                        <c:v>51.920645851607887</c:v>
                      </c:pt>
                      <c:pt idx="25">
                        <c:v>50.853351487502728</c:v>
                      </c:pt>
                      <c:pt idx="26">
                        <c:v>49.786057123397562</c:v>
                      </c:pt>
                      <c:pt idx="27">
                        <c:v>48.718762759288687</c:v>
                      </c:pt>
                      <c:pt idx="28">
                        <c:v>47.651468395183528</c:v>
                      </c:pt>
                      <c:pt idx="29">
                        <c:v>46.584174031074653</c:v>
                      </c:pt>
                      <c:pt idx="30">
                        <c:v>45.516879666973217</c:v>
                      </c:pt>
                      <c:pt idx="31">
                        <c:v>44.449585302860612</c:v>
                      </c:pt>
                      <c:pt idx="32">
                        <c:v>43.382290938766623</c:v>
                      </c:pt>
                      <c:pt idx="33">
                        <c:v>42.314996574654018</c:v>
                      </c:pt>
                      <c:pt idx="34">
                        <c:v>41.247702210548859</c:v>
                      </c:pt>
                      <c:pt idx="35">
                        <c:v>40.180407846443707</c:v>
                      </c:pt>
                      <c:pt idx="36">
                        <c:v>39.113113482334825</c:v>
                      </c:pt>
                      <c:pt idx="37">
                        <c:v>38.045819118233389</c:v>
                      </c:pt>
                      <c:pt idx="38">
                        <c:v>36.978524754124507</c:v>
                      </c:pt>
                      <c:pt idx="39">
                        <c:v>35.911230390019348</c:v>
                      </c:pt>
                      <c:pt idx="40">
                        <c:v>34.843936025910466</c:v>
                      </c:pt>
                      <c:pt idx="41">
                        <c:v>33.776641661805314</c:v>
                      </c:pt>
                      <c:pt idx="42">
                        <c:v>32.709347297703879</c:v>
                      </c:pt>
                      <c:pt idx="43">
                        <c:v>31.642052933595</c:v>
                      </c:pt>
                      <c:pt idx="44">
                        <c:v>30.574758569486114</c:v>
                      </c:pt>
                      <c:pt idx="45">
                        <c:v>29.507464205384682</c:v>
                      </c:pt>
                      <c:pt idx="46">
                        <c:v>28.440169841272073</c:v>
                      </c:pt>
                      <c:pt idx="47">
                        <c:v>27.372875477170641</c:v>
                      </c:pt>
                      <c:pt idx="48">
                        <c:v>26.305581113065486</c:v>
                      </c:pt>
                      <c:pt idx="49">
                        <c:v>25.238286748956607</c:v>
                      </c:pt>
                      <c:pt idx="50">
                        <c:v>24.170992384851445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FF3-4719-91D0-4CC87A3179E0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グラフ!$Y$5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グラフ!$Y$6:$Y$56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72.593904535291273</c:v>
                      </c:pt>
                      <c:pt idx="1">
                        <c:v>71.526610171182398</c:v>
                      </c:pt>
                      <c:pt idx="2">
                        <c:v>70.459315807080969</c:v>
                      </c:pt>
                      <c:pt idx="3">
                        <c:v>69.392021442968357</c:v>
                      </c:pt>
                      <c:pt idx="4">
                        <c:v>68.324727078863191</c:v>
                      </c:pt>
                      <c:pt idx="5">
                        <c:v>67.257432714758039</c:v>
                      </c:pt>
                      <c:pt idx="6">
                        <c:v>66.190138350649164</c:v>
                      </c:pt>
                      <c:pt idx="7">
                        <c:v>65.122843986547736</c:v>
                      </c:pt>
                      <c:pt idx="8">
                        <c:v>64.055549622438846</c:v>
                      </c:pt>
                      <c:pt idx="9">
                        <c:v>62.988255258337418</c:v>
                      </c:pt>
                      <c:pt idx="10">
                        <c:v>61.920960894228536</c:v>
                      </c:pt>
                      <c:pt idx="11">
                        <c:v>60.853666530119646</c:v>
                      </c:pt>
                      <c:pt idx="12">
                        <c:v>59.786372166018218</c:v>
                      </c:pt>
                      <c:pt idx="13">
                        <c:v>58.719077801909336</c:v>
                      </c:pt>
                      <c:pt idx="14">
                        <c:v>57.651783437804184</c:v>
                      </c:pt>
                      <c:pt idx="15">
                        <c:v>56.584489073702748</c:v>
                      </c:pt>
                      <c:pt idx="16">
                        <c:v>55.517194709590143</c:v>
                      </c:pt>
                      <c:pt idx="17">
                        <c:v>54.449900345484977</c:v>
                      </c:pt>
                      <c:pt idx="18">
                        <c:v>53.382605981379825</c:v>
                      </c:pt>
                      <c:pt idx="19">
                        <c:v>52.315311617270943</c:v>
                      </c:pt>
                      <c:pt idx="20">
                        <c:v>51.248017253165791</c:v>
                      </c:pt>
                      <c:pt idx="21">
                        <c:v>50.180722889064356</c:v>
                      </c:pt>
                      <c:pt idx="22">
                        <c:v>49.113428524955474</c:v>
                      </c:pt>
                      <c:pt idx="23">
                        <c:v>48.046134160850322</c:v>
                      </c:pt>
                      <c:pt idx="24">
                        <c:v>46.978839796741433</c:v>
                      </c:pt>
                      <c:pt idx="25">
                        <c:v>45.911545432640004</c:v>
                      </c:pt>
                      <c:pt idx="26">
                        <c:v>44.844251068531122</c:v>
                      </c:pt>
                      <c:pt idx="27">
                        <c:v>43.77695670442224</c:v>
                      </c:pt>
                      <c:pt idx="28">
                        <c:v>42.709662340320804</c:v>
                      </c:pt>
                      <c:pt idx="29">
                        <c:v>41.642367976208199</c:v>
                      </c:pt>
                      <c:pt idx="30">
                        <c:v>40.57507361211421</c:v>
                      </c:pt>
                      <c:pt idx="31">
                        <c:v>39.507779248001611</c:v>
                      </c:pt>
                      <c:pt idx="32">
                        <c:v>38.440484883900176</c:v>
                      </c:pt>
                      <c:pt idx="33">
                        <c:v>37.373190519791294</c:v>
                      </c:pt>
                      <c:pt idx="34">
                        <c:v>36.305896155682412</c:v>
                      </c:pt>
                      <c:pt idx="35">
                        <c:v>35.238601791577253</c:v>
                      </c:pt>
                      <c:pt idx="36">
                        <c:v>34.171307427472101</c:v>
                      </c:pt>
                      <c:pt idx="37">
                        <c:v>33.104013063366942</c:v>
                      </c:pt>
                      <c:pt idx="38">
                        <c:v>32.03671869925806</c:v>
                      </c:pt>
                      <c:pt idx="39">
                        <c:v>30.969424335156624</c:v>
                      </c:pt>
                      <c:pt idx="40">
                        <c:v>29.902129971051469</c:v>
                      </c:pt>
                      <c:pt idx="41">
                        <c:v>28.83483560694259</c:v>
                      </c:pt>
                      <c:pt idx="42">
                        <c:v>27.767541242837428</c:v>
                      </c:pt>
                      <c:pt idx="43">
                        <c:v>26.700246878732273</c:v>
                      </c:pt>
                      <c:pt idx="44">
                        <c:v>25.632952514619671</c:v>
                      </c:pt>
                      <c:pt idx="45">
                        <c:v>24.565658150518232</c:v>
                      </c:pt>
                      <c:pt idx="46">
                        <c:v>23.498363786409353</c:v>
                      </c:pt>
                      <c:pt idx="47">
                        <c:v>22.431069422304194</c:v>
                      </c:pt>
                      <c:pt idx="48">
                        <c:v>21.363775058199039</c:v>
                      </c:pt>
                      <c:pt idx="49">
                        <c:v>20.29648069409388</c:v>
                      </c:pt>
                      <c:pt idx="50">
                        <c:v>19.229186329992448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FF3-4719-91D0-4CC87A3179E0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グラフ!$Z$5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グラフ!$Z$6:$Z$56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67.652098480428549</c:v>
                      </c:pt>
                      <c:pt idx="1">
                        <c:v>66.584804116319674</c:v>
                      </c:pt>
                      <c:pt idx="2">
                        <c:v>65.517509752214522</c:v>
                      </c:pt>
                      <c:pt idx="3">
                        <c:v>64.450215388105633</c:v>
                      </c:pt>
                      <c:pt idx="4">
                        <c:v>63.382921023996751</c:v>
                      </c:pt>
                      <c:pt idx="5">
                        <c:v>62.315626659895322</c:v>
                      </c:pt>
                      <c:pt idx="6">
                        <c:v>61.24833229578644</c:v>
                      </c:pt>
                      <c:pt idx="7">
                        <c:v>60.181037931681281</c:v>
                      </c:pt>
                      <c:pt idx="8">
                        <c:v>59.11374356757613</c:v>
                      </c:pt>
                      <c:pt idx="9">
                        <c:v>58.046449203470971</c:v>
                      </c:pt>
                      <c:pt idx="10">
                        <c:v>56.979154839365805</c:v>
                      </c:pt>
                      <c:pt idx="11">
                        <c:v>55.91186047525693</c:v>
                      </c:pt>
                      <c:pt idx="12">
                        <c:v>54.844566111151771</c:v>
                      </c:pt>
                      <c:pt idx="13">
                        <c:v>53.777271747046612</c:v>
                      </c:pt>
                      <c:pt idx="14">
                        <c:v>52.709977382937737</c:v>
                      </c:pt>
                      <c:pt idx="15">
                        <c:v>51.642683018836301</c:v>
                      </c:pt>
                      <c:pt idx="16">
                        <c:v>50.575388654727412</c:v>
                      </c:pt>
                      <c:pt idx="17">
                        <c:v>49.508094290618537</c:v>
                      </c:pt>
                      <c:pt idx="18">
                        <c:v>48.440799926517101</c:v>
                      </c:pt>
                      <c:pt idx="19">
                        <c:v>47.373505562411943</c:v>
                      </c:pt>
                      <c:pt idx="20">
                        <c:v>46.306211198303068</c:v>
                      </c:pt>
                      <c:pt idx="21">
                        <c:v>45.238916834197909</c:v>
                      </c:pt>
                      <c:pt idx="22">
                        <c:v>44.171622470089027</c:v>
                      </c:pt>
                      <c:pt idx="23">
                        <c:v>43.104328105987591</c:v>
                      </c:pt>
                      <c:pt idx="24">
                        <c:v>42.037033741874986</c:v>
                      </c:pt>
                      <c:pt idx="25">
                        <c:v>40.96973937777355</c:v>
                      </c:pt>
                      <c:pt idx="26">
                        <c:v>39.902445013668398</c:v>
                      </c:pt>
                      <c:pt idx="27">
                        <c:v>38.835150649555793</c:v>
                      </c:pt>
                      <c:pt idx="28">
                        <c:v>37.767856285461811</c:v>
                      </c:pt>
                      <c:pt idx="29">
                        <c:v>36.700561921349198</c:v>
                      </c:pt>
                      <c:pt idx="30">
                        <c:v>35.63326755724777</c:v>
                      </c:pt>
                      <c:pt idx="31">
                        <c:v>34.565973193138881</c:v>
                      </c:pt>
                      <c:pt idx="32">
                        <c:v>33.498678829033729</c:v>
                      </c:pt>
                      <c:pt idx="33">
                        <c:v>32.431384464924847</c:v>
                      </c:pt>
                      <c:pt idx="34">
                        <c:v>31.364090100819688</c:v>
                      </c:pt>
                      <c:pt idx="35">
                        <c:v>30.296795736710809</c:v>
                      </c:pt>
                      <c:pt idx="36">
                        <c:v>29.229501372605654</c:v>
                      </c:pt>
                      <c:pt idx="37">
                        <c:v>28.162207008504218</c:v>
                      </c:pt>
                      <c:pt idx="38">
                        <c:v>27.094912644399059</c:v>
                      </c:pt>
                      <c:pt idx="39">
                        <c:v>26.027618280293904</c:v>
                      </c:pt>
                      <c:pt idx="40">
                        <c:v>24.960323916185022</c:v>
                      </c:pt>
                      <c:pt idx="41">
                        <c:v>23.893029552079863</c:v>
                      </c:pt>
                      <c:pt idx="42">
                        <c:v>22.825735187970984</c:v>
                      </c:pt>
                      <c:pt idx="43">
                        <c:v>21.758440823865826</c:v>
                      </c:pt>
                      <c:pt idx="44">
                        <c:v>20.691146459756943</c:v>
                      </c:pt>
                      <c:pt idx="45">
                        <c:v>19.623852095651788</c:v>
                      </c:pt>
                      <c:pt idx="46">
                        <c:v>18.556557731542906</c:v>
                      </c:pt>
                      <c:pt idx="47">
                        <c:v>17.489263367441474</c:v>
                      </c:pt>
                      <c:pt idx="48">
                        <c:v>16.421969003340038</c:v>
                      </c:pt>
                      <c:pt idx="49">
                        <c:v>15.354674639231158</c:v>
                      </c:pt>
                      <c:pt idx="50">
                        <c:v>14.287380275125999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FF3-4719-91D0-4CC87A3179E0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グラフ!$AA$5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グラフ!$AA$6:$AA$56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62.710292425562109</c:v>
                      </c:pt>
                      <c:pt idx="1">
                        <c:v>61.642998061456957</c:v>
                      </c:pt>
                      <c:pt idx="2">
                        <c:v>60.575703697348068</c:v>
                      </c:pt>
                      <c:pt idx="3">
                        <c:v>59.508409333242909</c:v>
                      </c:pt>
                      <c:pt idx="4">
                        <c:v>58.441114969134027</c:v>
                      </c:pt>
                      <c:pt idx="5">
                        <c:v>57.373820605028875</c:v>
                      </c:pt>
                      <c:pt idx="6">
                        <c:v>56.306526240923716</c:v>
                      </c:pt>
                      <c:pt idx="7">
                        <c:v>55.239231876814841</c:v>
                      </c:pt>
                      <c:pt idx="8">
                        <c:v>54.171937512713406</c:v>
                      </c:pt>
                      <c:pt idx="9">
                        <c:v>53.10464314860824</c:v>
                      </c:pt>
                      <c:pt idx="10">
                        <c:v>52.037348784499358</c:v>
                      </c:pt>
                      <c:pt idx="11">
                        <c:v>50.970054420394206</c:v>
                      </c:pt>
                      <c:pt idx="12">
                        <c:v>49.902760056285324</c:v>
                      </c:pt>
                      <c:pt idx="13">
                        <c:v>48.835465692180172</c:v>
                      </c:pt>
                      <c:pt idx="14">
                        <c:v>47.768171328075013</c:v>
                      </c:pt>
                      <c:pt idx="15">
                        <c:v>46.700876963969847</c:v>
                      </c:pt>
                      <c:pt idx="16">
                        <c:v>45.633582599864695</c:v>
                      </c:pt>
                      <c:pt idx="17">
                        <c:v>44.566288235759536</c:v>
                      </c:pt>
                      <c:pt idx="18">
                        <c:v>43.498993871654378</c:v>
                      </c:pt>
                      <c:pt idx="19">
                        <c:v>42.431699507545503</c:v>
                      </c:pt>
                      <c:pt idx="20">
                        <c:v>41.364405143436613</c:v>
                      </c:pt>
                      <c:pt idx="21">
                        <c:v>40.297110779335185</c:v>
                      </c:pt>
                      <c:pt idx="22">
                        <c:v>39.229816415222579</c:v>
                      </c:pt>
                      <c:pt idx="23">
                        <c:v>38.162522051121144</c:v>
                      </c:pt>
                      <c:pt idx="24">
                        <c:v>37.095227687012262</c:v>
                      </c:pt>
                      <c:pt idx="25">
                        <c:v>36.02793332290711</c:v>
                      </c:pt>
                      <c:pt idx="26">
                        <c:v>34.960638958809398</c:v>
                      </c:pt>
                      <c:pt idx="27">
                        <c:v>33.893344594696792</c:v>
                      </c:pt>
                      <c:pt idx="28">
                        <c:v>32.826050230595357</c:v>
                      </c:pt>
                      <c:pt idx="29">
                        <c:v>31.758755866486478</c:v>
                      </c:pt>
                      <c:pt idx="30">
                        <c:v>30.691461502381319</c:v>
                      </c:pt>
                      <c:pt idx="31">
                        <c:v>29.624167138272441</c:v>
                      </c:pt>
                      <c:pt idx="32">
                        <c:v>28.556872774171005</c:v>
                      </c:pt>
                      <c:pt idx="33">
                        <c:v>27.4895784100584</c:v>
                      </c:pt>
                      <c:pt idx="34">
                        <c:v>26.422284045953244</c:v>
                      </c:pt>
                      <c:pt idx="35">
                        <c:v>25.354989681848085</c:v>
                      </c:pt>
                      <c:pt idx="36">
                        <c:v>24.28769531774665</c:v>
                      </c:pt>
                      <c:pt idx="37">
                        <c:v>23.220400953641494</c:v>
                      </c:pt>
                      <c:pt idx="38">
                        <c:v>22.153106589532612</c:v>
                      </c:pt>
                      <c:pt idx="39">
                        <c:v>21.085812225431177</c:v>
                      </c:pt>
                      <c:pt idx="40">
                        <c:v>20.018517861318575</c:v>
                      </c:pt>
                      <c:pt idx="41">
                        <c:v>18.951223497213416</c:v>
                      </c:pt>
                      <c:pt idx="42">
                        <c:v>17.883929133108261</c:v>
                      </c:pt>
                      <c:pt idx="43">
                        <c:v>16.816634768999378</c:v>
                      </c:pt>
                      <c:pt idx="44">
                        <c:v>15.749340404890496</c:v>
                      </c:pt>
                      <c:pt idx="45">
                        <c:v>14.682046040789063</c:v>
                      </c:pt>
                      <c:pt idx="46">
                        <c:v>13.614751676683907</c:v>
                      </c:pt>
                      <c:pt idx="47">
                        <c:v>12.547457312578748</c:v>
                      </c:pt>
                      <c:pt idx="48">
                        <c:v>11.480162948473591</c:v>
                      </c:pt>
                      <c:pt idx="49">
                        <c:v>10.412868584368434</c:v>
                      </c:pt>
                      <c:pt idx="50">
                        <c:v>9.345574220259552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FF3-4719-91D0-4CC87A3179E0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グラフ!$AB$5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グラフ!$AB$6:$AB$56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57.768486370695655</c:v>
                      </c:pt>
                      <c:pt idx="1">
                        <c:v>56.701192006594219</c:v>
                      </c:pt>
                      <c:pt idx="2">
                        <c:v>55.633897642485344</c:v>
                      </c:pt>
                      <c:pt idx="3">
                        <c:v>54.566603278376462</c:v>
                      </c:pt>
                      <c:pt idx="4">
                        <c:v>53.49930891427131</c:v>
                      </c:pt>
                      <c:pt idx="5">
                        <c:v>52.432014550162428</c:v>
                      </c:pt>
                      <c:pt idx="6">
                        <c:v>51.364720186061</c:v>
                      </c:pt>
                      <c:pt idx="7">
                        <c:v>50.29742582195211</c:v>
                      </c:pt>
                      <c:pt idx="8">
                        <c:v>49.230131457846952</c:v>
                      </c:pt>
                      <c:pt idx="9">
                        <c:v>48.162837093745516</c:v>
                      </c:pt>
                      <c:pt idx="10">
                        <c:v>47.095542729632918</c:v>
                      </c:pt>
                      <c:pt idx="11">
                        <c:v>46.028248365527759</c:v>
                      </c:pt>
                      <c:pt idx="12">
                        <c:v>44.9609540014226</c:v>
                      </c:pt>
                      <c:pt idx="13">
                        <c:v>43.893659637313718</c:v>
                      </c:pt>
                      <c:pt idx="14">
                        <c:v>42.826365273212289</c:v>
                      </c:pt>
                      <c:pt idx="15">
                        <c:v>41.759070909110854</c:v>
                      </c:pt>
                      <c:pt idx="16">
                        <c:v>40.691776545001971</c:v>
                      </c:pt>
                      <c:pt idx="17">
                        <c:v>39.624482180893089</c:v>
                      </c:pt>
                      <c:pt idx="18">
                        <c:v>38.557187816787931</c:v>
                      </c:pt>
                      <c:pt idx="19">
                        <c:v>37.489893452682772</c:v>
                      </c:pt>
                      <c:pt idx="20">
                        <c:v>36.422599088570173</c:v>
                      </c:pt>
                      <c:pt idx="21">
                        <c:v>35.355304724468731</c:v>
                      </c:pt>
                      <c:pt idx="22">
                        <c:v>34.288010360359856</c:v>
                      </c:pt>
                      <c:pt idx="23">
                        <c:v>33.220715996254697</c:v>
                      </c:pt>
                      <c:pt idx="24">
                        <c:v>32.153421632153268</c:v>
                      </c:pt>
                      <c:pt idx="25">
                        <c:v>31.086127268048106</c:v>
                      </c:pt>
                      <c:pt idx="26">
                        <c:v>30.018832903942947</c:v>
                      </c:pt>
                      <c:pt idx="27">
                        <c:v>28.951538539834068</c:v>
                      </c:pt>
                      <c:pt idx="28">
                        <c:v>27.884244175728909</c:v>
                      </c:pt>
                      <c:pt idx="29">
                        <c:v>26.816949811620027</c:v>
                      </c:pt>
                      <c:pt idx="30">
                        <c:v>25.749655447518595</c:v>
                      </c:pt>
                      <c:pt idx="31">
                        <c:v>24.68236108340599</c:v>
                      </c:pt>
                      <c:pt idx="32">
                        <c:v>23.615066719304554</c:v>
                      </c:pt>
                      <c:pt idx="33">
                        <c:v>22.547772355195676</c:v>
                      </c:pt>
                      <c:pt idx="34">
                        <c:v>21.48047799109424</c:v>
                      </c:pt>
                      <c:pt idx="35">
                        <c:v>20.413183626985361</c:v>
                      </c:pt>
                      <c:pt idx="36">
                        <c:v>19.345889262880203</c:v>
                      </c:pt>
                      <c:pt idx="37">
                        <c:v>18.278594898778771</c:v>
                      </c:pt>
                      <c:pt idx="38">
                        <c:v>17.211300534666165</c:v>
                      </c:pt>
                      <c:pt idx="39">
                        <c:v>16.14400617056473</c:v>
                      </c:pt>
                      <c:pt idx="40">
                        <c:v>15.076711806455849</c:v>
                      </c:pt>
                      <c:pt idx="41">
                        <c:v>14.009417442346971</c:v>
                      </c:pt>
                      <c:pt idx="42">
                        <c:v>12.942123078241812</c:v>
                      </c:pt>
                      <c:pt idx="43">
                        <c:v>11.874828714136653</c:v>
                      </c:pt>
                      <c:pt idx="44">
                        <c:v>10.807534350031498</c:v>
                      </c:pt>
                      <c:pt idx="45">
                        <c:v>9.7402399859263404</c:v>
                      </c:pt>
                      <c:pt idx="46">
                        <c:v>8.6729456218174583</c:v>
                      </c:pt>
                      <c:pt idx="47">
                        <c:v>7.6056512577160253</c:v>
                      </c:pt>
                      <c:pt idx="48">
                        <c:v>6.5383568936071432</c:v>
                      </c:pt>
                      <c:pt idx="49">
                        <c:v>5.4710625295019861</c:v>
                      </c:pt>
                      <c:pt idx="50">
                        <c:v>4.403768165396829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FF3-4719-91D0-4CC87A3179E0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グラフ!$AC$5</c15:sqref>
                        </c15:formulaRef>
                      </c:ext>
                    </c:extLst>
                    <c:strCache>
                      <c:ptCount val="1"/>
                      <c:pt idx="0">
                        <c:v>inner応力:Δ-30℃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グラフ!$AC$6:$AC$56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316.39983997580583</c:v>
                      </c:pt>
                      <c:pt idx="1">
                        <c:v>312.536943815303</c:v>
                      </c:pt>
                      <c:pt idx="2">
                        <c:v>308.67404765481371</c:v>
                      </c:pt>
                      <c:pt idx="3">
                        <c:v>304.81115149432452</c:v>
                      </c:pt>
                      <c:pt idx="4">
                        <c:v>300.94825533382181</c:v>
                      </c:pt>
                      <c:pt idx="5">
                        <c:v>297.08535917333245</c:v>
                      </c:pt>
                      <c:pt idx="6">
                        <c:v>293.22246301284321</c:v>
                      </c:pt>
                      <c:pt idx="7">
                        <c:v>289.35956685234049</c:v>
                      </c:pt>
                      <c:pt idx="8">
                        <c:v>285.49667069186472</c:v>
                      </c:pt>
                      <c:pt idx="9">
                        <c:v>281.63377453137542</c:v>
                      </c:pt>
                      <c:pt idx="10">
                        <c:v>277.77087837087265</c:v>
                      </c:pt>
                      <c:pt idx="11">
                        <c:v>273.90798221038341</c:v>
                      </c:pt>
                      <c:pt idx="12">
                        <c:v>270.04508604988069</c:v>
                      </c:pt>
                      <c:pt idx="13">
                        <c:v>266.18218988940487</c:v>
                      </c:pt>
                      <c:pt idx="14">
                        <c:v>262.3192937289021</c:v>
                      </c:pt>
                      <c:pt idx="15">
                        <c:v>258.45639756842633</c:v>
                      </c:pt>
                      <c:pt idx="16">
                        <c:v>254.59350140792358</c:v>
                      </c:pt>
                      <c:pt idx="17">
                        <c:v>250.73060524742075</c:v>
                      </c:pt>
                      <c:pt idx="18">
                        <c:v>246.86770908694498</c:v>
                      </c:pt>
                      <c:pt idx="19">
                        <c:v>243.0048129264423</c:v>
                      </c:pt>
                      <c:pt idx="20">
                        <c:v>239.14191676593958</c:v>
                      </c:pt>
                      <c:pt idx="21">
                        <c:v>235.27902060546376</c:v>
                      </c:pt>
                      <c:pt idx="22">
                        <c:v>231.41612444494749</c:v>
                      </c:pt>
                      <c:pt idx="23">
                        <c:v>227.55322828447171</c:v>
                      </c:pt>
                      <c:pt idx="24">
                        <c:v>223.69033212396894</c:v>
                      </c:pt>
                      <c:pt idx="25">
                        <c:v>219.8274359634797</c:v>
                      </c:pt>
                      <c:pt idx="26">
                        <c:v>215.96453980300393</c:v>
                      </c:pt>
                      <c:pt idx="27">
                        <c:v>212.10164364250119</c:v>
                      </c:pt>
                      <c:pt idx="28">
                        <c:v>208.23874748202539</c:v>
                      </c:pt>
                      <c:pt idx="29">
                        <c:v>204.37585132150912</c:v>
                      </c:pt>
                      <c:pt idx="30">
                        <c:v>200.51295516103335</c:v>
                      </c:pt>
                      <c:pt idx="31">
                        <c:v>196.6500590005306</c:v>
                      </c:pt>
                      <c:pt idx="32">
                        <c:v>192.78716284004133</c:v>
                      </c:pt>
                      <c:pt idx="33">
                        <c:v>188.92426667953862</c:v>
                      </c:pt>
                      <c:pt idx="34">
                        <c:v>185.06137051904932</c:v>
                      </c:pt>
                      <c:pt idx="35">
                        <c:v>181.19847435854655</c:v>
                      </c:pt>
                      <c:pt idx="36">
                        <c:v>177.33557819808425</c:v>
                      </c:pt>
                      <c:pt idx="37">
                        <c:v>173.47268203759498</c:v>
                      </c:pt>
                      <c:pt idx="38">
                        <c:v>169.60978587709224</c:v>
                      </c:pt>
                      <c:pt idx="39">
                        <c:v>165.74688971661644</c:v>
                      </c:pt>
                      <c:pt idx="40">
                        <c:v>161.88399355610022</c:v>
                      </c:pt>
                      <c:pt idx="41">
                        <c:v>158.02109739561095</c:v>
                      </c:pt>
                      <c:pt idx="42">
                        <c:v>154.15820123512168</c:v>
                      </c:pt>
                      <c:pt idx="43">
                        <c:v>150.29530507461894</c:v>
                      </c:pt>
                      <c:pt idx="44">
                        <c:v>146.43240891411619</c:v>
                      </c:pt>
                      <c:pt idx="45">
                        <c:v>142.5695127536404</c:v>
                      </c:pt>
                      <c:pt idx="46">
                        <c:v>138.7066165931511</c:v>
                      </c:pt>
                      <c:pt idx="47">
                        <c:v>134.84372043266185</c:v>
                      </c:pt>
                      <c:pt idx="48">
                        <c:v>130.98082427217258</c:v>
                      </c:pt>
                      <c:pt idx="49">
                        <c:v>127.11792811168331</c:v>
                      </c:pt>
                      <c:pt idx="50">
                        <c:v>123.25503195118056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FF3-4719-91D0-4CC87A3179E0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グラフ!$AD$5</c15:sqref>
                        </c15:formulaRef>
                      </c:ext>
                    </c:extLst>
                    <c:strCache>
                      <c:ptCount val="1"/>
                      <c:pt idx="0">
                        <c:v>inner応力:Δ-20℃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グラフ!$AD$6:$AD$56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298.51378690812061</c:v>
                      </c:pt>
                      <c:pt idx="1">
                        <c:v>294.65089074764478</c:v>
                      </c:pt>
                      <c:pt idx="2">
                        <c:v>290.78799458714195</c:v>
                      </c:pt>
                      <c:pt idx="3">
                        <c:v>286.92509842663924</c:v>
                      </c:pt>
                      <c:pt idx="4">
                        <c:v>283.06220226615</c:v>
                      </c:pt>
                      <c:pt idx="5">
                        <c:v>279.19930610564722</c:v>
                      </c:pt>
                      <c:pt idx="6">
                        <c:v>275.33640994517145</c:v>
                      </c:pt>
                      <c:pt idx="7">
                        <c:v>271.47351378466868</c:v>
                      </c:pt>
                      <c:pt idx="8">
                        <c:v>267.61061762417944</c:v>
                      </c:pt>
                      <c:pt idx="9">
                        <c:v>263.74772146370367</c:v>
                      </c:pt>
                      <c:pt idx="10">
                        <c:v>259.88482530318737</c:v>
                      </c:pt>
                      <c:pt idx="11">
                        <c:v>256.0219291427116</c:v>
                      </c:pt>
                      <c:pt idx="12">
                        <c:v>252.15903298220891</c:v>
                      </c:pt>
                      <c:pt idx="13">
                        <c:v>248.29613682171961</c:v>
                      </c:pt>
                      <c:pt idx="14">
                        <c:v>244.43324066123029</c:v>
                      </c:pt>
                      <c:pt idx="15">
                        <c:v>240.57034450074104</c:v>
                      </c:pt>
                      <c:pt idx="16">
                        <c:v>236.7074483402518</c:v>
                      </c:pt>
                      <c:pt idx="17">
                        <c:v>232.84455217974906</c:v>
                      </c:pt>
                      <c:pt idx="18">
                        <c:v>228.98165601925979</c:v>
                      </c:pt>
                      <c:pt idx="19">
                        <c:v>225.11875985877052</c:v>
                      </c:pt>
                      <c:pt idx="20">
                        <c:v>221.25586369825425</c:v>
                      </c:pt>
                      <c:pt idx="21">
                        <c:v>217.39296753777845</c:v>
                      </c:pt>
                      <c:pt idx="22">
                        <c:v>213.53007137727576</c:v>
                      </c:pt>
                      <c:pt idx="23">
                        <c:v>209.66717521678646</c:v>
                      </c:pt>
                      <c:pt idx="24">
                        <c:v>205.80427905629722</c:v>
                      </c:pt>
                      <c:pt idx="25">
                        <c:v>201.94138289582142</c:v>
                      </c:pt>
                      <c:pt idx="26">
                        <c:v>198.07848673533215</c:v>
                      </c:pt>
                      <c:pt idx="27">
                        <c:v>194.21559057481588</c:v>
                      </c:pt>
                      <c:pt idx="28">
                        <c:v>190.35269441434011</c:v>
                      </c:pt>
                      <c:pt idx="29">
                        <c:v>186.48979825383736</c:v>
                      </c:pt>
                      <c:pt idx="30">
                        <c:v>182.62690209334812</c:v>
                      </c:pt>
                      <c:pt idx="31">
                        <c:v>178.76400593284535</c:v>
                      </c:pt>
                      <c:pt idx="32">
                        <c:v>174.90110977236958</c:v>
                      </c:pt>
                      <c:pt idx="33">
                        <c:v>171.03821361185331</c:v>
                      </c:pt>
                      <c:pt idx="34">
                        <c:v>167.17531745139101</c:v>
                      </c:pt>
                      <c:pt idx="35">
                        <c:v>163.31242129088824</c:v>
                      </c:pt>
                      <c:pt idx="36">
                        <c:v>159.44952513039902</c:v>
                      </c:pt>
                      <c:pt idx="37">
                        <c:v>155.5866289699232</c:v>
                      </c:pt>
                      <c:pt idx="38">
                        <c:v>151.72373280940698</c:v>
                      </c:pt>
                      <c:pt idx="39">
                        <c:v>147.86083664893118</c:v>
                      </c:pt>
                      <c:pt idx="40">
                        <c:v>143.99794048842847</c:v>
                      </c:pt>
                      <c:pt idx="41">
                        <c:v>140.13504432792567</c:v>
                      </c:pt>
                      <c:pt idx="42">
                        <c:v>136.27214816743643</c:v>
                      </c:pt>
                      <c:pt idx="43">
                        <c:v>132.40925200694716</c:v>
                      </c:pt>
                      <c:pt idx="44">
                        <c:v>128.54635584645791</c:v>
                      </c:pt>
                      <c:pt idx="45">
                        <c:v>124.6834596859686</c:v>
                      </c:pt>
                      <c:pt idx="46">
                        <c:v>120.82056352546589</c:v>
                      </c:pt>
                      <c:pt idx="47">
                        <c:v>116.95766736499009</c:v>
                      </c:pt>
                      <c:pt idx="48">
                        <c:v>113.09477120448732</c:v>
                      </c:pt>
                      <c:pt idx="49">
                        <c:v>109.23187504399806</c:v>
                      </c:pt>
                      <c:pt idx="50">
                        <c:v>105.36897888350879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FF3-4719-91D0-4CC87A3179E0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グラフ!$AE$5</c15:sqref>
                        </c15:formulaRef>
                      </c:ext>
                    </c:extLst>
                    <c:strCache>
                      <c:ptCount val="1"/>
                      <c:pt idx="0">
                        <c:v>inner応力:Δ-10℃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グラフ!$AE$6:$AE$56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280.62773384044874</c:v>
                      </c:pt>
                      <c:pt idx="1">
                        <c:v>276.7648376799595</c:v>
                      </c:pt>
                      <c:pt idx="2">
                        <c:v>272.90194151947026</c:v>
                      </c:pt>
                      <c:pt idx="3">
                        <c:v>269.03904535895401</c:v>
                      </c:pt>
                      <c:pt idx="4">
                        <c:v>265.17614919847824</c:v>
                      </c:pt>
                      <c:pt idx="5">
                        <c:v>261.31325303797553</c:v>
                      </c:pt>
                      <c:pt idx="6">
                        <c:v>257.45035687748617</c:v>
                      </c:pt>
                      <c:pt idx="7">
                        <c:v>253.5874607169969</c:v>
                      </c:pt>
                      <c:pt idx="8">
                        <c:v>249.72456455649419</c:v>
                      </c:pt>
                      <c:pt idx="9">
                        <c:v>245.86166839603189</c:v>
                      </c:pt>
                      <c:pt idx="10">
                        <c:v>241.99877223551564</c:v>
                      </c:pt>
                      <c:pt idx="11">
                        <c:v>238.13587607502637</c:v>
                      </c:pt>
                      <c:pt idx="12">
                        <c:v>234.27297991453713</c:v>
                      </c:pt>
                      <c:pt idx="13">
                        <c:v>230.41008375403433</c:v>
                      </c:pt>
                      <c:pt idx="14">
                        <c:v>226.54718759355856</c:v>
                      </c:pt>
                      <c:pt idx="15">
                        <c:v>222.68429143306929</c:v>
                      </c:pt>
                      <c:pt idx="16">
                        <c:v>218.82139527256655</c:v>
                      </c:pt>
                      <c:pt idx="17">
                        <c:v>214.95849911207725</c:v>
                      </c:pt>
                      <c:pt idx="18">
                        <c:v>211.09560295157456</c:v>
                      </c:pt>
                      <c:pt idx="19">
                        <c:v>207.23270679108523</c:v>
                      </c:pt>
                      <c:pt idx="20">
                        <c:v>203.36981063058249</c:v>
                      </c:pt>
                      <c:pt idx="21">
                        <c:v>199.50691447009325</c:v>
                      </c:pt>
                      <c:pt idx="22">
                        <c:v>195.64401830960398</c:v>
                      </c:pt>
                      <c:pt idx="23">
                        <c:v>191.78112214912815</c:v>
                      </c:pt>
                      <c:pt idx="24">
                        <c:v>187.91822598862544</c:v>
                      </c:pt>
                      <c:pt idx="25">
                        <c:v>184.05532982813617</c:v>
                      </c:pt>
                      <c:pt idx="26">
                        <c:v>180.19243366764687</c:v>
                      </c:pt>
                      <c:pt idx="27">
                        <c:v>176.32953750714412</c:v>
                      </c:pt>
                      <c:pt idx="28">
                        <c:v>172.46664134665488</c:v>
                      </c:pt>
                      <c:pt idx="29">
                        <c:v>168.60374518615214</c:v>
                      </c:pt>
                      <c:pt idx="30">
                        <c:v>164.74084902567634</c:v>
                      </c:pt>
                      <c:pt idx="31">
                        <c:v>160.8779528651601</c:v>
                      </c:pt>
                      <c:pt idx="32">
                        <c:v>157.01505670471127</c:v>
                      </c:pt>
                      <c:pt idx="33">
                        <c:v>153.15216054419503</c:v>
                      </c:pt>
                      <c:pt idx="34">
                        <c:v>149.28926438370576</c:v>
                      </c:pt>
                      <c:pt idx="35">
                        <c:v>145.42636822321651</c:v>
                      </c:pt>
                      <c:pt idx="36">
                        <c:v>141.56347206271377</c:v>
                      </c:pt>
                      <c:pt idx="37">
                        <c:v>137.70057590223794</c:v>
                      </c:pt>
                      <c:pt idx="38">
                        <c:v>133.8376797417352</c:v>
                      </c:pt>
                      <c:pt idx="39">
                        <c:v>129.97478358124593</c:v>
                      </c:pt>
                      <c:pt idx="40">
                        <c:v>126.11188742074319</c:v>
                      </c:pt>
                      <c:pt idx="41">
                        <c:v>122.24899126025393</c:v>
                      </c:pt>
                      <c:pt idx="42">
                        <c:v>118.38609509977813</c:v>
                      </c:pt>
                      <c:pt idx="43">
                        <c:v>114.5231989392754</c:v>
                      </c:pt>
                      <c:pt idx="44">
                        <c:v>110.66030277877263</c:v>
                      </c:pt>
                      <c:pt idx="45">
                        <c:v>106.79740661829685</c:v>
                      </c:pt>
                      <c:pt idx="46">
                        <c:v>102.9345104577806</c:v>
                      </c:pt>
                      <c:pt idx="47">
                        <c:v>99.071614297304819</c:v>
                      </c:pt>
                      <c:pt idx="48">
                        <c:v>95.208718136815563</c:v>
                      </c:pt>
                      <c:pt idx="49">
                        <c:v>91.34582197631282</c:v>
                      </c:pt>
                      <c:pt idx="50">
                        <c:v>87.482925815823535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FF3-4719-91D0-4CC87A3179E0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グラフ!$AF$5</c15:sqref>
                        </c15:formulaRef>
                      </c:ext>
                    </c:extLst>
                    <c:strCache>
                      <c:ptCount val="1"/>
                      <c:pt idx="0">
                        <c:v>inner応力:Δ0℃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グラフ!$AF$6:$AF$56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262.74168077277699</c:v>
                      </c:pt>
                      <c:pt idx="1">
                        <c:v>258.87878461227427</c:v>
                      </c:pt>
                      <c:pt idx="2">
                        <c:v>255.01588845179845</c:v>
                      </c:pt>
                      <c:pt idx="3">
                        <c:v>251.15299229128223</c:v>
                      </c:pt>
                      <c:pt idx="4">
                        <c:v>247.29009613079293</c:v>
                      </c:pt>
                      <c:pt idx="5">
                        <c:v>243.42719997030369</c:v>
                      </c:pt>
                      <c:pt idx="6">
                        <c:v>239.56430380980095</c:v>
                      </c:pt>
                      <c:pt idx="7">
                        <c:v>235.70140764932518</c:v>
                      </c:pt>
                      <c:pt idx="8">
                        <c:v>231.83851148882241</c:v>
                      </c:pt>
                      <c:pt idx="9">
                        <c:v>227.97561532834661</c:v>
                      </c:pt>
                      <c:pt idx="10">
                        <c:v>224.11271916784389</c:v>
                      </c:pt>
                      <c:pt idx="11">
                        <c:v>220.24982300734109</c:v>
                      </c:pt>
                      <c:pt idx="12">
                        <c:v>216.38692684686532</c:v>
                      </c:pt>
                      <c:pt idx="13">
                        <c:v>212.52403068636258</c:v>
                      </c:pt>
                      <c:pt idx="14">
                        <c:v>208.66113452587334</c:v>
                      </c:pt>
                      <c:pt idx="15">
                        <c:v>204.79823836539751</c:v>
                      </c:pt>
                      <c:pt idx="16">
                        <c:v>200.93534220488129</c:v>
                      </c:pt>
                      <c:pt idx="17">
                        <c:v>197.072446044392</c:v>
                      </c:pt>
                      <c:pt idx="18">
                        <c:v>193.20954988390275</c:v>
                      </c:pt>
                      <c:pt idx="19">
                        <c:v>189.34665372339998</c:v>
                      </c:pt>
                      <c:pt idx="20">
                        <c:v>185.48375756291074</c:v>
                      </c:pt>
                      <c:pt idx="21">
                        <c:v>181.62086140243494</c:v>
                      </c:pt>
                      <c:pt idx="22">
                        <c:v>177.7579652419322</c:v>
                      </c:pt>
                      <c:pt idx="23">
                        <c:v>173.89506908144293</c:v>
                      </c:pt>
                      <c:pt idx="24">
                        <c:v>170.03217292094018</c:v>
                      </c:pt>
                      <c:pt idx="25">
                        <c:v>166.16927676046438</c:v>
                      </c:pt>
                      <c:pt idx="26">
                        <c:v>162.30638059996164</c:v>
                      </c:pt>
                      <c:pt idx="27">
                        <c:v>158.4434844394589</c:v>
                      </c:pt>
                      <c:pt idx="28">
                        <c:v>154.5805882789831</c:v>
                      </c:pt>
                      <c:pt idx="29">
                        <c:v>150.71769211846686</c:v>
                      </c:pt>
                      <c:pt idx="30">
                        <c:v>146.854795958018</c:v>
                      </c:pt>
                      <c:pt idx="31">
                        <c:v>142.99189979750182</c:v>
                      </c:pt>
                      <c:pt idx="32">
                        <c:v>139.12900363702602</c:v>
                      </c:pt>
                      <c:pt idx="33">
                        <c:v>135.26610747652325</c:v>
                      </c:pt>
                      <c:pt idx="34">
                        <c:v>131.40321131602053</c:v>
                      </c:pt>
                      <c:pt idx="35">
                        <c:v>127.54031515553123</c:v>
                      </c:pt>
                      <c:pt idx="36">
                        <c:v>123.67741899504199</c:v>
                      </c:pt>
                      <c:pt idx="37">
                        <c:v>119.8145228345527</c:v>
                      </c:pt>
                      <c:pt idx="38">
                        <c:v>115.95162667404996</c:v>
                      </c:pt>
                      <c:pt idx="39">
                        <c:v>112.08873051357416</c:v>
                      </c:pt>
                      <c:pt idx="40">
                        <c:v>108.22583435308491</c:v>
                      </c:pt>
                      <c:pt idx="41">
                        <c:v>104.36293819258216</c:v>
                      </c:pt>
                      <c:pt idx="42">
                        <c:v>100.50004203209288</c:v>
                      </c:pt>
                      <c:pt idx="43">
                        <c:v>96.637145871603607</c:v>
                      </c:pt>
                      <c:pt idx="44">
                        <c:v>92.774249711087407</c:v>
                      </c:pt>
                      <c:pt idx="45">
                        <c:v>88.91135355061158</c:v>
                      </c:pt>
                      <c:pt idx="46">
                        <c:v>85.048457390108851</c:v>
                      </c:pt>
                      <c:pt idx="47">
                        <c:v>81.18556122961958</c:v>
                      </c:pt>
                      <c:pt idx="48">
                        <c:v>77.322665069130309</c:v>
                      </c:pt>
                      <c:pt idx="49">
                        <c:v>73.459768908641038</c:v>
                      </c:pt>
                      <c:pt idx="50">
                        <c:v>69.596872748165239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FF3-4719-91D0-4CC87A3179E0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グラフ!$AG$5</c15:sqref>
                        </c15:formulaRef>
                      </c:ext>
                    </c:extLst>
                    <c:strCache>
                      <c:ptCount val="1"/>
                      <c:pt idx="0">
                        <c:v>inner応力:Δ+10℃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グラフ!$AG$6:$AG$56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244.85562770510521</c:v>
                      </c:pt>
                      <c:pt idx="1">
                        <c:v>240.99273154460249</c:v>
                      </c:pt>
                      <c:pt idx="2">
                        <c:v>237.12983538411322</c:v>
                      </c:pt>
                      <c:pt idx="3">
                        <c:v>233.26693922361045</c:v>
                      </c:pt>
                      <c:pt idx="4">
                        <c:v>229.40404306310771</c:v>
                      </c:pt>
                      <c:pt idx="5">
                        <c:v>225.54114690263191</c:v>
                      </c:pt>
                      <c:pt idx="6">
                        <c:v>221.67825074212919</c:v>
                      </c:pt>
                      <c:pt idx="7">
                        <c:v>217.81535458163989</c:v>
                      </c:pt>
                      <c:pt idx="8">
                        <c:v>213.95245842115065</c:v>
                      </c:pt>
                      <c:pt idx="9">
                        <c:v>210.08956226066138</c:v>
                      </c:pt>
                      <c:pt idx="10">
                        <c:v>206.22666610017208</c:v>
                      </c:pt>
                      <c:pt idx="11">
                        <c:v>202.36376993966934</c:v>
                      </c:pt>
                      <c:pt idx="12">
                        <c:v>198.50087377918007</c:v>
                      </c:pt>
                      <c:pt idx="13">
                        <c:v>194.6379776186908</c:v>
                      </c:pt>
                      <c:pt idx="14">
                        <c:v>190.77508145818808</c:v>
                      </c:pt>
                      <c:pt idx="15">
                        <c:v>186.91218529771228</c:v>
                      </c:pt>
                      <c:pt idx="16">
                        <c:v>183.04928913720951</c:v>
                      </c:pt>
                      <c:pt idx="17">
                        <c:v>179.18639297670677</c:v>
                      </c:pt>
                      <c:pt idx="18">
                        <c:v>175.32349681623097</c:v>
                      </c:pt>
                      <c:pt idx="19">
                        <c:v>171.4606006557417</c:v>
                      </c:pt>
                      <c:pt idx="20">
                        <c:v>167.59770449523899</c:v>
                      </c:pt>
                      <c:pt idx="21">
                        <c:v>163.73480833474969</c:v>
                      </c:pt>
                      <c:pt idx="22">
                        <c:v>159.87191217424694</c:v>
                      </c:pt>
                      <c:pt idx="23">
                        <c:v>156.00901601377117</c:v>
                      </c:pt>
                      <c:pt idx="24">
                        <c:v>152.14611985325493</c:v>
                      </c:pt>
                      <c:pt idx="25">
                        <c:v>148.2832236927791</c:v>
                      </c:pt>
                      <c:pt idx="26">
                        <c:v>144.42032753228986</c:v>
                      </c:pt>
                      <c:pt idx="27">
                        <c:v>140.55743137177365</c:v>
                      </c:pt>
                      <c:pt idx="28">
                        <c:v>136.69453521132482</c:v>
                      </c:pt>
                      <c:pt idx="29">
                        <c:v>132.83163905080855</c:v>
                      </c:pt>
                      <c:pt idx="30">
                        <c:v>128.96874289033281</c:v>
                      </c:pt>
                      <c:pt idx="31">
                        <c:v>125.10584672983003</c:v>
                      </c:pt>
                      <c:pt idx="32">
                        <c:v>121.24295056934076</c:v>
                      </c:pt>
                      <c:pt idx="33">
                        <c:v>117.38005440883801</c:v>
                      </c:pt>
                      <c:pt idx="34">
                        <c:v>113.51715824834875</c:v>
                      </c:pt>
                      <c:pt idx="35">
                        <c:v>109.65426208784601</c:v>
                      </c:pt>
                      <c:pt idx="36">
                        <c:v>105.79136592735675</c:v>
                      </c:pt>
                      <c:pt idx="37">
                        <c:v>101.92846976688094</c:v>
                      </c:pt>
                      <c:pt idx="38">
                        <c:v>98.065573606391666</c:v>
                      </c:pt>
                      <c:pt idx="39">
                        <c:v>94.202677445902395</c:v>
                      </c:pt>
                      <c:pt idx="40">
                        <c:v>90.339781285399653</c:v>
                      </c:pt>
                      <c:pt idx="41">
                        <c:v>86.476885124910382</c:v>
                      </c:pt>
                      <c:pt idx="42">
                        <c:v>82.613988964407639</c:v>
                      </c:pt>
                      <c:pt idx="43">
                        <c:v>78.751092803918368</c:v>
                      </c:pt>
                      <c:pt idx="44">
                        <c:v>74.888196643415611</c:v>
                      </c:pt>
                      <c:pt idx="45">
                        <c:v>71.025300482926355</c:v>
                      </c:pt>
                      <c:pt idx="46">
                        <c:v>67.162404322423598</c:v>
                      </c:pt>
                      <c:pt idx="47">
                        <c:v>63.299508161947813</c:v>
                      </c:pt>
                      <c:pt idx="48">
                        <c:v>59.436612001472007</c:v>
                      </c:pt>
                      <c:pt idx="49">
                        <c:v>55.573715840969264</c:v>
                      </c:pt>
                      <c:pt idx="50">
                        <c:v>51.710819680479993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FF3-4719-91D0-4CC87A3179E0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グラフ!$AH$5</c15:sqref>
                        </c15:formulaRef>
                      </c:ext>
                    </c:extLst>
                    <c:strCache>
                      <c:ptCount val="1"/>
                      <c:pt idx="0">
                        <c:v>inner応力:Δ+20℃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グラフ!$AH$6:$AH$56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226.96957463741998</c:v>
                      </c:pt>
                      <c:pt idx="1">
                        <c:v>223.10667847693074</c:v>
                      </c:pt>
                      <c:pt idx="2">
                        <c:v>219.24378231642797</c:v>
                      </c:pt>
                      <c:pt idx="3">
                        <c:v>215.3808861559387</c:v>
                      </c:pt>
                      <c:pt idx="4">
                        <c:v>211.51798999543593</c:v>
                      </c:pt>
                      <c:pt idx="5">
                        <c:v>207.65509383494668</c:v>
                      </c:pt>
                      <c:pt idx="6">
                        <c:v>203.79219767445741</c:v>
                      </c:pt>
                      <c:pt idx="7">
                        <c:v>199.92930151395467</c:v>
                      </c:pt>
                      <c:pt idx="8">
                        <c:v>196.06640535347887</c:v>
                      </c:pt>
                      <c:pt idx="9">
                        <c:v>192.2035091929896</c:v>
                      </c:pt>
                      <c:pt idx="10">
                        <c:v>188.34061303248683</c:v>
                      </c:pt>
                      <c:pt idx="11">
                        <c:v>184.47771687199759</c:v>
                      </c:pt>
                      <c:pt idx="12">
                        <c:v>180.61482071149484</c:v>
                      </c:pt>
                      <c:pt idx="13">
                        <c:v>176.75192455100557</c:v>
                      </c:pt>
                      <c:pt idx="14">
                        <c:v>172.8890283905163</c:v>
                      </c:pt>
                      <c:pt idx="15">
                        <c:v>169.026132230027</c:v>
                      </c:pt>
                      <c:pt idx="16">
                        <c:v>165.16323606953776</c:v>
                      </c:pt>
                      <c:pt idx="17">
                        <c:v>161.30033990904849</c:v>
                      </c:pt>
                      <c:pt idx="18">
                        <c:v>157.43744374855919</c:v>
                      </c:pt>
                      <c:pt idx="19">
                        <c:v>153.5745475880565</c:v>
                      </c:pt>
                      <c:pt idx="20">
                        <c:v>149.7116514275537</c:v>
                      </c:pt>
                      <c:pt idx="21">
                        <c:v>145.84875526707793</c:v>
                      </c:pt>
                      <c:pt idx="22">
                        <c:v>141.98585910656169</c:v>
                      </c:pt>
                      <c:pt idx="23">
                        <c:v>138.12296294608592</c:v>
                      </c:pt>
                      <c:pt idx="24">
                        <c:v>134.26006678558315</c:v>
                      </c:pt>
                      <c:pt idx="25">
                        <c:v>130.39717062509388</c:v>
                      </c:pt>
                      <c:pt idx="26">
                        <c:v>126.53427446463157</c:v>
                      </c:pt>
                      <c:pt idx="27">
                        <c:v>122.67137830411536</c:v>
                      </c:pt>
                      <c:pt idx="28">
                        <c:v>118.80848214363955</c:v>
                      </c:pt>
                      <c:pt idx="29">
                        <c:v>114.94558598313681</c:v>
                      </c:pt>
                      <c:pt idx="30">
                        <c:v>111.08268982264754</c:v>
                      </c:pt>
                      <c:pt idx="31">
                        <c:v>107.2197936621448</c:v>
                      </c:pt>
                      <c:pt idx="32">
                        <c:v>103.356897501669</c:v>
                      </c:pt>
                      <c:pt idx="33">
                        <c:v>99.494001341152767</c:v>
                      </c:pt>
                      <c:pt idx="34">
                        <c:v>95.631105180663511</c:v>
                      </c:pt>
                      <c:pt idx="35">
                        <c:v>91.768209020174226</c:v>
                      </c:pt>
                      <c:pt idx="36">
                        <c:v>87.905312859698427</c:v>
                      </c:pt>
                      <c:pt idx="37">
                        <c:v>84.04241669920917</c:v>
                      </c:pt>
                      <c:pt idx="38">
                        <c:v>80.179520538706413</c:v>
                      </c:pt>
                      <c:pt idx="39">
                        <c:v>76.316624378230628</c:v>
                      </c:pt>
                      <c:pt idx="40">
                        <c:v>72.453728217714399</c:v>
                      </c:pt>
                      <c:pt idx="41">
                        <c:v>68.590832057225128</c:v>
                      </c:pt>
                      <c:pt idx="42">
                        <c:v>64.727935896735858</c:v>
                      </c:pt>
                      <c:pt idx="43">
                        <c:v>60.865039736233115</c:v>
                      </c:pt>
                      <c:pt idx="44">
                        <c:v>57.002143575730365</c:v>
                      </c:pt>
                      <c:pt idx="45">
                        <c:v>53.139247415254573</c:v>
                      </c:pt>
                      <c:pt idx="46">
                        <c:v>49.276351254765309</c:v>
                      </c:pt>
                      <c:pt idx="47">
                        <c:v>45.413455094276038</c:v>
                      </c:pt>
                      <c:pt idx="48">
                        <c:v>41.550558933786768</c:v>
                      </c:pt>
                      <c:pt idx="49">
                        <c:v>37.687662773297497</c:v>
                      </c:pt>
                      <c:pt idx="50">
                        <c:v>33.824766612794747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FF3-4719-91D0-4CC87A3179E0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グラフ!$AI$5</c15:sqref>
                        </c15:formulaRef>
                      </c:ext>
                    </c:extLst>
                    <c:strCache>
                      <c:ptCount val="1"/>
                      <c:pt idx="0">
                        <c:v>inner応力:Δ+30℃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グラフ!$AI$6:$AI$56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209.0835215697347</c:v>
                      </c:pt>
                      <c:pt idx="1">
                        <c:v>205.22062540925893</c:v>
                      </c:pt>
                      <c:pt idx="2">
                        <c:v>201.35772924875619</c:v>
                      </c:pt>
                      <c:pt idx="3">
                        <c:v>197.49483308825344</c:v>
                      </c:pt>
                      <c:pt idx="4">
                        <c:v>193.63193692776417</c:v>
                      </c:pt>
                      <c:pt idx="5">
                        <c:v>189.76904076726143</c:v>
                      </c:pt>
                      <c:pt idx="6">
                        <c:v>185.90614460678566</c:v>
                      </c:pt>
                      <c:pt idx="7">
                        <c:v>182.04324844628289</c:v>
                      </c:pt>
                      <c:pt idx="8">
                        <c:v>178.18035228579362</c:v>
                      </c:pt>
                      <c:pt idx="9">
                        <c:v>174.31745612531782</c:v>
                      </c:pt>
                      <c:pt idx="10">
                        <c:v>170.4545599648016</c:v>
                      </c:pt>
                      <c:pt idx="11">
                        <c:v>166.59166380431233</c:v>
                      </c:pt>
                      <c:pt idx="12">
                        <c:v>162.72876764382306</c:v>
                      </c:pt>
                      <c:pt idx="13">
                        <c:v>158.86587148332032</c:v>
                      </c:pt>
                      <c:pt idx="14">
                        <c:v>155.00297532284452</c:v>
                      </c:pt>
                      <c:pt idx="15">
                        <c:v>151.14007916236875</c:v>
                      </c:pt>
                      <c:pt idx="16">
                        <c:v>147.27718300186598</c:v>
                      </c:pt>
                      <c:pt idx="17">
                        <c:v>143.41428684136324</c:v>
                      </c:pt>
                      <c:pt idx="18">
                        <c:v>139.55139068087396</c:v>
                      </c:pt>
                      <c:pt idx="19">
                        <c:v>135.68849452038469</c:v>
                      </c:pt>
                      <c:pt idx="20">
                        <c:v>131.82559835986848</c:v>
                      </c:pt>
                      <c:pt idx="21">
                        <c:v>127.96270219939267</c:v>
                      </c:pt>
                      <c:pt idx="22">
                        <c:v>124.09980603888992</c:v>
                      </c:pt>
                      <c:pt idx="23">
                        <c:v>120.23690987840067</c:v>
                      </c:pt>
                      <c:pt idx="24">
                        <c:v>116.37401371792487</c:v>
                      </c:pt>
                      <c:pt idx="25">
                        <c:v>112.5111175574356</c:v>
                      </c:pt>
                      <c:pt idx="26">
                        <c:v>108.64822139694633</c:v>
                      </c:pt>
                      <c:pt idx="27">
                        <c:v>104.78532523644357</c:v>
                      </c:pt>
                      <c:pt idx="28">
                        <c:v>100.9224290759543</c:v>
                      </c:pt>
                      <c:pt idx="29">
                        <c:v>97.059532915451541</c:v>
                      </c:pt>
                      <c:pt idx="30">
                        <c:v>93.196636754975771</c:v>
                      </c:pt>
                      <c:pt idx="31">
                        <c:v>89.333740594459542</c:v>
                      </c:pt>
                      <c:pt idx="32">
                        <c:v>85.470844433983729</c:v>
                      </c:pt>
                      <c:pt idx="33">
                        <c:v>81.607948273481</c:v>
                      </c:pt>
                      <c:pt idx="34">
                        <c:v>77.745052113005201</c:v>
                      </c:pt>
                      <c:pt idx="35">
                        <c:v>73.882155952502458</c:v>
                      </c:pt>
                      <c:pt idx="36">
                        <c:v>70.019259792013173</c:v>
                      </c:pt>
                      <c:pt idx="37">
                        <c:v>66.156363631537403</c:v>
                      </c:pt>
                      <c:pt idx="38">
                        <c:v>62.293467471021167</c:v>
                      </c:pt>
                      <c:pt idx="39">
                        <c:v>58.430571310545368</c:v>
                      </c:pt>
                      <c:pt idx="40">
                        <c:v>54.567675150042632</c:v>
                      </c:pt>
                      <c:pt idx="41">
                        <c:v>50.704778989539889</c:v>
                      </c:pt>
                      <c:pt idx="42">
                        <c:v>46.841882829050618</c:v>
                      </c:pt>
                      <c:pt idx="43">
                        <c:v>42.97898666856134</c:v>
                      </c:pt>
                      <c:pt idx="44">
                        <c:v>39.116090508072077</c:v>
                      </c:pt>
                      <c:pt idx="45">
                        <c:v>35.253194347582806</c:v>
                      </c:pt>
                      <c:pt idx="46">
                        <c:v>31.390298187080059</c:v>
                      </c:pt>
                      <c:pt idx="47">
                        <c:v>27.527402026604268</c:v>
                      </c:pt>
                      <c:pt idx="48">
                        <c:v>23.664505866101514</c:v>
                      </c:pt>
                      <c:pt idx="49">
                        <c:v>19.801609705612247</c:v>
                      </c:pt>
                      <c:pt idx="50">
                        <c:v>15.93871354512298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FF3-4719-91D0-4CC87A3179E0}"/>
                  </c:ext>
                </c:extLst>
              </c15:ser>
            </c15:filteredScatterSeries>
            <c15:filteredScatterSeries>
              <c15:ser>
                <c:idx val="21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グラフ!$AJ$5</c15:sqref>
                        </c15:formulaRef>
                      </c:ext>
                    </c:extLst>
                    <c:strCache>
                      <c:ptCount val="1"/>
                      <c:pt idx="0">
                        <c:v>inner降伏点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グラフ!$AJ$6:$AJ$56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345</c:v>
                      </c:pt>
                      <c:pt idx="1">
                        <c:v>345</c:v>
                      </c:pt>
                      <c:pt idx="2">
                        <c:v>345</c:v>
                      </c:pt>
                      <c:pt idx="3">
                        <c:v>345</c:v>
                      </c:pt>
                      <c:pt idx="4">
                        <c:v>345</c:v>
                      </c:pt>
                      <c:pt idx="5">
                        <c:v>345</c:v>
                      </c:pt>
                      <c:pt idx="6">
                        <c:v>345</c:v>
                      </c:pt>
                      <c:pt idx="7">
                        <c:v>345</c:v>
                      </c:pt>
                      <c:pt idx="8">
                        <c:v>345</c:v>
                      </c:pt>
                      <c:pt idx="9">
                        <c:v>345</c:v>
                      </c:pt>
                      <c:pt idx="10">
                        <c:v>345</c:v>
                      </c:pt>
                      <c:pt idx="11">
                        <c:v>345</c:v>
                      </c:pt>
                      <c:pt idx="12">
                        <c:v>345</c:v>
                      </c:pt>
                      <c:pt idx="13">
                        <c:v>345</c:v>
                      </c:pt>
                      <c:pt idx="14">
                        <c:v>345</c:v>
                      </c:pt>
                      <c:pt idx="15">
                        <c:v>345</c:v>
                      </c:pt>
                      <c:pt idx="16">
                        <c:v>345</c:v>
                      </c:pt>
                      <c:pt idx="17">
                        <c:v>345</c:v>
                      </c:pt>
                      <c:pt idx="18">
                        <c:v>345</c:v>
                      </c:pt>
                      <c:pt idx="19">
                        <c:v>345</c:v>
                      </c:pt>
                      <c:pt idx="20">
                        <c:v>345</c:v>
                      </c:pt>
                      <c:pt idx="21">
                        <c:v>345</c:v>
                      </c:pt>
                      <c:pt idx="22">
                        <c:v>345</c:v>
                      </c:pt>
                      <c:pt idx="23">
                        <c:v>345</c:v>
                      </c:pt>
                      <c:pt idx="24">
                        <c:v>345</c:v>
                      </c:pt>
                      <c:pt idx="25">
                        <c:v>345</c:v>
                      </c:pt>
                      <c:pt idx="26">
                        <c:v>345</c:v>
                      </c:pt>
                      <c:pt idx="27">
                        <c:v>345</c:v>
                      </c:pt>
                      <c:pt idx="28">
                        <c:v>345</c:v>
                      </c:pt>
                      <c:pt idx="29">
                        <c:v>345</c:v>
                      </c:pt>
                      <c:pt idx="30">
                        <c:v>345</c:v>
                      </c:pt>
                      <c:pt idx="31">
                        <c:v>345</c:v>
                      </c:pt>
                      <c:pt idx="32">
                        <c:v>345</c:v>
                      </c:pt>
                      <c:pt idx="33">
                        <c:v>345</c:v>
                      </c:pt>
                      <c:pt idx="34">
                        <c:v>345</c:v>
                      </c:pt>
                      <c:pt idx="35">
                        <c:v>345</c:v>
                      </c:pt>
                      <c:pt idx="36">
                        <c:v>345</c:v>
                      </c:pt>
                      <c:pt idx="37">
                        <c:v>345</c:v>
                      </c:pt>
                      <c:pt idx="38">
                        <c:v>345</c:v>
                      </c:pt>
                      <c:pt idx="39">
                        <c:v>345</c:v>
                      </c:pt>
                      <c:pt idx="40">
                        <c:v>345</c:v>
                      </c:pt>
                      <c:pt idx="41">
                        <c:v>345</c:v>
                      </c:pt>
                      <c:pt idx="42">
                        <c:v>345</c:v>
                      </c:pt>
                      <c:pt idx="43">
                        <c:v>345</c:v>
                      </c:pt>
                      <c:pt idx="44">
                        <c:v>345</c:v>
                      </c:pt>
                      <c:pt idx="45">
                        <c:v>345</c:v>
                      </c:pt>
                      <c:pt idx="46">
                        <c:v>345</c:v>
                      </c:pt>
                      <c:pt idx="47">
                        <c:v>345</c:v>
                      </c:pt>
                      <c:pt idx="48">
                        <c:v>345</c:v>
                      </c:pt>
                      <c:pt idx="49">
                        <c:v>345</c:v>
                      </c:pt>
                      <c:pt idx="50">
                        <c:v>345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FF3-4719-91D0-4CC87A3179E0}"/>
                  </c:ext>
                </c:extLst>
              </c15:ser>
            </c15:filteredScatterSeries>
          </c:ext>
        </c:extLst>
      </c:scatterChart>
      <c:valAx>
        <c:axId val="1878419104"/>
        <c:scaling>
          <c:orientation val="minMax"/>
          <c:max val="200"/>
          <c:min val="-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グラフ!$N$5</c:f>
              <c:strCache>
                <c:ptCount val="1"/>
                <c:pt idx="0">
                  <c:v>inner温度[℃]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8401216"/>
        <c:crosses val="autoZero"/>
        <c:crossBetween val="midCat"/>
      </c:valAx>
      <c:valAx>
        <c:axId val="18784012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グラフ!$AK$4</c:f>
              <c:strCache>
                <c:ptCount val="1"/>
                <c:pt idx="0">
                  <c:v>outer応力[MPa]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8419104"/>
        <c:crossesAt val="-100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締め代</a:t>
            </a:r>
            <a:r>
              <a:rPr lang="en-US" altLang="ja-JP"/>
              <a:t>vs</a:t>
            </a:r>
            <a:r>
              <a:rPr lang="ja-JP" altLang="en-US"/>
              <a:t>圧入力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グラフ!$E$5</c:f>
              <c:strCache>
                <c:ptCount val="1"/>
                <c:pt idx="0">
                  <c:v>圧入力min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グラフ!$E$6:$E$56</c:f>
              <c:numCache>
                <c:formatCode>0.0</c:formatCode>
                <c:ptCount val="51"/>
                <c:pt idx="0">
                  <c:v>0</c:v>
                </c:pt>
                <c:pt idx="1">
                  <c:v>0.89470665446764941</c:v>
                </c:pt>
                <c:pt idx="2">
                  <c:v>1.7894133089352988</c:v>
                </c:pt>
                <c:pt idx="3">
                  <c:v>2.6841199634029484</c:v>
                </c:pt>
                <c:pt idx="4">
                  <c:v>3.5788266178705976</c:v>
                </c:pt>
                <c:pt idx="5">
                  <c:v>4.4735332723382468</c:v>
                </c:pt>
                <c:pt idx="6">
                  <c:v>5.3682399268058969</c:v>
                </c:pt>
                <c:pt idx="7">
                  <c:v>6.262946581273547</c:v>
                </c:pt>
                <c:pt idx="8">
                  <c:v>7.1576532357411953</c:v>
                </c:pt>
                <c:pt idx="9">
                  <c:v>8.0523598902088445</c:v>
                </c:pt>
                <c:pt idx="10">
                  <c:v>8.9470665446764936</c:v>
                </c:pt>
                <c:pt idx="11">
                  <c:v>9.8417731991441428</c:v>
                </c:pt>
                <c:pt idx="12">
                  <c:v>10.736479853611794</c:v>
                </c:pt>
                <c:pt idx="13">
                  <c:v>11.631186508079443</c:v>
                </c:pt>
                <c:pt idx="14">
                  <c:v>12.525893162547094</c:v>
                </c:pt>
                <c:pt idx="15">
                  <c:v>13.420599817014741</c:v>
                </c:pt>
                <c:pt idx="16">
                  <c:v>14.315306471482391</c:v>
                </c:pt>
                <c:pt idx="17">
                  <c:v>15.21001312595004</c:v>
                </c:pt>
                <c:pt idx="18">
                  <c:v>16.104719780417689</c:v>
                </c:pt>
                <c:pt idx="19">
                  <c:v>16.999426434885343</c:v>
                </c:pt>
                <c:pt idx="20">
                  <c:v>17.894133089352987</c:v>
                </c:pt>
                <c:pt idx="21">
                  <c:v>18.788839743820638</c:v>
                </c:pt>
                <c:pt idx="22">
                  <c:v>19.683546398288286</c:v>
                </c:pt>
                <c:pt idx="23">
                  <c:v>20.578253052755937</c:v>
                </c:pt>
                <c:pt idx="24">
                  <c:v>21.472959707223588</c:v>
                </c:pt>
                <c:pt idx="25">
                  <c:v>22.367666361691235</c:v>
                </c:pt>
                <c:pt idx="26">
                  <c:v>23.262373016158886</c:v>
                </c:pt>
                <c:pt idx="27">
                  <c:v>24.157079670626537</c:v>
                </c:pt>
                <c:pt idx="28">
                  <c:v>25.051786325094188</c:v>
                </c:pt>
                <c:pt idx="29">
                  <c:v>25.946492979561825</c:v>
                </c:pt>
                <c:pt idx="30">
                  <c:v>26.841199634029483</c:v>
                </c:pt>
                <c:pt idx="31">
                  <c:v>27.735906288497134</c:v>
                </c:pt>
                <c:pt idx="32">
                  <c:v>28.630612942964781</c:v>
                </c:pt>
                <c:pt idx="33">
                  <c:v>29.525319597432432</c:v>
                </c:pt>
                <c:pt idx="34">
                  <c:v>30.420026251900079</c:v>
                </c:pt>
                <c:pt idx="35">
                  <c:v>31.31473290636773</c:v>
                </c:pt>
                <c:pt idx="36">
                  <c:v>32.209439560835378</c:v>
                </c:pt>
                <c:pt idx="37">
                  <c:v>33.104146215303032</c:v>
                </c:pt>
                <c:pt idx="38">
                  <c:v>33.998852869770687</c:v>
                </c:pt>
                <c:pt idx="39">
                  <c:v>34.893559524238327</c:v>
                </c:pt>
                <c:pt idx="40">
                  <c:v>35.788266178705975</c:v>
                </c:pt>
                <c:pt idx="41">
                  <c:v>36.682972833173629</c:v>
                </c:pt>
                <c:pt idx="42">
                  <c:v>37.577679487641277</c:v>
                </c:pt>
                <c:pt idx="43">
                  <c:v>38.472386142108924</c:v>
                </c:pt>
                <c:pt idx="44">
                  <c:v>39.367092796576571</c:v>
                </c:pt>
                <c:pt idx="45">
                  <c:v>40.261799451044219</c:v>
                </c:pt>
                <c:pt idx="46">
                  <c:v>41.156506105511873</c:v>
                </c:pt>
                <c:pt idx="47">
                  <c:v>42.051212759979528</c:v>
                </c:pt>
                <c:pt idx="48">
                  <c:v>42.945919414447175</c:v>
                </c:pt>
                <c:pt idx="49">
                  <c:v>43.840626068914823</c:v>
                </c:pt>
                <c:pt idx="50">
                  <c:v>44.73533272338247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A1-4C62-9348-87DC5D975BBC}"/>
            </c:ext>
          </c:extLst>
        </c:ser>
        <c:ser>
          <c:idx val="4"/>
          <c:order val="4"/>
          <c:tx>
            <c:strRef>
              <c:f>グラフ!$F$5</c:f>
              <c:strCache>
                <c:ptCount val="1"/>
                <c:pt idx="0">
                  <c:v>圧入力nor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グラフ!$F$6:$F$56</c:f>
              <c:numCache>
                <c:formatCode>0.0</c:formatCode>
                <c:ptCount val="51"/>
                <c:pt idx="0">
                  <c:v>0</c:v>
                </c:pt>
                <c:pt idx="1">
                  <c:v>1.1425876408527915</c:v>
                </c:pt>
                <c:pt idx="2">
                  <c:v>2.285175281705583</c:v>
                </c:pt>
                <c:pt idx="3">
                  <c:v>3.4277629225583741</c:v>
                </c:pt>
                <c:pt idx="4">
                  <c:v>4.5703505634111661</c:v>
                </c:pt>
                <c:pt idx="5">
                  <c:v>5.712938204263958</c:v>
                </c:pt>
                <c:pt idx="6">
                  <c:v>6.8555258451167482</c:v>
                </c:pt>
                <c:pt idx="7">
                  <c:v>7.998113485969542</c:v>
                </c:pt>
                <c:pt idx="8">
                  <c:v>9.1407011268223322</c:v>
                </c:pt>
                <c:pt idx="9">
                  <c:v>10.283288767675124</c:v>
                </c:pt>
                <c:pt idx="10">
                  <c:v>11.425876408527916</c:v>
                </c:pt>
                <c:pt idx="11">
                  <c:v>12.568464049380708</c:v>
                </c:pt>
                <c:pt idx="12">
                  <c:v>13.711051690233496</c:v>
                </c:pt>
                <c:pt idx="13">
                  <c:v>14.853639331086292</c:v>
                </c:pt>
                <c:pt idx="14">
                  <c:v>15.996226971939084</c:v>
                </c:pt>
                <c:pt idx="15">
                  <c:v>17.138814612791872</c:v>
                </c:pt>
                <c:pt idx="16">
                  <c:v>18.281402253644664</c:v>
                </c:pt>
                <c:pt idx="17">
                  <c:v>19.423989894497456</c:v>
                </c:pt>
                <c:pt idx="18">
                  <c:v>20.566577535350248</c:v>
                </c:pt>
                <c:pt idx="19">
                  <c:v>21.709165176203044</c:v>
                </c:pt>
                <c:pt idx="20">
                  <c:v>22.851752817055832</c:v>
                </c:pt>
                <c:pt idx="21">
                  <c:v>23.994340457908621</c:v>
                </c:pt>
                <c:pt idx="22">
                  <c:v>25.136928098761416</c:v>
                </c:pt>
                <c:pt idx="23">
                  <c:v>26.279515739614205</c:v>
                </c:pt>
                <c:pt idx="24">
                  <c:v>27.422103380466993</c:v>
                </c:pt>
                <c:pt idx="25">
                  <c:v>28.564691021319788</c:v>
                </c:pt>
                <c:pt idx="26">
                  <c:v>29.707278662172584</c:v>
                </c:pt>
                <c:pt idx="27">
                  <c:v>30.849866303025369</c:v>
                </c:pt>
                <c:pt idx="28">
                  <c:v>31.992453943878168</c:v>
                </c:pt>
                <c:pt idx="29">
                  <c:v>33.135041584730949</c:v>
                </c:pt>
                <c:pt idx="30">
                  <c:v>34.277629225583745</c:v>
                </c:pt>
                <c:pt idx="31">
                  <c:v>35.42021686643654</c:v>
                </c:pt>
                <c:pt idx="32">
                  <c:v>36.562804507289329</c:v>
                </c:pt>
                <c:pt idx="33">
                  <c:v>37.705392148142117</c:v>
                </c:pt>
                <c:pt idx="34">
                  <c:v>38.847979788994913</c:v>
                </c:pt>
                <c:pt idx="35">
                  <c:v>39.990567429847701</c:v>
                </c:pt>
                <c:pt idx="36">
                  <c:v>41.133155070700496</c:v>
                </c:pt>
                <c:pt idx="37">
                  <c:v>42.275742711553285</c:v>
                </c:pt>
                <c:pt idx="38">
                  <c:v>43.418330352406088</c:v>
                </c:pt>
                <c:pt idx="39">
                  <c:v>44.560917993258869</c:v>
                </c:pt>
                <c:pt idx="40">
                  <c:v>45.703505634111664</c:v>
                </c:pt>
                <c:pt idx="41">
                  <c:v>46.846093274964446</c:v>
                </c:pt>
                <c:pt idx="42">
                  <c:v>47.988680915817241</c:v>
                </c:pt>
                <c:pt idx="43">
                  <c:v>49.13126855667003</c:v>
                </c:pt>
                <c:pt idx="44">
                  <c:v>50.273856197522832</c:v>
                </c:pt>
                <c:pt idx="45">
                  <c:v>51.416443838375621</c:v>
                </c:pt>
                <c:pt idx="46">
                  <c:v>52.559031479228409</c:v>
                </c:pt>
                <c:pt idx="47">
                  <c:v>53.701619120081212</c:v>
                </c:pt>
                <c:pt idx="48">
                  <c:v>54.844206760933986</c:v>
                </c:pt>
                <c:pt idx="49">
                  <c:v>55.986794401786796</c:v>
                </c:pt>
                <c:pt idx="50">
                  <c:v>57.129382042639577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5A1-4C62-9348-87DC5D975BBC}"/>
            </c:ext>
          </c:extLst>
        </c:ser>
        <c:ser>
          <c:idx val="5"/>
          <c:order val="5"/>
          <c:tx>
            <c:strRef>
              <c:f>グラフ!$G$5</c:f>
              <c:strCache>
                <c:ptCount val="1"/>
                <c:pt idx="0">
                  <c:v>圧入力max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グラフ!$G$6:$G$56</c:f>
              <c:numCache>
                <c:formatCode>0.0</c:formatCode>
                <c:ptCount val="51"/>
                <c:pt idx="0">
                  <c:v>0</c:v>
                </c:pt>
                <c:pt idx="1">
                  <c:v>1.4004306860873335</c:v>
                </c:pt>
                <c:pt idx="2">
                  <c:v>2.8008613721746669</c:v>
                </c:pt>
                <c:pt idx="3">
                  <c:v>4.201292058262001</c:v>
                </c:pt>
                <c:pt idx="4">
                  <c:v>5.6017227443493338</c:v>
                </c:pt>
                <c:pt idx="5">
                  <c:v>7.0021534304366675</c:v>
                </c:pt>
                <c:pt idx="6">
                  <c:v>8.4025841165240021</c:v>
                </c:pt>
                <c:pt idx="7">
                  <c:v>9.8030148026113366</c:v>
                </c:pt>
                <c:pt idx="8">
                  <c:v>11.203445488698668</c:v>
                </c:pt>
                <c:pt idx="9">
                  <c:v>12.603876174786002</c:v>
                </c:pt>
                <c:pt idx="10">
                  <c:v>14.004306860873335</c:v>
                </c:pt>
                <c:pt idx="11">
                  <c:v>15.404737546960666</c:v>
                </c:pt>
                <c:pt idx="12">
                  <c:v>16.805168233048004</c:v>
                </c:pt>
                <c:pt idx="13">
                  <c:v>18.20559891913534</c:v>
                </c:pt>
                <c:pt idx="14">
                  <c:v>19.606029605222673</c:v>
                </c:pt>
                <c:pt idx="15">
                  <c:v>21.006460291310002</c:v>
                </c:pt>
                <c:pt idx="16">
                  <c:v>22.406890977397335</c:v>
                </c:pt>
                <c:pt idx="17">
                  <c:v>23.807321663484668</c:v>
                </c:pt>
                <c:pt idx="18">
                  <c:v>25.207752349572004</c:v>
                </c:pt>
                <c:pt idx="19">
                  <c:v>26.608183035659341</c:v>
                </c:pt>
                <c:pt idx="20">
                  <c:v>28.00861372174667</c:v>
                </c:pt>
                <c:pt idx="21">
                  <c:v>29.409044407833999</c:v>
                </c:pt>
                <c:pt idx="22">
                  <c:v>30.809475093921332</c:v>
                </c:pt>
                <c:pt idx="23">
                  <c:v>32.209905780008675</c:v>
                </c:pt>
                <c:pt idx="24">
                  <c:v>33.610336466096008</c:v>
                </c:pt>
                <c:pt idx="25">
                  <c:v>35.010767152183341</c:v>
                </c:pt>
                <c:pt idx="26">
                  <c:v>36.411197838270681</c:v>
                </c:pt>
                <c:pt idx="27">
                  <c:v>37.811628524358007</c:v>
                </c:pt>
                <c:pt idx="28">
                  <c:v>39.212059210445346</c:v>
                </c:pt>
                <c:pt idx="29">
                  <c:v>40.612489896532665</c:v>
                </c:pt>
                <c:pt idx="30">
                  <c:v>42.012920582620005</c:v>
                </c:pt>
                <c:pt idx="31">
                  <c:v>43.413351268707345</c:v>
                </c:pt>
                <c:pt idx="32">
                  <c:v>44.813781954794671</c:v>
                </c:pt>
                <c:pt idx="33">
                  <c:v>46.21421264088201</c:v>
                </c:pt>
                <c:pt idx="34">
                  <c:v>47.614643326969336</c:v>
                </c:pt>
                <c:pt idx="35">
                  <c:v>49.015074013056676</c:v>
                </c:pt>
                <c:pt idx="36">
                  <c:v>50.415504699144009</c:v>
                </c:pt>
                <c:pt idx="37">
                  <c:v>51.815935385231342</c:v>
                </c:pt>
                <c:pt idx="38">
                  <c:v>53.216366071318681</c:v>
                </c:pt>
                <c:pt idx="39">
                  <c:v>54.616796757406</c:v>
                </c:pt>
                <c:pt idx="40">
                  <c:v>56.01722744349334</c:v>
                </c:pt>
                <c:pt idx="41">
                  <c:v>57.417658129580673</c:v>
                </c:pt>
                <c:pt idx="42">
                  <c:v>58.818088815667998</c:v>
                </c:pt>
                <c:pt idx="43">
                  <c:v>60.218519501755338</c:v>
                </c:pt>
                <c:pt idx="44">
                  <c:v>61.618950187842664</c:v>
                </c:pt>
                <c:pt idx="45">
                  <c:v>63.019380873930011</c:v>
                </c:pt>
                <c:pt idx="46">
                  <c:v>64.419811560017351</c:v>
                </c:pt>
                <c:pt idx="47">
                  <c:v>65.820242246104698</c:v>
                </c:pt>
                <c:pt idx="48">
                  <c:v>67.220672932192016</c:v>
                </c:pt>
                <c:pt idx="49">
                  <c:v>68.621103618279349</c:v>
                </c:pt>
                <c:pt idx="50">
                  <c:v>70.021534304366682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5A1-4C62-9348-87DC5D975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9338655"/>
        <c:axId val="206933407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グラフ!$B$5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半径方向応力min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グラフ!$B$6:$B$56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5.13552081128155</c:v>
                      </c:pt>
                      <c:pt idx="2">
                        <c:v>10.2710416225631</c:v>
                      </c:pt>
                      <c:pt idx="3">
                        <c:v>15.40656243384465</c:v>
                      </c:pt>
                      <c:pt idx="4">
                        <c:v>20.5420832451262</c:v>
                      </c:pt>
                      <c:pt idx="5">
                        <c:v>25.677604056407752</c:v>
                      </c:pt>
                      <c:pt idx="6">
                        <c:v>30.8131248676893</c:v>
                      </c:pt>
                      <c:pt idx="7">
                        <c:v>35.948645678970855</c:v>
                      </c:pt>
                      <c:pt idx="8">
                        <c:v>41.0841664902524</c:v>
                      </c:pt>
                      <c:pt idx="9">
                        <c:v>46.219687301533952</c:v>
                      </c:pt>
                      <c:pt idx="10">
                        <c:v>51.355208112815504</c:v>
                      </c:pt>
                      <c:pt idx="11">
                        <c:v>56.490728924097048</c:v>
                      </c:pt>
                      <c:pt idx="12">
                        <c:v>61.6262497353786</c:v>
                      </c:pt>
                      <c:pt idx="13">
                        <c:v>66.761770546660159</c:v>
                      </c:pt>
                      <c:pt idx="14">
                        <c:v>71.897291357941711</c:v>
                      </c:pt>
                      <c:pt idx="15">
                        <c:v>77.032812169223249</c:v>
                      </c:pt>
                      <c:pt idx="16">
                        <c:v>82.1683329805048</c:v>
                      </c:pt>
                      <c:pt idx="17">
                        <c:v>87.303853791786352</c:v>
                      </c:pt>
                      <c:pt idx="18">
                        <c:v>92.439374603067904</c:v>
                      </c:pt>
                      <c:pt idx="19">
                        <c:v>97.57489541434947</c:v>
                      </c:pt>
                      <c:pt idx="20">
                        <c:v>102.71041622563101</c:v>
                      </c:pt>
                      <c:pt idx="21">
                        <c:v>107.84593703691255</c:v>
                      </c:pt>
                      <c:pt idx="22">
                        <c:v>112.9814578481941</c:v>
                      </c:pt>
                      <c:pt idx="23">
                        <c:v>118.11697865947566</c:v>
                      </c:pt>
                      <c:pt idx="24">
                        <c:v>123.2524994707572</c:v>
                      </c:pt>
                      <c:pt idx="25">
                        <c:v>128.38802028203875</c:v>
                      </c:pt>
                      <c:pt idx="26">
                        <c:v>133.52354109332032</c:v>
                      </c:pt>
                      <c:pt idx="27">
                        <c:v>138.65906190460186</c:v>
                      </c:pt>
                      <c:pt idx="28">
                        <c:v>143.79458271588342</c:v>
                      </c:pt>
                      <c:pt idx="29">
                        <c:v>148.93010352716493</c:v>
                      </c:pt>
                      <c:pt idx="30">
                        <c:v>154.0656243384465</c:v>
                      </c:pt>
                      <c:pt idx="31">
                        <c:v>159.20114514972806</c:v>
                      </c:pt>
                      <c:pt idx="32">
                        <c:v>164.3366659610096</c:v>
                      </c:pt>
                      <c:pt idx="33">
                        <c:v>169.47218677229117</c:v>
                      </c:pt>
                      <c:pt idx="34">
                        <c:v>174.6077075835727</c:v>
                      </c:pt>
                      <c:pt idx="35">
                        <c:v>179.74322839485427</c:v>
                      </c:pt>
                      <c:pt idx="36">
                        <c:v>184.87874920613581</c:v>
                      </c:pt>
                      <c:pt idx="37">
                        <c:v>190.01427001741737</c:v>
                      </c:pt>
                      <c:pt idx="38">
                        <c:v>195.14979082869894</c:v>
                      </c:pt>
                      <c:pt idx="39">
                        <c:v>200.28531163998045</c:v>
                      </c:pt>
                      <c:pt idx="40">
                        <c:v>205.42083245126202</c:v>
                      </c:pt>
                      <c:pt idx="41">
                        <c:v>210.55635326254355</c:v>
                      </c:pt>
                      <c:pt idx="42">
                        <c:v>215.69187407382509</c:v>
                      </c:pt>
                      <c:pt idx="43">
                        <c:v>220.82739488510666</c:v>
                      </c:pt>
                      <c:pt idx="44">
                        <c:v>225.96291569638819</c:v>
                      </c:pt>
                      <c:pt idx="45">
                        <c:v>231.09843650766976</c:v>
                      </c:pt>
                      <c:pt idx="46">
                        <c:v>236.23395731895133</c:v>
                      </c:pt>
                      <c:pt idx="47">
                        <c:v>241.36947813023289</c:v>
                      </c:pt>
                      <c:pt idx="48">
                        <c:v>246.5049989415144</c:v>
                      </c:pt>
                      <c:pt idx="49">
                        <c:v>251.64051975279597</c:v>
                      </c:pt>
                      <c:pt idx="50">
                        <c:v>256.7760405640775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65A1-4C62-9348-87DC5D975BB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グラフ!$C$5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半径方向応力nor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グラフ!$C$6:$C$56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5.1885955296647772</c:v>
                      </c:pt>
                      <c:pt idx="2">
                        <c:v>10.377191059329554</c:v>
                      </c:pt>
                      <c:pt idx="3">
                        <c:v>15.56578658899433</c:v>
                      </c:pt>
                      <c:pt idx="4">
                        <c:v>20.754382118659109</c:v>
                      </c:pt>
                      <c:pt idx="5">
                        <c:v>25.942977648323883</c:v>
                      </c:pt>
                      <c:pt idx="6">
                        <c:v>31.13157317798866</c:v>
                      </c:pt>
                      <c:pt idx="7">
                        <c:v>36.320168707653437</c:v>
                      </c:pt>
                      <c:pt idx="8">
                        <c:v>41.508764237318218</c:v>
                      </c:pt>
                      <c:pt idx="9">
                        <c:v>46.697359766982991</c:v>
                      </c:pt>
                      <c:pt idx="10">
                        <c:v>51.885955296647765</c:v>
                      </c:pt>
                      <c:pt idx="11">
                        <c:v>57.074550826312546</c:v>
                      </c:pt>
                      <c:pt idx="12">
                        <c:v>62.26314635597732</c:v>
                      </c:pt>
                      <c:pt idx="13">
                        <c:v>67.451741885642107</c:v>
                      </c:pt>
                      <c:pt idx="14">
                        <c:v>72.640337415306874</c:v>
                      </c:pt>
                      <c:pt idx="15">
                        <c:v>77.82893294497164</c:v>
                      </c:pt>
                      <c:pt idx="16">
                        <c:v>83.017528474636435</c:v>
                      </c:pt>
                      <c:pt idx="17">
                        <c:v>88.206124004301202</c:v>
                      </c:pt>
                      <c:pt idx="18">
                        <c:v>93.394719533965983</c:v>
                      </c:pt>
                      <c:pt idx="19">
                        <c:v>98.583315063630764</c:v>
                      </c:pt>
                      <c:pt idx="20">
                        <c:v>103.77191059329553</c:v>
                      </c:pt>
                      <c:pt idx="21">
                        <c:v>108.9605061229603</c:v>
                      </c:pt>
                      <c:pt idx="22">
                        <c:v>114.14910165262509</c:v>
                      </c:pt>
                      <c:pt idx="23">
                        <c:v>119.33769718228987</c:v>
                      </c:pt>
                      <c:pt idx="24">
                        <c:v>124.52629271195464</c:v>
                      </c:pt>
                      <c:pt idx="25">
                        <c:v>129.71488824161943</c:v>
                      </c:pt>
                      <c:pt idx="26">
                        <c:v>134.90348377128421</c:v>
                      </c:pt>
                      <c:pt idx="27">
                        <c:v>140.09207930094897</c:v>
                      </c:pt>
                      <c:pt idx="28">
                        <c:v>145.28067483061375</c:v>
                      </c:pt>
                      <c:pt idx="29">
                        <c:v>150.4692703602785</c:v>
                      </c:pt>
                      <c:pt idx="30">
                        <c:v>155.65786588994328</c:v>
                      </c:pt>
                      <c:pt idx="31">
                        <c:v>160.84646141960809</c:v>
                      </c:pt>
                      <c:pt idx="32">
                        <c:v>166.03505694927287</c:v>
                      </c:pt>
                      <c:pt idx="33">
                        <c:v>171.22365247893765</c:v>
                      </c:pt>
                      <c:pt idx="34">
                        <c:v>176.4122480086024</c:v>
                      </c:pt>
                      <c:pt idx="35">
                        <c:v>181.60084353826721</c:v>
                      </c:pt>
                      <c:pt idx="36">
                        <c:v>186.78943906793197</c:v>
                      </c:pt>
                      <c:pt idx="37">
                        <c:v>191.97803459759675</c:v>
                      </c:pt>
                      <c:pt idx="38">
                        <c:v>197.16663012726153</c:v>
                      </c:pt>
                      <c:pt idx="39">
                        <c:v>202.35522565692628</c:v>
                      </c:pt>
                      <c:pt idx="40">
                        <c:v>207.54382118659106</c:v>
                      </c:pt>
                      <c:pt idx="41">
                        <c:v>212.73241671625584</c:v>
                      </c:pt>
                      <c:pt idx="42">
                        <c:v>217.92101224592059</c:v>
                      </c:pt>
                      <c:pt idx="43">
                        <c:v>223.10960777558537</c:v>
                      </c:pt>
                      <c:pt idx="44">
                        <c:v>228.29820330525018</c:v>
                      </c:pt>
                      <c:pt idx="45">
                        <c:v>233.48679883491496</c:v>
                      </c:pt>
                      <c:pt idx="46">
                        <c:v>238.67539436457974</c:v>
                      </c:pt>
                      <c:pt idx="47">
                        <c:v>243.86398989424453</c:v>
                      </c:pt>
                      <c:pt idx="48">
                        <c:v>249.05258542390928</c:v>
                      </c:pt>
                      <c:pt idx="49">
                        <c:v>254.24118095357406</c:v>
                      </c:pt>
                      <c:pt idx="50">
                        <c:v>259.42977648323887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5A1-4C62-9348-87DC5D975BB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グラフ!$D$5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半径方向応力max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グラフ!$D$6:$D$56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5.2410712216185891</c:v>
                      </c:pt>
                      <c:pt idx="2">
                        <c:v>10.482142443237178</c:v>
                      </c:pt>
                      <c:pt idx="3">
                        <c:v>15.723213664855766</c:v>
                      </c:pt>
                      <c:pt idx="4">
                        <c:v>20.964284886474356</c:v>
                      </c:pt>
                      <c:pt idx="5">
                        <c:v>26.205356108092946</c:v>
                      </c:pt>
                      <c:pt idx="6">
                        <c:v>31.446427329711533</c:v>
                      </c:pt>
                      <c:pt idx="7">
                        <c:v>36.687498551330123</c:v>
                      </c:pt>
                      <c:pt idx="8">
                        <c:v>41.928569772948713</c:v>
                      </c:pt>
                      <c:pt idx="9">
                        <c:v>47.169640994567303</c:v>
                      </c:pt>
                      <c:pt idx="10">
                        <c:v>52.410712216185892</c:v>
                      </c:pt>
                      <c:pt idx="11">
                        <c:v>57.651783437804475</c:v>
                      </c:pt>
                      <c:pt idx="12">
                        <c:v>62.892854659423065</c:v>
                      </c:pt>
                      <c:pt idx="13">
                        <c:v>68.133925881041662</c:v>
                      </c:pt>
                      <c:pt idx="14">
                        <c:v>73.374997102660245</c:v>
                      </c:pt>
                      <c:pt idx="15">
                        <c:v>78.616068324278828</c:v>
                      </c:pt>
                      <c:pt idx="16">
                        <c:v>83.857139545897425</c:v>
                      </c:pt>
                      <c:pt idx="17">
                        <c:v>89.098210767516008</c:v>
                      </c:pt>
                      <c:pt idx="18">
                        <c:v>94.339281989134605</c:v>
                      </c:pt>
                      <c:pt idx="19">
                        <c:v>99.580353210753202</c:v>
                      </c:pt>
                      <c:pt idx="20">
                        <c:v>104.82142443237178</c:v>
                      </c:pt>
                      <c:pt idx="21">
                        <c:v>110.06249565399035</c:v>
                      </c:pt>
                      <c:pt idx="22">
                        <c:v>115.30356687560895</c:v>
                      </c:pt>
                      <c:pt idx="23">
                        <c:v>120.54463809722755</c:v>
                      </c:pt>
                      <c:pt idx="24">
                        <c:v>125.78570931884613</c:v>
                      </c:pt>
                      <c:pt idx="25">
                        <c:v>131.02678054046473</c:v>
                      </c:pt>
                      <c:pt idx="26">
                        <c:v>136.26785176208332</c:v>
                      </c:pt>
                      <c:pt idx="27">
                        <c:v>141.50892298370189</c:v>
                      </c:pt>
                      <c:pt idx="28">
                        <c:v>146.74999420532049</c:v>
                      </c:pt>
                      <c:pt idx="29">
                        <c:v>151.99106542693906</c:v>
                      </c:pt>
                      <c:pt idx="30">
                        <c:v>157.23213664855766</c:v>
                      </c:pt>
                      <c:pt idx="31">
                        <c:v>162.47320787017625</c:v>
                      </c:pt>
                      <c:pt idx="32">
                        <c:v>167.71427909179485</c:v>
                      </c:pt>
                      <c:pt idx="33">
                        <c:v>172.95535031341345</c:v>
                      </c:pt>
                      <c:pt idx="34">
                        <c:v>178.19642153503202</c:v>
                      </c:pt>
                      <c:pt idx="35">
                        <c:v>183.43749275665064</c:v>
                      </c:pt>
                      <c:pt idx="36">
                        <c:v>188.67856397826921</c:v>
                      </c:pt>
                      <c:pt idx="37">
                        <c:v>193.91963519988781</c:v>
                      </c:pt>
                      <c:pt idx="38">
                        <c:v>199.1607064215064</c:v>
                      </c:pt>
                      <c:pt idx="39">
                        <c:v>204.40177764312497</c:v>
                      </c:pt>
                      <c:pt idx="40">
                        <c:v>209.64284886474357</c:v>
                      </c:pt>
                      <c:pt idx="41">
                        <c:v>214.88392008636217</c:v>
                      </c:pt>
                      <c:pt idx="42">
                        <c:v>220.12499130798071</c:v>
                      </c:pt>
                      <c:pt idx="43">
                        <c:v>225.3660625295993</c:v>
                      </c:pt>
                      <c:pt idx="44">
                        <c:v>230.6071337512179</c:v>
                      </c:pt>
                      <c:pt idx="45">
                        <c:v>235.8482049728365</c:v>
                      </c:pt>
                      <c:pt idx="46">
                        <c:v>241.0892761944551</c:v>
                      </c:pt>
                      <c:pt idx="47">
                        <c:v>246.33034741607369</c:v>
                      </c:pt>
                      <c:pt idx="48">
                        <c:v>251.57141863769226</c:v>
                      </c:pt>
                      <c:pt idx="49">
                        <c:v>256.81248985931086</c:v>
                      </c:pt>
                      <c:pt idx="50">
                        <c:v>262.05356108092946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5A1-4C62-9348-87DC5D975BBC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グラフ!$H$5</c15:sqref>
                        </c15:formulaRef>
                      </c:ext>
                    </c:extLst>
                    <c:strCache>
                      <c:ptCount val="1"/>
                      <c:pt idx="0">
                        <c:v>降伏点inner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グラフ!$H$6:$H$56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345</c:v>
                      </c:pt>
                      <c:pt idx="1">
                        <c:v>345</c:v>
                      </c:pt>
                      <c:pt idx="2">
                        <c:v>345</c:v>
                      </c:pt>
                      <c:pt idx="3">
                        <c:v>345</c:v>
                      </c:pt>
                      <c:pt idx="4">
                        <c:v>345</c:v>
                      </c:pt>
                      <c:pt idx="5">
                        <c:v>345</c:v>
                      </c:pt>
                      <c:pt idx="6">
                        <c:v>345</c:v>
                      </c:pt>
                      <c:pt idx="7">
                        <c:v>345</c:v>
                      </c:pt>
                      <c:pt idx="8">
                        <c:v>345</c:v>
                      </c:pt>
                      <c:pt idx="9">
                        <c:v>345</c:v>
                      </c:pt>
                      <c:pt idx="10">
                        <c:v>345</c:v>
                      </c:pt>
                      <c:pt idx="11">
                        <c:v>345</c:v>
                      </c:pt>
                      <c:pt idx="12">
                        <c:v>345</c:v>
                      </c:pt>
                      <c:pt idx="13">
                        <c:v>345</c:v>
                      </c:pt>
                      <c:pt idx="14">
                        <c:v>345</c:v>
                      </c:pt>
                      <c:pt idx="15">
                        <c:v>345</c:v>
                      </c:pt>
                      <c:pt idx="16">
                        <c:v>345</c:v>
                      </c:pt>
                      <c:pt idx="17">
                        <c:v>345</c:v>
                      </c:pt>
                      <c:pt idx="18">
                        <c:v>345</c:v>
                      </c:pt>
                      <c:pt idx="19">
                        <c:v>345</c:v>
                      </c:pt>
                      <c:pt idx="20">
                        <c:v>345</c:v>
                      </c:pt>
                      <c:pt idx="21">
                        <c:v>345</c:v>
                      </c:pt>
                      <c:pt idx="22">
                        <c:v>345</c:v>
                      </c:pt>
                      <c:pt idx="23">
                        <c:v>345</c:v>
                      </c:pt>
                      <c:pt idx="24">
                        <c:v>345</c:v>
                      </c:pt>
                      <c:pt idx="25">
                        <c:v>345</c:v>
                      </c:pt>
                      <c:pt idx="26">
                        <c:v>345</c:v>
                      </c:pt>
                      <c:pt idx="27">
                        <c:v>345</c:v>
                      </c:pt>
                      <c:pt idx="28">
                        <c:v>345</c:v>
                      </c:pt>
                      <c:pt idx="29">
                        <c:v>345</c:v>
                      </c:pt>
                      <c:pt idx="30">
                        <c:v>345</c:v>
                      </c:pt>
                      <c:pt idx="31">
                        <c:v>345</c:v>
                      </c:pt>
                      <c:pt idx="32">
                        <c:v>345</c:v>
                      </c:pt>
                      <c:pt idx="33">
                        <c:v>345</c:v>
                      </c:pt>
                      <c:pt idx="34">
                        <c:v>345</c:v>
                      </c:pt>
                      <c:pt idx="35">
                        <c:v>345</c:v>
                      </c:pt>
                      <c:pt idx="36">
                        <c:v>345</c:v>
                      </c:pt>
                      <c:pt idx="37">
                        <c:v>345</c:v>
                      </c:pt>
                      <c:pt idx="38">
                        <c:v>345</c:v>
                      </c:pt>
                      <c:pt idx="39">
                        <c:v>345</c:v>
                      </c:pt>
                      <c:pt idx="40">
                        <c:v>345</c:v>
                      </c:pt>
                      <c:pt idx="41">
                        <c:v>345</c:v>
                      </c:pt>
                      <c:pt idx="42">
                        <c:v>345</c:v>
                      </c:pt>
                      <c:pt idx="43">
                        <c:v>345</c:v>
                      </c:pt>
                      <c:pt idx="44">
                        <c:v>345</c:v>
                      </c:pt>
                      <c:pt idx="45">
                        <c:v>345</c:v>
                      </c:pt>
                      <c:pt idx="46">
                        <c:v>345</c:v>
                      </c:pt>
                      <c:pt idx="47">
                        <c:v>345</c:v>
                      </c:pt>
                      <c:pt idx="48">
                        <c:v>345</c:v>
                      </c:pt>
                      <c:pt idx="49">
                        <c:v>345</c:v>
                      </c:pt>
                      <c:pt idx="50">
                        <c:v>345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5A1-4C62-9348-87DC5D975BB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グラフ!$I$5</c15:sqref>
                        </c15:formulaRef>
                      </c:ext>
                    </c:extLst>
                    <c:strCache>
                      <c:ptCount val="1"/>
                      <c:pt idx="0">
                        <c:v>降伏点outer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グラフ!$I$6:$I$56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150</c:v>
                      </c:pt>
                      <c:pt idx="1">
                        <c:v>150</c:v>
                      </c:pt>
                      <c:pt idx="2">
                        <c:v>150</c:v>
                      </c:pt>
                      <c:pt idx="3">
                        <c:v>150</c:v>
                      </c:pt>
                      <c:pt idx="4">
                        <c:v>150</c:v>
                      </c:pt>
                      <c:pt idx="5">
                        <c:v>150</c:v>
                      </c:pt>
                      <c:pt idx="6">
                        <c:v>150</c:v>
                      </c:pt>
                      <c:pt idx="7">
                        <c:v>150</c:v>
                      </c:pt>
                      <c:pt idx="8">
                        <c:v>150</c:v>
                      </c:pt>
                      <c:pt idx="9">
                        <c:v>150</c:v>
                      </c:pt>
                      <c:pt idx="10">
                        <c:v>150</c:v>
                      </c:pt>
                      <c:pt idx="11">
                        <c:v>150</c:v>
                      </c:pt>
                      <c:pt idx="12">
                        <c:v>150</c:v>
                      </c:pt>
                      <c:pt idx="13">
                        <c:v>150</c:v>
                      </c:pt>
                      <c:pt idx="14">
                        <c:v>150</c:v>
                      </c:pt>
                      <c:pt idx="15">
                        <c:v>150</c:v>
                      </c:pt>
                      <c:pt idx="16">
                        <c:v>150</c:v>
                      </c:pt>
                      <c:pt idx="17">
                        <c:v>150</c:v>
                      </c:pt>
                      <c:pt idx="18">
                        <c:v>150</c:v>
                      </c:pt>
                      <c:pt idx="19">
                        <c:v>150</c:v>
                      </c:pt>
                      <c:pt idx="20">
                        <c:v>150</c:v>
                      </c:pt>
                      <c:pt idx="21">
                        <c:v>150</c:v>
                      </c:pt>
                      <c:pt idx="22">
                        <c:v>150</c:v>
                      </c:pt>
                      <c:pt idx="23">
                        <c:v>150</c:v>
                      </c:pt>
                      <c:pt idx="24">
                        <c:v>150</c:v>
                      </c:pt>
                      <c:pt idx="25">
                        <c:v>150</c:v>
                      </c:pt>
                      <c:pt idx="26">
                        <c:v>150</c:v>
                      </c:pt>
                      <c:pt idx="27">
                        <c:v>150</c:v>
                      </c:pt>
                      <c:pt idx="28">
                        <c:v>150</c:v>
                      </c:pt>
                      <c:pt idx="29">
                        <c:v>150</c:v>
                      </c:pt>
                      <c:pt idx="30">
                        <c:v>150</c:v>
                      </c:pt>
                      <c:pt idx="31">
                        <c:v>150</c:v>
                      </c:pt>
                      <c:pt idx="32">
                        <c:v>150</c:v>
                      </c:pt>
                      <c:pt idx="33">
                        <c:v>150</c:v>
                      </c:pt>
                      <c:pt idx="34">
                        <c:v>150</c:v>
                      </c:pt>
                      <c:pt idx="35">
                        <c:v>150</c:v>
                      </c:pt>
                      <c:pt idx="36">
                        <c:v>150</c:v>
                      </c:pt>
                      <c:pt idx="37">
                        <c:v>150</c:v>
                      </c:pt>
                      <c:pt idx="38">
                        <c:v>150</c:v>
                      </c:pt>
                      <c:pt idx="39">
                        <c:v>150</c:v>
                      </c:pt>
                      <c:pt idx="40">
                        <c:v>150</c:v>
                      </c:pt>
                      <c:pt idx="41">
                        <c:v>150</c:v>
                      </c:pt>
                      <c:pt idx="42">
                        <c:v>150</c:v>
                      </c:pt>
                      <c:pt idx="43">
                        <c:v>150</c:v>
                      </c:pt>
                      <c:pt idx="44">
                        <c:v>150</c:v>
                      </c:pt>
                      <c:pt idx="45">
                        <c:v>150</c:v>
                      </c:pt>
                      <c:pt idx="46">
                        <c:v>150</c:v>
                      </c:pt>
                      <c:pt idx="47">
                        <c:v>150</c:v>
                      </c:pt>
                      <c:pt idx="48">
                        <c:v>150</c:v>
                      </c:pt>
                      <c:pt idx="49">
                        <c:v>150</c:v>
                      </c:pt>
                      <c:pt idx="50">
                        <c:v>150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5A1-4C62-9348-87DC5D975BB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グラフ!$J$5</c15:sqref>
                        </c15:formulaRef>
                      </c:ext>
                    </c:extLst>
                    <c:strCache>
                      <c:ptCount val="1"/>
                      <c:pt idx="0">
                        <c:v>円周方向応力inner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グラフ!$J$6:$J$56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18.675624349067672</c:v>
                      </c:pt>
                      <c:pt idx="2">
                        <c:v>37.351248698135343</c:v>
                      </c:pt>
                      <c:pt idx="3">
                        <c:v>56.026873047203011</c:v>
                      </c:pt>
                      <c:pt idx="4">
                        <c:v>74.702497396270687</c:v>
                      </c:pt>
                      <c:pt idx="5">
                        <c:v>93.378121745338348</c:v>
                      </c:pt>
                      <c:pt idx="6">
                        <c:v>112.05374609440602</c:v>
                      </c:pt>
                      <c:pt idx="7">
                        <c:v>130.7293704434737</c:v>
                      </c:pt>
                      <c:pt idx="8">
                        <c:v>149.40499479254137</c:v>
                      </c:pt>
                      <c:pt idx="9">
                        <c:v>168.08061914160905</c:v>
                      </c:pt>
                      <c:pt idx="10">
                        <c:v>186.7562434906767</c:v>
                      </c:pt>
                      <c:pt idx="11">
                        <c:v>205.43186783974437</c:v>
                      </c:pt>
                      <c:pt idx="12">
                        <c:v>224.10749218881205</c:v>
                      </c:pt>
                      <c:pt idx="13">
                        <c:v>242.78311653787975</c:v>
                      </c:pt>
                      <c:pt idx="14">
                        <c:v>261.4587408869474</c:v>
                      </c:pt>
                      <c:pt idx="15">
                        <c:v>280.13436523601501</c:v>
                      </c:pt>
                      <c:pt idx="16">
                        <c:v>298.80998958508275</c:v>
                      </c:pt>
                      <c:pt idx="17">
                        <c:v>317.48561393415036</c:v>
                      </c:pt>
                      <c:pt idx="18">
                        <c:v>336.1612382832181</c:v>
                      </c:pt>
                      <c:pt idx="19">
                        <c:v>354.83686263228577</c:v>
                      </c:pt>
                      <c:pt idx="20">
                        <c:v>373.51248698135339</c:v>
                      </c:pt>
                      <c:pt idx="21">
                        <c:v>392.18811133042101</c:v>
                      </c:pt>
                      <c:pt idx="22">
                        <c:v>410.86373567948874</c:v>
                      </c:pt>
                      <c:pt idx="23">
                        <c:v>429.53936002855642</c:v>
                      </c:pt>
                      <c:pt idx="24">
                        <c:v>448.21498437762409</c:v>
                      </c:pt>
                      <c:pt idx="25">
                        <c:v>466.89060872669182</c:v>
                      </c:pt>
                      <c:pt idx="26">
                        <c:v>485.5662330757595</c:v>
                      </c:pt>
                      <c:pt idx="27">
                        <c:v>504.24185742482706</c:v>
                      </c:pt>
                      <c:pt idx="28">
                        <c:v>522.91748177389479</c:v>
                      </c:pt>
                      <c:pt idx="29">
                        <c:v>541.59310612296235</c:v>
                      </c:pt>
                      <c:pt idx="30">
                        <c:v>560.26873047203003</c:v>
                      </c:pt>
                      <c:pt idx="31">
                        <c:v>578.94435482109782</c:v>
                      </c:pt>
                      <c:pt idx="32">
                        <c:v>597.61997917016549</c:v>
                      </c:pt>
                      <c:pt idx="33">
                        <c:v>616.29560351923317</c:v>
                      </c:pt>
                      <c:pt idx="34">
                        <c:v>634.97122786830073</c:v>
                      </c:pt>
                      <c:pt idx="35">
                        <c:v>653.64685221736852</c:v>
                      </c:pt>
                      <c:pt idx="36">
                        <c:v>672.32247656643619</c:v>
                      </c:pt>
                      <c:pt idx="37">
                        <c:v>690.99810091550387</c:v>
                      </c:pt>
                      <c:pt idx="38">
                        <c:v>709.67372526457154</c:v>
                      </c:pt>
                      <c:pt idx="39">
                        <c:v>728.34934961363911</c:v>
                      </c:pt>
                      <c:pt idx="40">
                        <c:v>747.02497396270678</c:v>
                      </c:pt>
                      <c:pt idx="41">
                        <c:v>765.70059831177446</c:v>
                      </c:pt>
                      <c:pt idx="42">
                        <c:v>784.37622266084202</c:v>
                      </c:pt>
                      <c:pt idx="43">
                        <c:v>803.05184700990969</c:v>
                      </c:pt>
                      <c:pt idx="44">
                        <c:v>821.72747135897748</c:v>
                      </c:pt>
                      <c:pt idx="45">
                        <c:v>840.40309570804516</c:v>
                      </c:pt>
                      <c:pt idx="46">
                        <c:v>859.07872005711283</c:v>
                      </c:pt>
                      <c:pt idx="47">
                        <c:v>877.75434440618051</c:v>
                      </c:pt>
                      <c:pt idx="48">
                        <c:v>896.42996875524818</c:v>
                      </c:pt>
                      <c:pt idx="49">
                        <c:v>915.10559310431586</c:v>
                      </c:pt>
                      <c:pt idx="50">
                        <c:v>933.78121745338365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5A1-4C62-9348-87DC5D975BB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グラフ!$K$5</c15:sqref>
                        </c15:formulaRef>
                      </c:ext>
                    </c:extLst>
                    <c:strCache>
                      <c:ptCount val="1"/>
                      <c:pt idx="0">
                        <c:v>円周方向応力outer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グラフ!$K$6:$K$56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9.968386963114515</c:v>
                      </c:pt>
                      <c:pt idx="2">
                        <c:v>19.93677392622903</c:v>
                      </c:pt>
                      <c:pt idx="3">
                        <c:v>29.905160889343541</c:v>
                      </c:pt>
                      <c:pt idx="4">
                        <c:v>39.87354785245806</c:v>
                      </c:pt>
                      <c:pt idx="5">
                        <c:v>49.841934815572571</c:v>
                      </c:pt>
                      <c:pt idx="6">
                        <c:v>59.810321778687083</c:v>
                      </c:pt>
                      <c:pt idx="7">
                        <c:v>69.778708741801594</c:v>
                      </c:pt>
                      <c:pt idx="8">
                        <c:v>79.74709570491612</c:v>
                      </c:pt>
                      <c:pt idx="9">
                        <c:v>89.715482668030631</c:v>
                      </c:pt>
                      <c:pt idx="10">
                        <c:v>99.683869631145143</c:v>
                      </c:pt>
                      <c:pt idx="11">
                        <c:v>109.65225659425965</c:v>
                      </c:pt>
                      <c:pt idx="12">
                        <c:v>119.62064355737417</c:v>
                      </c:pt>
                      <c:pt idx="13">
                        <c:v>129.58903052048871</c:v>
                      </c:pt>
                      <c:pt idx="14">
                        <c:v>139.55741748360319</c:v>
                      </c:pt>
                      <c:pt idx="15">
                        <c:v>149.5258044467177</c:v>
                      </c:pt>
                      <c:pt idx="16">
                        <c:v>159.49419140983224</c:v>
                      </c:pt>
                      <c:pt idx="17">
                        <c:v>169.46257837294672</c:v>
                      </c:pt>
                      <c:pt idx="18">
                        <c:v>179.43096533606126</c:v>
                      </c:pt>
                      <c:pt idx="19">
                        <c:v>189.39935229917577</c:v>
                      </c:pt>
                      <c:pt idx="20">
                        <c:v>199.36773926229029</c:v>
                      </c:pt>
                      <c:pt idx="21">
                        <c:v>209.33612622540477</c:v>
                      </c:pt>
                      <c:pt idx="22">
                        <c:v>219.30451318851931</c:v>
                      </c:pt>
                      <c:pt idx="23">
                        <c:v>229.27290015163382</c:v>
                      </c:pt>
                      <c:pt idx="24">
                        <c:v>239.24128711474833</c:v>
                      </c:pt>
                      <c:pt idx="25">
                        <c:v>249.20967407786287</c:v>
                      </c:pt>
                      <c:pt idx="26">
                        <c:v>259.17806104097741</c:v>
                      </c:pt>
                      <c:pt idx="27">
                        <c:v>269.14644800409184</c:v>
                      </c:pt>
                      <c:pt idx="28">
                        <c:v>279.11483496720638</c:v>
                      </c:pt>
                      <c:pt idx="29">
                        <c:v>289.08322193032086</c:v>
                      </c:pt>
                      <c:pt idx="30">
                        <c:v>299.0516088934354</c:v>
                      </c:pt>
                      <c:pt idx="31">
                        <c:v>309.01999585654994</c:v>
                      </c:pt>
                      <c:pt idx="32">
                        <c:v>318.98838281966448</c:v>
                      </c:pt>
                      <c:pt idx="33">
                        <c:v>328.95676978277902</c:v>
                      </c:pt>
                      <c:pt idx="34">
                        <c:v>338.92515674589345</c:v>
                      </c:pt>
                      <c:pt idx="35">
                        <c:v>348.89354370900804</c:v>
                      </c:pt>
                      <c:pt idx="36">
                        <c:v>358.86193067212253</c:v>
                      </c:pt>
                      <c:pt idx="37">
                        <c:v>368.83031763523707</c:v>
                      </c:pt>
                      <c:pt idx="38">
                        <c:v>378.79870459835155</c:v>
                      </c:pt>
                      <c:pt idx="39">
                        <c:v>388.76709156146603</c:v>
                      </c:pt>
                      <c:pt idx="40">
                        <c:v>398.73547852458057</c:v>
                      </c:pt>
                      <c:pt idx="41">
                        <c:v>408.70386548769505</c:v>
                      </c:pt>
                      <c:pt idx="42">
                        <c:v>418.67225245080954</c:v>
                      </c:pt>
                      <c:pt idx="43">
                        <c:v>428.64063941392408</c:v>
                      </c:pt>
                      <c:pt idx="44">
                        <c:v>438.60902637703862</c:v>
                      </c:pt>
                      <c:pt idx="45">
                        <c:v>448.57741334015316</c:v>
                      </c:pt>
                      <c:pt idx="46">
                        <c:v>458.54580030326764</c:v>
                      </c:pt>
                      <c:pt idx="47">
                        <c:v>468.51418726638218</c:v>
                      </c:pt>
                      <c:pt idx="48">
                        <c:v>478.48257422949666</c:v>
                      </c:pt>
                      <c:pt idx="49">
                        <c:v>488.45096119261115</c:v>
                      </c:pt>
                      <c:pt idx="50">
                        <c:v>498.41934815572574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5A1-4C62-9348-87DC5D975BBC}"/>
                  </c:ext>
                </c:extLst>
              </c15:ser>
            </c15:filteredScatterSeries>
          </c:ext>
        </c:extLst>
      </c:scatterChart>
      <c:valAx>
        <c:axId val="2069338655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グラフ!$A$4</c:f>
              <c:strCache>
                <c:ptCount val="1"/>
                <c:pt idx="0">
                  <c:v>締め代[mm]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69334079"/>
        <c:crosses val="autoZero"/>
        <c:crossBetween val="midCat"/>
      </c:valAx>
      <c:valAx>
        <c:axId val="2069334079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グラフ!$E$4</c:f>
              <c:strCache>
                <c:ptCount val="1"/>
                <c:pt idx="0">
                  <c:v>圧入力[kN]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69338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締め代</a:t>
            </a:r>
            <a:r>
              <a:rPr lang="en-US" altLang="ja-JP"/>
              <a:t>vs</a:t>
            </a:r>
            <a:r>
              <a:rPr lang="ja-JP" altLang="en-US"/>
              <a:t>応力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6"/>
          <c:order val="6"/>
          <c:tx>
            <c:strRef>
              <c:f>グラフ!$H$5</c:f>
              <c:strCache>
                <c:ptCount val="1"/>
                <c:pt idx="0">
                  <c:v>降伏点inner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グラフ!$H$6:$H$56</c:f>
              <c:numCache>
                <c:formatCode>0.0</c:formatCode>
                <c:ptCount val="51"/>
                <c:pt idx="0">
                  <c:v>345</c:v>
                </c:pt>
                <c:pt idx="1">
                  <c:v>345</c:v>
                </c:pt>
                <c:pt idx="2">
                  <c:v>345</c:v>
                </c:pt>
                <c:pt idx="3">
                  <c:v>345</c:v>
                </c:pt>
                <c:pt idx="4">
                  <c:v>345</c:v>
                </c:pt>
                <c:pt idx="5">
                  <c:v>345</c:v>
                </c:pt>
                <c:pt idx="6">
                  <c:v>345</c:v>
                </c:pt>
                <c:pt idx="7">
                  <c:v>345</c:v>
                </c:pt>
                <c:pt idx="8">
                  <c:v>345</c:v>
                </c:pt>
                <c:pt idx="9">
                  <c:v>345</c:v>
                </c:pt>
                <c:pt idx="10">
                  <c:v>345</c:v>
                </c:pt>
                <c:pt idx="11">
                  <c:v>345</c:v>
                </c:pt>
                <c:pt idx="12">
                  <c:v>345</c:v>
                </c:pt>
                <c:pt idx="13">
                  <c:v>345</c:v>
                </c:pt>
                <c:pt idx="14">
                  <c:v>345</c:v>
                </c:pt>
                <c:pt idx="15">
                  <c:v>345</c:v>
                </c:pt>
                <c:pt idx="16">
                  <c:v>345</c:v>
                </c:pt>
                <c:pt idx="17">
                  <c:v>345</c:v>
                </c:pt>
                <c:pt idx="18">
                  <c:v>345</c:v>
                </c:pt>
                <c:pt idx="19">
                  <c:v>345</c:v>
                </c:pt>
                <c:pt idx="20">
                  <c:v>345</c:v>
                </c:pt>
                <c:pt idx="21">
                  <c:v>345</c:v>
                </c:pt>
                <c:pt idx="22">
                  <c:v>345</c:v>
                </c:pt>
                <c:pt idx="23">
                  <c:v>345</c:v>
                </c:pt>
                <c:pt idx="24">
                  <c:v>345</c:v>
                </c:pt>
                <c:pt idx="25">
                  <c:v>345</c:v>
                </c:pt>
                <c:pt idx="26">
                  <c:v>345</c:v>
                </c:pt>
                <c:pt idx="27">
                  <c:v>345</c:v>
                </c:pt>
                <c:pt idx="28">
                  <c:v>345</c:v>
                </c:pt>
                <c:pt idx="29">
                  <c:v>345</c:v>
                </c:pt>
                <c:pt idx="30">
                  <c:v>345</c:v>
                </c:pt>
                <c:pt idx="31">
                  <c:v>345</c:v>
                </c:pt>
                <c:pt idx="32">
                  <c:v>345</c:v>
                </c:pt>
                <c:pt idx="33">
                  <c:v>345</c:v>
                </c:pt>
                <c:pt idx="34">
                  <c:v>345</c:v>
                </c:pt>
                <c:pt idx="35">
                  <c:v>345</c:v>
                </c:pt>
                <c:pt idx="36">
                  <c:v>345</c:v>
                </c:pt>
                <c:pt idx="37">
                  <c:v>345</c:v>
                </c:pt>
                <c:pt idx="38">
                  <c:v>345</c:v>
                </c:pt>
                <c:pt idx="39">
                  <c:v>345</c:v>
                </c:pt>
                <c:pt idx="40">
                  <c:v>345</c:v>
                </c:pt>
                <c:pt idx="41">
                  <c:v>345</c:v>
                </c:pt>
                <c:pt idx="42">
                  <c:v>345</c:v>
                </c:pt>
                <c:pt idx="43">
                  <c:v>345</c:v>
                </c:pt>
                <c:pt idx="44">
                  <c:v>345</c:v>
                </c:pt>
                <c:pt idx="45">
                  <c:v>345</c:v>
                </c:pt>
                <c:pt idx="46">
                  <c:v>345</c:v>
                </c:pt>
                <c:pt idx="47">
                  <c:v>345</c:v>
                </c:pt>
                <c:pt idx="48">
                  <c:v>345</c:v>
                </c:pt>
                <c:pt idx="49">
                  <c:v>345</c:v>
                </c:pt>
                <c:pt idx="50">
                  <c:v>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CC-489F-9151-FEC3986707C7}"/>
            </c:ext>
          </c:extLst>
        </c:ser>
        <c:ser>
          <c:idx val="0"/>
          <c:order val="0"/>
          <c:tx>
            <c:strRef>
              <c:f>グラフ!$B$5</c:f>
              <c:strCache>
                <c:ptCount val="1"/>
                <c:pt idx="0">
                  <c:v>半径方向応力min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グラフ!$B$6:$B$56</c:f>
              <c:numCache>
                <c:formatCode>0.0</c:formatCode>
                <c:ptCount val="51"/>
                <c:pt idx="0">
                  <c:v>0</c:v>
                </c:pt>
                <c:pt idx="1">
                  <c:v>5.13552081128155</c:v>
                </c:pt>
                <c:pt idx="2">
                  <c:v>10.2710416225631</c:v>
                </c:pt>
                <c:pt idx="3">
                  <c:v>15.40656243384465</c:v>
                </c:pt>
                <c:pt idx="4">
                  <c:v>20.5420832451262</c:v>
                </c:pt>
                <c:pt idx="5">
                  <c:v>25.677604056407752</c:v>
                </c:pt>
                <c:pt idx="6">
                  <c:v>30.8131248676893</c:v>
                </c:pt>
                <c:pt idx="7">
                  <c:v>35.948645678970855</c:v>
                </c:pt>
                <c:pt idx="8">
                  <c:v>41.0841664902524</c:v>
                </c:pt>
                <c:pt idx="9">
                  <c:v>46.219687301533952</c:v>
                </c:pt>
                <c:pt idx="10">
                  <c:v>51.355208112815504</c:v>
                </c:pt>
                <c:pt idx="11">
                  <c:v>56.490728924097048</c:v>
                </c:pt>
                <c:pt idx="12">
                  <c:v>61.6262497353786</c:v>
                </c:pt>
                <c:pt idx="13">
                  <c:v>66.761770546660159</c:v>
                </c:pt>
                <c:pt idx="14">
                  <c:v>71.897291357941711</c:v>
                </c:pt>
                <c:pt idx="15">
                  <c:v>77.032812169223249</c:v>
                </c:pt>
                <c:pt idx="16">
                  <c:v>82.1683329805048</c:v>
                </c:pt>
                <c:pt idx="17">
                  <c:v>87.303853791786352</c:v>
                </c:pt>
                <c:pt idx="18">
                  <c:v>92.439374603067904</c:v>
                </c:pt>
                <c:pt idx="19">
                  <c:v>97.57489541434947</c:v>
                </c:pt>
                <c:pt idx="20">
                  <c:v>102.71041622563101</c:v>
                </c:pt>
                <c:pt idx="21">
                  <c:v>107.84593703691255</c:v>
                </c:pt>
                <c:pt idx="22">
                  <c:v>112.9814578481941</c:v>
                </c:pt>
                <c:pt idx="23">
                  <c:v>118.11697865947566</c:v>
                </c:pt>
                <c:pt idx="24">
                  <c:v>123.2524994707572</c:v>
                </c:pt>
                <c:pt idx="25">
                  <c:v>128.38802028203875</c:v>
                </c:pt>
                <c:pt idx="26">
                  <c:v>133.52354109332032</c:v>
                </c:pt>
                <c:pt idx="27">
                  <c:v>138.65906190460186</c:v>
                </c:pt>
                <c:pt idx="28">
                  <c:v>143.79458271588342</c:v>
                </c:pt>
                <c:pt idx="29">
                  <c:v>148.93010352716493</c:v>
                </c:pt>
                <c:pt idx="30">
                  <c:v>154.0656243384465</c:v>
                </c:pt>
                <c:pt idx="31">
                  <c:v>159.20114514972806</c:v>
                </c:pt>
                <c:pt idx="32">
                  <c:v>164.3366659610096</c:v>
                </c:pt>
                <c:pt idx="33">
                  <c:v>169.47218677229117</c:v>
                </c:pt>
                <c:pt idx="34">
                  <c:v>174.6077075835727</c:v>
                </c:pt>
                <c:pt idx="35">
                  <c:v>179.74322839485427</c:v>
                </c:pt>
                <c:pt idx="36">
                  <c:v>184.87874920613581</c:v>
                </c:pt>
                <c:pt idx="37">
                  <c:v>190.01427001741737</c:v>
                </c:pt>
                <c:pt idx="38">
                  <c:v>195.14979082869894</c:v>
                </c:pt>
                <c:pt idx="39">
                  <c:v>200.28531163998045</c:v>
                </c:pt>
                <c:pt idx="40">
                  <c:v>205.42083245126202</c:v>
                </c:pt>
                <c:pt idx="41">
                  <c:v>210.55635326254355</c:v>
                </c:pt>
                <c:pt idx="42">
                  <c:v>215.69187407382509</c:v>
                </c:pt>
                <c:pt idx="43">
                  <c:v>220.82739488510666</c:v>
                </c:pt>
                <c:pt idx="44">
                  <c:v>225.96291569638819</c:v>
                </c:pt>
                <c:pt idx="45">
                  <c:v>231.09843650766976</c:v>
                </c:pt>
                <c:pt idx="46">
                  <c:v>236.23395731895133</c:v>
                </c:pt>
                <c:pt idx="47">
                  <c:v>241.36947813023289</c:v>
                </c:pt>
                <c:pt idx="48">
                  <c:v>246.5049989415144</c:v>
                </c:pt>
                <c:pt idx="49">
                  <c:v>251.64051975279597</c:v>
                </c:pt>
                <c:pt idx="50">
                  <c:v>256.7760405640775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CC-489F-9151-FEC3986707C7}"/>
            </c:ext>
          </c:extLst>
        </c:ser>
        <c:ser>
          <c:idx val="1"/>
          <c:order val="1"/>
          <c:tx>
            <c:strRef>
              <c:f>グラフ!$C$5</c:f>
              <c:strCache>
                <c:ptCount val="1"/>
                <c:pt idx="0">
                  <c:v>半径方向応力nor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グラフ!$C$6:$C$56</c:f>
              <c:numCache>
                <c:formatCode>0.0</c:formatCode>
                <c:ptCount val="51"/>
                <c:pt idx="0">
                  <c:v>0</c:v>
                </c:pt>
                <c:pt idx="1">
                  <c:v>5.1885955296647772</c:v>
                </c:pt>
                <c:pt idx="2">
                  <c:v>10.377191059329554</c:v>
                </c:pt>
                <c:pt idx="3">
                  <c:v>15.56578658899433</c:v>
                </c:pt>
                <c:pt idx="4">
                  <c:v>20.754382118659109</c:v>
                </c:pt>
                <c:pt idx="5">
                  <c:v>25.942977648323883</c:v>
                </c:pt>
                <c:pt idx="6">
                  <c:v>31.13157317798866</c:v>
                </c:pt>
                <c:pt idx="7">
                  <c:v>36.320168707653437</c:v>
                </c:pt>
                <c:pt idx="8">
                  <c:v>41.508764237318218</c:v>
                </c:pt>
                <c:pt idx="9">
                  <c:v>46.697359766982991</c:v>
                </c:pt>
                <c:pt idx="10">
                  <c:v>51.885955296647765</c:v>
                </c:pt>
                <c:pt idx="11">
                  <c:v>57.074550826312546</c:v>
                </c:pt>
                <c:pt idx="12">
                  <c:v>62.26314635597732</c:v>
                </c:pt>
                <c:pt idx="13">
                  <c:v>67.451741885642107</c:v>
                </c:pt>
                <c:pt idx="14">
                  <c:v>72.640337415306874</c:v>
                </c:pt>
                <c:pt idx="15">
                  <c:v>77.82893294497164</c:v>
                </c:pt>
                <c:pt idx="16">
                  <c:v>83.017528474636435</c:v>
                </c:pt>
                <c:pt idx="17">
                  <c:v>88.206124004301202</c:v>
                </c:pt>
                <c:pt idx="18">
                  <c:v>93.394719533965983</c:v>
                </c:pt>
                <c:pt idx="19">
                  <c:v>98.583315063630764</c:v>
                </c:pt>
                <c:pt idx="20">
                  <c:v>103.77191059329553</c:v>
                </c:pt>
                <c:pt idx="21">
                  <c:v>108.9605061229603</c:v>
                </c:pt>
                <c:pt idx="22">
                  <c:v>114.14910165262509</c:v>
                </c:pt>
                <c:pt idx="23">
                  <c:v>119.33769718228987</c:v>
                </c:pt>
                <c:pt idx="24">
                  <c:v>124.52629271195464</c:v>
                </c:pt>
                <c:pt idx="25">
                  <c:v>129.71488824161943</c:v>
                </c:pt>
                <c:pt idx="26">
                  <c:v>134.90348377128421</c:v>
                </c:pt>
                <c:pt idx="27">
                  <c:v>140.09207930094897</c:v>
                </c:pt>
                <c:pt idx="28">
                  <c:v>145.28067483061375</c:v>
                </c:pt>
                <c:pt idx="29">
                  <c:v>150.4692703602785</c:v>
                </c:pt>
                <c:pt idx="30">
                  <c:v>155.65786588994328</c:v>
                </c:pt>
                <c:pt idx="31">
                  <c:v>160.84646141960809</c:v>
                </c:pt>
                <c:pt idx="32">
                  <c:v>166.03505694927287</c:v>
                </c:pt>
                <c:pt idx="33">
                  <c:v>171.22365247893765</c:v>
                </c:pt>
                <c:pt idx="34">
                  <c:v>176.4122480086024</c:v>
                </c:pt>
                <c:pt idx="35">
                  <c:v>181.60084353826721</c:v>
                </c:pt>
                <c:pt idx="36">
                  <c:v>186.78943906793197</c:v>
                </c:pt>
                <c:pt idx="37">
                  <c:v>191.97803459759675</c:v>
                </c:pt>
                <c:pt idx="38">
                  <c:v>197.16663012726153</c:v>
                </c:pt>
                <c:pt idx="39">
                  <c:v>202.35522565692628</c:v>
                </c:pt>
                <c:pt idx="40">
                  <c:v>207.54382118659106</c:v>
                </c:pt>
                <c:pt idx="41">
                  <c:v>212.73241671625584</c:v>
                </c:pt>
                <c:pt idx="42">
                  <c:v>217.92101224592059</c:v>
                </c:pt>
                <c:pt idx="43">
                  <c:v>223.10960777558537</c:v>
                </c:pt>
                <c:pt idx="44">
                  <c:v>228.29820330525018</c:v>
                </c:pt>
                <c:pt idx="45">
                  <c:v>233.48679883491496</c:v>
                </c:pt>
                <c:pt idx="46">
                  <c:v>238.67539436457974</c:v>
                </c:pt>
                <c:pt idx="47">
                  <c:v>243.86398989424453</c:v>
                </c:pt>
                <c:pt idx="48">
                  <c:v>249.05258542390928</c:v>
                </c:pt>
                <c:pt idx="49">
                  <c:v>254.24118095357406</c:v>
                </c:pt>
                <c:pt idx="50">
                  <c:v>259.42977648323887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CC-489F-9151-FEC3986707C7}"/>
            </c:ext>
          </c:extLst>
        </c:ser>
        <c:ser>
          <c:idx val="2"/>
          <c:order val="2"/>
          <c:tx>
            <c:strRef>
              <c:f>グラフ!$D$5</c:f>
              <c:strCache>
                <c:ptCount val="1"/>
                <c:pt idx="0">
                  <c:v>半径方向応力max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グラフ!$D$6:$D$56</c:f>
              <c:numCache>
                <c:formatCode>0.0</c:formatCode>
                <c:ptCount val="51"/>
                <c:pt idx="0">
                  <c:v>0</c:v>
                </c:pt>
                <c:pt idx="1">
                  <c:v>5.2410712216185891</c:v>
                </c:pt>
                <c:pt idx="2">
                  <c:v>10.482142443237178</c:v>
                </c:pt>
                <c:pt idx="3">
                  <c:v>15.723213664855766</c:v>
                </c:pt>
                <c:pt idx="4">
                  <c:v>20.964284886474356</c:v>
                </c:pt>
                <c:pt idx="5">
                  <c:v>26.205356108092946</c:v>
                </c:pt>
                <c:pt idx="6">
                  <c:v>31.446427329711533</c:v>
                </c:pt>
                <c:pt idx="7">
                  <c:v>36.687498551330123</c:v>
                </c:pt>
                <c:pt idx="8">
                  <c:v>41.928569772948713</c:v>
                </c:pt>
                <c:pt idx="9">
                  <c:v>47.169640994567303</c:v>
                </c:pt>
                <c:pt idx="10">
                  <c:v>52.410712216185892</c:v>
                </c:pt>
                <c:pt idx="11">
                  <c:v>57.651783437804475</c:v>
                </c:pt>
                <c:pt idx="12">
                  <c:v>62.892854659423065</c:v>
                </c:pt>
                <c:pt idx="13">
                  <c:v>68.133925881041662</c:v>
                </c:pt>
                <c:pt idx="14">
                  <c:v>73.374997102660245</c:v>
                </c:pt>
                <c:pt idx="15">
                  <c:v>78.616068324278828</c:v>
                </c:pt>
                <c:pt idx="16">
                  <c:v>83.857139545897425</c:v>
                </c:pt>
                <c:pt idx="17">
                  <c:v>89.098210767516008</c:v>
                </c:pt>
                <c:pt idx="18">
                  <c:v>94.339281989134605</c:v>
                </c:pt>
                <c:pt idx="19">
                  <c:v>99.580353210753202</c:v>
                </c:pt>
                <c:pt idx="20">
                  <c:v>104.82142443237178</c:v>
                </c:pt>
                <c:pt idx="21">
                  <c:v>110.06249565399035</c:v>
                </c:pt>
                <c:pt idx="22">
                  <c:v>115.30356687560895</c:v>
                </c:pt>
                <c:pt idx="23">
                  <c:v>120.54463809722755</c:v>
                </c:pt>
                <c:pt idx="24">
                  <c:v>125.78570931884613</c:v>
                </c:pt>
                <c:pt idx="25">
                  <c:v>131.02678054046473</c:v>
                </c:pt>
                <c:pt idx="26">
                  <c:v>136.26785176208332</c:v>
                </c:pt>
                <c:pt idx="27">
                  <c:v>141.50892298370189</c:v>
                </c:pt>
                <c:pt idx="28">
                  <c:v>146.74999420532049</c:v>
                </c:pt>
                <c:pt idx="29">
                  <c:v>151.99106542693906</c:v>
                </c:pt>
                <c:pt idx="30">
                  <c:v>157.23213664855766</c:v>
                </c:pt>
                <c:pt idx="31">
                  <c:v>162.47320787017625</c:v>
                </c:pt>
                <c:pt idx="32">
                  <c:v>167.71427909179485</c:v>
                </c:pt>
                <c:pt idx="33">
                  <c:v>172.95535031341345</c:v>
                </c:pt>
                <c:pt idx="34">
                  <c:v>178.19642153503202</c:v>
                </c:pt>
                <c:pt idx="35">
                  <c:v>183.43749275665064</c:v>
                </c:pt>
                <c:pt idx="36">
                  <c:v>188.67856397826921</c:v>
                </c:pt>
                <c:pt idx="37">
                  <c:v>193.91963519988781</c:v>
                </c:pt>
                <c:pt idx="38">
                  <c:v>199.1607064215064</c:v>
                </c:pt>
                <c:pt idx="39">
                  <c:v>204.40177764312497</c:v>
                </c:pt>
                <c:pt idx="40">
                  <c:v>209.64284886474357</c:v>
                </c:pt>
                <c:pt idx="41">
                  <c:v>214.88392008636217</c:v>
                </c:pt>
                <c:pt idx="42">
                  <c:v>220.12499130798071</c:v>
                </c:pt>
                <c:pt idx="43">
                  <c:v>225.3660625295993</c:v>
                </c:pt>
                <c:pt idx="44">
                  <c:v>230.6071337512179</c:v>
                </c:pt>
                <c:pt idx="45">
                  <c:v>235.8482049728365</c:v>
                </c:pt>
                <c:pt idx="46">
                  <c:v>241.0892761944551</c:v>
                </c:pt>
                <c:pt idx="47">
                  <c:v>246.33034741607369</c:v>
                </c:pt>
                <c:pt idx="48">
                  <c:v>251.57141863769226</c:v>
                </c:pt>
                <c:pt idx="49">
                  <c:v>256.81248985931086</c:v>
                </c:pt>
                <c:pt idx="50">
                  <c:v>262.05356108092946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7CC-489F-9151-FEC3986707C7}"/>
            </c:ext>
          </c:extLst>
        </c:ser>
        <c:ser>
          <c:idx val="7"/>
          <c:order val="7"/>
          <c:tx>
            <c:strRef>
              <c:f>グラフ!$I$5</c:f>
              <c:strCache>
                <c:ptCount val="1"/>
                <c:pt idx="0">
                  <c:v>降伏点outer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グラフ!$I$6:$I$56</c:f>
              <c:numCache>
                <c:formatCode>0.0</c:formatCode>
                <c:ptCount val="51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150</c:v>
                </c:pt>
                <c:pt idx="17">
                  <c:v>150</c:v>
                </c:pt>
                <c:pt idx="18">
                  <c:v>150</c:v>
                </c:pt>
                <c:pt idx="19">
                  <c:v>150</c:v>
                </c:pt>
                <c:pt idx="20">
                  <c:v>150</c:v>
                </c:pt>
                <c:pt idx="21">
                  <c:v>150</c:v>
                </c:pt>
                <c:pt idx="22">
                  <c:v>150</c:v>
                </c:pt>
                <c:pt idx="23">
                  <c:v>150</c:v>
                </c:pt>
                <c:pt idx="24">
                  <c:v>150</c:v>
                </c:pt>
                <c:pt idx="25">
                  <c:v>150</c:v>
                </c:pt>
                <c:pt idx="26">
                  <c:v>150</c:v>
                </c:pt>
                <c:pt idx="27">
                  <c:v>150</c:v>
                </c:pt>
                <c:pt idx="28">
                  <c:v>150</c:v>
                </c:pt>
                <c:pt idx="29">
                  <c:v>150</c:v>
                </c:pt>
                <c:pt idx="30">
                  <c:v>150</c:v>
                </c:pt>
                <c:pt idx="31">
                  <c:v>150</c:v>
                </c:pt>
                <c:pt idx="32">
                  <c:v>150</c:v>
                </c:pt>
                <c:pt idx="33">
                  <c:v>150</c:v>
                </c:pt>
                <c:pt idx="34">
                  <c:v>150</c:v>
                </c:pt>
                <c:pt idx="35">
                  <c:v>150</c:v>
                </c:pt>
                <c:pt idx="36">
                  <c:v>150</c:v>
                </c:pt>
                <c:pt idx="37">
                  <c:v>150</c:v>
                </c:pt>
                <c:pt idx="38">
                  <c:v>150</c:v>
                </c:pt>
                <c:pt idx="39">
                  <c:v>150</c:v>
                </c:pt>
                <c:pt idx="40">
                  <c:v>150</c:v>
                </c:pt>
                <c:pt idx="41">
                  <c:v>150</c:v>
                </c:pt>
                <c:pt idx="42">
                  <c:v>150</c:v>
                </c:pt>
                <c:pt idx="43">
                  <c:v>150</c:v>
                </c:pt>
                <c:pt idx="44">
                  <c:v>150</c:v>
                </c:pt>
                <c:pt idx="45">
                  <c:v>150</c:v>
                </c:pt>
                <c:pt idx="46">
                  <c:v>150</c:v>
                </c:pt>
                <c:pt idx="47">
                  <c:v>150</c:v>
                </c:pt>
                <c:pt idx="48">
                  <c:v>150</c:v>
                </c:pt>
                <c:pt idx="49">
                  <c:v>150</c:v>
                </c:pt>
                <c:pt idx="50">
                  <c:v>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7CC-489F-9151-FEC3986707C7}"/>
            </c:ext>
          </c:extLst>
        </c:ser>
        <c:ser>
          <c:idx val="8"/>
          <c:order val="8"/>
          <c:tx>
            <c:strRef>
              <c:f>グラフ!$J$5</c:f>
              <c:strCache>
                <c:ptCount val="1"/>
                <c:pt idx="0">
                  <c:v>円周方向応力inner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グラフ!$J$6:$J$56</c:f>
              <c:numCache>
                <c:formatCode>0.0</c:formatCode>
                <c:ptCount val="51"/>
                <c:pt idx="0">
                  <c:v>0</c:v>
                </c:pt>
                <c:pt idx="1">
                  <c:v>18.675624349067672</c:v>
                </c:pt>
                <c:pt idx="2">
                  <c:v>37.351248698135343</c:v>
                </c:pt>
                <c:pt idx="3">
                  <c:v>56.026873047203011</c:v>
                </c:pt>
                <c:pt idx="4">
                  <c:v>74.702497396270687</c:v>
                </c:pt>
                <c:pt idx="5">
                  <c:v>93.378121745338348</c:v>
                </c:pt>
                <c:pt idx="6">
                  <c:v>112.05374609440602</c:v>
                </c:pt>
                <c:pt idx="7">
                  <c:v>130.7293704434737</c:v>
                </c:pt>
                <c:pt idx="8">
                  <c:v>149.40499479254137</c:v>
                </c:pt>
                <c:pt idx="9">
                  <c:v>168.08061914160905</c:v>
                </c:pt>
                <c:pt idx="10">
                  <c:v>186.7562434906767</c:v>
                </c:pt>
                <c:pt idx="11">
                  <c:v>205.43186783974437</c:v>
                </c:pt>
                <c:pt idx="12">
                  <c:v>224.10749218881205</c:v>
                </c:pt>
                <c:pt idx="13">
                  <c:v>242.78311653787975</c:v>
                </c:pt>
                <c:pt idx="14">
                  <c:v>261.4587408869474</c:v>
                </c:pt>
                <c:pt idx="15">
                  <c:v>280.13436523601501</c:v>
                </c:pt>
                <c:pt idx="16">
                  <c:v>298.80998958508275</c:v>
                </c:pt>
                <c:pt idx="17">
                  <c:v>317.48561393415036</c:v>
                </c:pt>
                <c:pt idx="18">
                  <c:v>336.1612382832181</c:v>
                </c:pt>
                <c:pt idx="19">
                  <c:v>354.83686263228577</c:v>
                </c:pt>
                <c:pt idx="20">
                  <c:v>373.51248698135339</c:v>
                </c:pt>
                <c:pt idx="21">
                  <c:v>392.18811133042101</c:v>
                </c:pt>
                <c:pt idx="22">
                  <c:v>410.86373567948874</c:v>
                </c:pt>
                <c:pt idx="23">
                  <c:v>429.53936002855642</c:v>
                </c:pt>
                <c:pt idx="24">
                  <c:v>448.21498437762409</c:v>
                </c:pt>
                <c:pt idx="25">
                  <c:v>466.89060872669182</c:v>
                </c:pt>
                <c:pt idx="26">
                  <c:v>485.5662330757595</c:v>
                </c:pt>
                <c:pt idx="27">
                  <c:v>504.24185742482706</c:v>
                </c:pt>
                <c:pt idx="28">
                  <c:v>522.91748177389479</c:v>
                </c:pt>
                <c:pt idx="29">
                  <c:v>541.59310612296235</c:v>
                </c:pt>
                <c:pt idx="30">
                  <c:v>560.26873047203003</c:v>
                </c:pt>
                <c:pt idx="31">
                  <c:v>578.94435482109782</c:v>
                </c:pt>
                <c:pt idx="32">
                  <c:v>597.61997917016549</c:v>
                </c:pt>
                <c:pt idx="33">
                  <c:v>616.29560351923317</c:v>
                </c:pt>
                <c:pt idx="34">
                  <c:v>634.97122786830073</c:v>
                </c:pt>
                <c:pt idx="35">
                  <c:v>653.64685221736852</c:v>
                </c:pt>
                <c:pt idx="36">
                  <c:v>672.32247656643619</c:v>
                </c:pt>
                <c:pt idx="37">
                  <c:v>690.99810091550387</c:v>
                </c:pt>
                <c:pt idx="38">
                  <c:v>709.67372526457154</c:v>
                </c:pt>
                <c:pt idx="39">
                  <c:v>728.34934961363911</c:v>
                </c:pt>
                <c:pt idx="40">
                  <c:v>747.02497396270678</c:v>
                </c:pt>
                <c:pt idx="41">
                  <c:v>765.70059831177446</c:v>
                </c:pt>
                <c:pt idx="42">
                  <c:v>784.37622266084202</c:v>
                </c:pt>
                <c:pt idx="43">
                  <c:v>803.05184700990969</c:v>
                </c:pt>
                <c:pt idx="44">
                  <c:v>821.72747135897748</c:v>
                </c:pt>
                <c:pt idx="45">
                  <c:v>840.40309570804516</c:v>
                </c:pt>
                <c:pt idx="46">
                  <c:v>859.07872005711283</c:v>
                </c:pt>
                <c:pt idx="47">
                  <c:v>877.75434440618051</c:v>
                </c:pt>
                <c:pt idx="48">
                  <c:v>896.42996875524818</c:v>
                </c:pt>
                <c:pt idx="49">
                  <c:v>915.10559310431586</c:v>
                </c:pt>
                <c:pt idx="50">
                  <c:v>933.78121745338365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7CC-489F-9151-FEC3986707C7}"/>
            </c:ext>
          </c:extLst>
        </c:ser>
        <c:ser>
          <c:idx val="9"/>
          <c:order val="9"/>
          <c:tx>
            <c:strRef>
              <c:f>グラフ!$K$5</c:f>
              <c:strCache>
                <c:ptCount val="1"/>
                <c:pt idx="0">
                  <c:v>円周方向応力outer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グラフ!$K$6:$K$56</c:f>
              <c:numCache>
                <c:formatCode>0.0</c:formatCode>
                <c:ptCount val="51"/>
                <c:pt idx="0">
                  <c:v>0</c:v>
                </c:pt>
                <c:pt idx="1">
                  <c:v>9.968386963114515</c:v>
                </c:pt>
                <c:pt idx="2">
                  <c:v>19.93677392622903</c:v>
                </c:pt>
                <c:pt idx="3">
                  <c:v>29.905160889343541</c:v>
                </c:pt>
                <c:pt idx="4">
                  <c:v>39.87354785245806</c:v>
                </c:pt>
                <c:pt idx="5">
                  <c:v>49.841934815572571</c:v>
                </c:pt>
                <c:pt idx="6">
                  <c:v>59.810321778687083</c:v>
                </c:pt>
                <c:pt idx="7">
                  <c:v>69.778708741801594</c:v>
                </c:pt>
                <c:pt idx="8">
                  <c:v>79.74709570491612</c:v>
                </c:pt>
                <c:pt idx="9">
                  <c:v>89.715482668030631</c:v>
                </c:pt>
                <c:pt idx="10">
                  <c:v>99.683869631145143</c:v>
                </c:pt>
                <c:pt idx="11">
                  <c:v>109.65225659425965</c:v>
                </c:pt>
                <c:pt idx="12">
                  <c:v>119.62064355737417</c:v>
                </c:pt>
                <c:pt idx="13">
                  <c:v>129.58903052048871</c:v>
                </c:pt>
                <c:pt idx="14">
                  <c:v>139.55741748360319</c:v>
                </c:pt>
                <c:pt idx="15">
                  <c:v>149.5258044467177</c:v>
                </c:pt>
                <c:pt idx="16">
                  <c:v>159.49419140983224</c:v>
                </c:pt>
                <c:pt idx="17">
                  <c:v>169.46257837294672</c:v>
                </c:pt>
                <c:pt idx="18">
                  <c:v>179.43096533606126</c:v>
                </c:pt>
                <c:pt idx="19">
                  <c:v>189.39935229917577</c:v>
                </c:pt>
                <c:pt idx="20">
                  <c:v>199.36773926229029</c:v>
                </c:pt>
                <c:pt idx="21">
                  <c:v>209.33612622540477</c:v>
                </c:pt>
                <c:pt idx="22">
                  <c:v>219.30451318851931</c:v>
                </c:pt>
                <c:pt idx="23">
                  <c:v>229.27290015163382</c:v>
                </c:pt>
                <c:pt idx="24">
                  <c:v>239.24128711474833</c:v>
                </c:pt>
                <c:pt idx="25">
                  <c:v>249.20967407786287</c:v>
                </c:pt>
                <c:pt idx="26">
                  <c:v>259.17806104097741</c:v>
                </c:pt>
                <c:pt idx="27">
                  <c:v>269.14644800409184</c:v>
                </c:pt>
                <c:pt idx="28">
                  <c:v>279.11483496720638</c:v>
                </c:pt>
                <c:pt idx="29">
                  <c:v>289.08322193032086</c:v>
                </c:pt>
                <c:pt idx="30">
                  <c:v>299.0516088934354</c:v>
                </c:pt>
                <c:pt idx="31">
                  <c:v>309.01999585654994</c:v>
                </c:pt>
                <c:pt idx="32">
                  <c:v>318.98838281966448</c:v>
                </c:pt>
                <c:pt idx="33">
                  <c:v>328.95676978277902</c:v>
                </c:pt>
                <c:pt idx="34">
                  <c:v>338.92515674589345</c:v>
                </c:pt>
                <c:pt idx="35">
                  <c:v>348.89354370900804</c:v>
                </c:pt>
                <c:pt idx="36">
                  <c:v>358.86193067212253</c:v>
                </c:pt>
                <c:pt idx="37">
                  <c:v>368.83031763523707</c:v>
                </c:pt>
                <c:pt idx="38">
                  <c:v>378.79870459835155</c:v>
                </c:pt>
                <c:pt idx="39">
                  <c:v>388.76709156146603</c:v>
                </c:pt>
                <c:pt idx="40">
                  <c:v>398.73547852458057</c:v>
                </c:pt>
                <c:pt idx="41">
                  <c:v>408.70386548769505</c:v>
                </c:pt>
                <c:pt idx="42">
                  <c:v>418.67225245080954</c:v>
                </c:pt>
                <c:pt idx="43">
                  <c:v>428.64063941392408</c:v>
                </c:pt>
                <c:pt idx="44">
                  <c:v>438.60902637703862</c:v>
                </c:pt>
                <c:pt idx="45">
                  <c:v>448.57741334015316</c:v>
                </c:pt>
                <c:pt idx="46">
                  <c:v>458.54580030326764</c:v>
                </c:pt>
                <c:pt idx="47">
                  <c:v>468.51418726638218</c:v>
                </c:pt>
                <c:pt idx="48">
                  <c:v>478.48257422949666</c:v>
                </c:pt>
                <c:pt idx="49">
                  <c:v>488.45096119261115</c:v>
                </c:pt>
                <c:pt idx="50">
                  <c:v>498.41934815572574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7CC-489F-9151-FEC398670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9338655"/>
        <c:axId val="2069334079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グラフ!$E$5</c15:sqref>
                        </c15:formulaRef>
                      </c:ext>
                    </c:extLst>
                    <c:strCache>
                      <c:ptCount val="1"/>
                      <c:pt idx="0">
                        <c:v>圧入力min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グラフ!$E$6:$E$56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0.89470665446764941</c:v>
                      </c:pt>
                      <c:pt idx="2">
                        <c:v>1.7894133089352988</c:v>
                      </c:pt>
                      <c:pt idx="3">
                        <c:v>2.6841199634029484</c:v>
                      </c:pt>
                      <c:pt idx="4">
                        <c:v>3.5788266178705976</c:v>
                      </c:pt>
                      <c:pt idx="5">
                        <c:v>4.4735332723382468</c:v>
                      </c:pt>
                      <c:pt idx="6">
                        <c:v>5.3682399268058969</c:v>
                      </c:pt>
                      <c:pt idx="7">
                        <c:v>6.262946581273547</c:v>
                      </c:pt>
                      <c:pt idx="8">
                        <c:v>7.1576532357411953</c:v>
                      </c:pt>
                      <c:pt idx="9">
                        <c:v>8.0523598902088445</c:v>
                      </c:pt>
                      <c:pt idx="10">
                        <c:v>8.9470665446764936</c:v>
                      </c:pt>
                      <c:pt idx="11">
                        <c:v>9.8417731991441428</c:v>
                      </c:pt>
                      <c:pt idx="12">
                        <c:v>10.736479853611794</c:v>
                      </c:pt>
                      <c:pt idx="13">
                        <c:v>11.631186508079443</c:v>
                      </c:pt>
                      <c:pt idx="14">
                        <c:v>12.525893162547094</c:v>
                      </c:pt>
                      <c:pt idx="15">
                        <c:v>13.420599817014741</c:v>
                      </c:pt>
                      <c:pt idx="16">
                        <c:v>14.315306471482391</c:v>
                      </c:pt>
                      <c:pt idx="17">
                        <c:v>15.21001312595004</c:v>
                      </c:pt>
                      <c:pt idx="18">
                        <c:v>16.104719780417689</c:v>
                      </c:pt>
                      <c:pt idx="19">
                        <c:v>16.999426434885343</c:v>
                      </c:pt>
                      <c:pt idx="20">
                        <c:v>17.894133089352987</c:v>
                      </c:pt>
                      <c:pt idx="21">
                        <c:v>18.788839743820638</c:v>
                      </c:pt>
                      <c:pt idx="22">
                        <c:v>19.683546398288286</c:v>
                      </c:pt>
                      <c:pt idx="23">
                        <c:v>20.578253052755937</c:v>
                      </c:pt>
                      <c:pt idx="24">
                        <c:v>21.472959707223588</c:v>
                      </c:pt>
                      <c:pt idx="25">
                        <c:v>22.367666361691235</c:v>
                      </c:pt>
                      <c:pt idx="26">
                        <c:v>23.262373016158886</c:v>
                      </c:pt>
                      <c:pt idx="27">
                        <c:v>24.157079670626537</c:v>
                      </c:pt>
                      <c:pt idx="28">
                        <c:v>25.051786325094188</c:v>
                      </c:pt>
                      <c:pt idx="29">
                        <c:v>25.946492979561825</c:v>
                      </c:pt>
                      <c:pt idx="30">
                        <c:v>26.841199634029483</c:v>
                      </c:pt>
                      <c:pt idx="31">
                        <c:v>27.735906288497134</c:v>
                      </c:pt>
                      <c:pt idx="32">
                        <c:v>28.630612942964781</c:v>
                      </c:pt>
                      <c:pt idx="33">
                        <c:v>29.525319597432432</c:v>
                      </c:pt>
                      <c:pt idx="34">
                        <c:v>30.420026251900079</c:v>
                      </c:pt>
                      <c:pt idx="35">
                        <c:v>31.31473290636773</c:v>
                      </c:pt>
                      <c:pt idx="36">
                        <c:v>32.209439560835378</c:v>
                      </c:pt>
                      <c:pt idx="37">
                        <c:v>33.104146215303032</c:v>
                      </c:pt>
                      <c:pt idx="38">
                        <c:v>33.998852869770687</c:v>
                      </c:pt>
                      <c:pt idx="39">
                        <c:v>34.893559524238327</c:v>
                      </c:pt>
                      <c:pt idx="40">
                        <c:v>35.788266178705975</c:v>
                      </c:pt>
                      <c:pt idx="41">
                        <c:v>36.682972833173629</c:v>
                      </c:pt>
                      <c:pt idx="42">
                        <c:v>37.577679487641277</c:v>
                      </c:pt>
                      <c:pt idx="43">
                        <c:v>38.472386142108924</c:v>
                      </c:pt>
                      <c:pt idx="44">
                        <c:v>39.367092796576571</c:v>
                      </c:pt>
                      <c:pt idx="45">
                        <c:v>40.261799451044219</c:v>
                      </c:pt>
                      <c:pt idx="46">
                        <c:v>41.156506105511873</c:v>
                      </c:pt>
                      <c:pt idx="47">
                        <c:v>42.051212759979528</c:v>
                      </c:pt>
                      <c:pt idx="48">
                        <c:v>42.945919414447175</c:v>
                      </c:pt>
                      <c:pt idx="49">
                        <c:v>43.840626068914823</c:v>
                      </c:pt>
                      <c:pt idx="50">
                        <c:v>44.73533272338247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17CC-489F-9151-FEC3986707C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グラフ!$F$5</c15:sqref>
                        </c15:formulaRef>
                      </c:ext>
                    </c:extLst>
                    <c:strCache>
                      <c:ptCount val="1"/>
                      <c:pt idx="0">
                        <c:v>圧入力nor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グラフ!$F$6:$F$56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1.1425876408527915</c:v>
                      </c:pt>
                      <c:pt idx="2">
                        <c:v>2.285175281705583</c:v>
                      </c:pt>
                      <c:pt idx="3">
                        <c:v>3.4277629225583741</c:v>
                      </c:pt>
                      <c:pt idx="4">
                        <c:v>4.5703505634111661</c:v>
                      </c:pt>
                      <c:pt idx="5">
                        <c:v>5.712938204263958</c:v>
                      </c:pt>
                      <c:pt idx="6">
                        <c:v>6.8555258451167482</c:v>
                      </c:pt>
                      <c:pt idx="7">
                        <c:v>7.998113485969542</c:v>
                      </c:pt>
                      <c:pt idx="8">
                        <c:v>9.1407011268223322</c:v>
                      </c:pt>
                      <c:pt idx="9">
                        <c:v>10.283288767675124</c:v>
                      </c:pt>
                      <c:pt idx="10">
                        <c:v>11.425876408527916</c:v>
                      </c:pt>
                      <c:pt idx="11">
                        <c:v>12.568464049380708</c:v>
                      </c:pt>
                      <c:pt idx="12">
                        <c:v>13.711051690233496</c:v>
                      </c:pt>
                      <c:pt idx="13">
                        <c:v>14.853639331086292</c:v>
                      </c:pt>
                      <c:pt idx="14">
                        <c:v>15.996226971939084</c:v>
                      </c:pt>
                      <c:pt idx="15">
                        <c:v>17.138814612791872</c:v>
                      </c:pt>
                      <c:pt idx="16">
                        <c:v>18.281402253644664</c:v>
                      </c:pt>
                      <c:pt idx="17">
                        <c:v>19.423989894497456</c:v>
                      </c:pt>
                      <c:pt idx="18">
                        <c:v>20.566577535350248</c:v>
                      </c:pt>
                      <c:pt idx="19">
                        <c:v>21.709165176203044</c:v>
                      </c:pt>
                      <c:pt idx="20">
                        <c:v>22.851752817055832</c:v>
                      </c:pt>
                      <c:pt idx="21">
                        <c:v>23.994340457908621</c:v>
                      </c:pt>
                      <c:pt idx="22">
                        <c:v>25.136928098761416</c:v>
                      </c:pt>
                      <c:pt idx="23">
                        <c:v>26.279515739614205</c:v>
                      </c:pt>
                      <c:pt idx="24">
                        <c:v>27.422103380466993</c:v>
                      </c:pt>
                      <c:pt idx="25">
                        <c:v>28.564691021319788</c:v>
                      </c:pt>
                      <c:pt idx="26">
                        <c:v>29.707278662172584</c:v>
                      </c:pt>
                      <c:pt idx="27">
                        <c:v>30.849866303025369</c:v>
                      </c:pt>
                      <c:pt idx="28">
                        <c:v>31.992453943878168</c:v>
                      </c:pt>
                      <c:pt idx="29">
                        <c:v>33.135041584730949</c:v>
                      </c:pt>
                      <c:pt idx="30">
                        <c:v>34.277629225583745</c:v>
                      </c:pt>
                      <c:pt idx="31">
                        <c:v>35.42021686643654</c:v>
                      </c:pt>
                      <c:pt idx="32">
                        <c:v>36.562804507289329</c:v>
                      </c:pt>
                      <c:pt idx="33">
                        <c:v>37.705392148142117</c:v>
                      </c:pt>
                      <c:pt idx="34">
                        <c:v>38.847979788994913</c:v>
                      </c:pt>
                      <c:pt idx="35">
                        <c:v>39.990567429847701</c:v>
                      </c:pt>
                      <c:pt idx="36">
                        <c:v>41.133155070700496</c:v>
                      </c:pt>
                      <c:pt idx="37">
                        <c:v>42.275742711553285</c:v>
                      </c:pt>
                      <c:pt idx="38">
                        <c:v>43.418330352406088</c:v>
                      </c:pt>
                      <c:pt idx="39">
                        <c:v>44.560917993258869</c:v>
                      </c:pt>
                      <c:pt idx="40">
                        <c:v>45.703505634111664</c:v>
                      </c:pt>
                      <c:pt idx="41">
                        <c:v>46.846093274964446</c:v>
                      </c:pt>
                      <c:pt idx="42">
                        <c:v>47.988680915817241</c:v>
                      </c:pt>
                      <c:pt idx="43">
                        <c:v>49.13126855667003</c:v>
                      </c:pt>
                      <c:pt idx="44">
                        <c:v>50.273856197522832</c:v>
                      </c:pt>
                      <c:pt idx="45">
                        <c:v>51.416443838375621</c:v>
                      </c:pt>
                      <c:pt idx="46">
                        <c:v>52.559031479228409</c:v>
                      </c:pt>
                      <c:pt idx="47">
                        <c:v>53.701619120081212</c:v>
                      </c:pt>
                      <c:pt idx="48">
                        <c:v>54.844206760933986</c:v>
                      </c:pt>
                      <c:pt idx="49">
                        <c:v>55.986794401786796</c:v>
                      </c:pt>
                      <c:pt idx="50">
                        <c:v>57.129382042639577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CC-489F-9151-FEC3986707C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グラフ!$G$5</c15:sqref>
                        </c15:formulaRef>
                      </c:ext>
                    </c:extLst>
                    <c:strCache>
                      <c:ptCount val="1"/>
                      <c:pt idx="0">
                        <c:v>圧入力max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グラフ!$G$6:$G$56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1.4004306860873335</c:v>
                      </c:pt>
                      <c:pt idx="2">
                        <c:v>2.8008613721746669</c:v>
                      </c:pt>
                      <c:pt idx="3">
                        <c:v>4.201292058262001</c:v>
                      </c:pt>
                      <c:pt idx="4">
                        <c:v>5.6017227443493338</c:v>
                      </c:pt>
                      <c:pt idx="5">
                        <c:v>7.0021534304366675</c:v>
                      </c:pt>
                      <c:pt idx="6">
                        <c:v>8.4025841165240021</c:v>
                      </c:pt>
                      <c:pt idx="7">
                        <c:v>9.8030148026113366</c:v>
                      </c:pt>
                      <c:pt idx="8">
                        <c:v>11.203445488698668</c:v>
                      </c:pt>
                      <c:pt idx="9">
                        <c:v>12.603876174786002</c:v>
                      </c:pt>
                      <c:pt idx="10">
                        <c:v>14.004306860873335</c:v>
                      </c:pt>
                      <c:pt idx="11">
                        <c:v>15.404737546960666</c:v>
                      </c:pt>
                      <c:pt idx="12">
                        <c:v>16.805168233048004</c:v>
                      </c:pt>
                      <c:pt idx="13">
                        <c:v>18.20559891913534</c:v>
                      </c:pt>
                      <c:pt idx="14">
                        <c:v>19.606029605222673</c:v>
                      </c:pt>
                      <c:pt idx="15">
                        <c:v>21.006460291310002</c:v>
                      </c:pt>
                      <c:pt idx="16">
                        <c:v>22.406890977397335</c:v>
                      </c:pt>
                      <c:pt idx="17">
                        <c:v>23.807321663484668</c:v>
                      </c:pt>
                      <c:pt idx="18">
                        <c:v>25.207752349572004</c:v>
                      </c:pt>
                      <c:pt idx="19">
                        <c:v>26.608183035659341</c:v>
                      </c:pt>
                      <c:pt idx="20">
                        <c:v>28.00861372174667</c:v>
                      </c:pt>
                      <c:pt idx="21">
                        <c:v>29.409044407833999</c:v>
                      </c:pt>
                      <c:pt idx="22">
                        <c:v>30.809475093921332</c:v>
                      </c:pt>
                      <c:pt idx="23">
                        <c:v>32.209905780008675</c:v>
                      </c:pt>
                      <c:pt idx="24">
                        <c:v>33.610336466096008</c:v>
                      </c:pt>
                      <c:pt idx="25">
                        <c:v>35.010767152183341</c:v>
                      </c:pt>
                      <c:pt idx="26">
                        <c:v>36.411197838270681</c:v>
                      </c:pt>
                      <c:pt idx="27">
                        <c:v>37.811628524358007</c:v>
                      </c:pt>
                      <c:pt idx="28">
                        <c:v>39.212059210445346</c:v>
                      </c:pt>
                      <c:pt idx="29">
                        <c:v>40.612489896532665</c:v>
                      </c:pt>
                      <c:pt idx="30">
                        <c:v>42.012920582620005</c:v>
                      </c:pt>
                      <c:pt idx="31">
                        <c:v>43.413351268707345</c:v>
                      </c:pt>
                      <c:pt idx="32">
                        <c:v>44.813781954794671</c:v>
                      </c:pt>
                      <c:pt idx="33">
                        <c:v>46.21421264088201</c:v>
                      </c:pt>
                      <c:pt idx="34">
                        <c:v>47.614643326969336</c:v>
                      </c:pt>
                      <c:pt idx="35">
                        <c:v>49.015074013056676</c:v>
                      </c:pt>
                      <c:pt idx="36">
                        <c:v>50.415504699144009</c:v>
                      </c:pt>
                      <c:pt idx="37">
                        <c:v>51.815935385231342</c:v>
                      </c:pt>
                      <c:pt idx="38">
                        <c:v>53.216366071318681</c:v>
                      </c:pt>
                      <c:pt idx="39">
                        <c:v>54.616796757406</c:v>
                      </c:pt>
                      <c:pt idx="40">
                        <c:v>56.01722744349334</c:v>
                      </c:pt>
                      <c:pt idx="41">
                        <c:v>57.417658129580673</c:v>
                      </c:pt>
                      <c:pt idx="42">
                        <c:v>58.818088815667998</c:v>
                      </c:pt>
                      <c:pt idx="43">
                        <c:v>60.218519501755338</c:v>
                      </c:pt>
                      <c:pt idx="44">
                        <c:v>61.618950187842664</c:v>
                      </c:pt>
                      <c:pt idx="45">
                        <c:v>63.019380873930011</c:v>
                      </c:pt>
                      <c:pt idx="46">
                        <c:v>64.419811560017351</c:v>
                      </c:pt>
                      <c:pt idx="47">
                        <c:v>65.820242246104698</c:v>
                      </c:pt>
                      <c:pt idx="48">
                        <c:v>67.220672932192016</c:v>
                      </c:pt>
                      <c:pt idx="49">
                        <c:v>68.621103618279349</c:v>
                      </c:pt>
                      <c:pt idx="50">
                        <c:v>70.021534304366682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CC-489F-9151-FEC3986707C7}"/>
                  </c:ext>
                </c:extLst>
              </c15:ser>
            </c15:filteredScatterSeries>
          </c:ext>
        </c:extLst>
      </c:scatterChart>
      <c:valAx>
        <c:axId val="2069338655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グラフ!$A$4</c:f>
              <c:strCache>
                <c:ptCount val="1"/>
                <c:pt idx="0">
                  <c:v>締め代[mm]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69334079"/>
        <c:crosses val="autoZero"/>
        <c:crossBetween val="midCat"/>
      </c:valAx>
      <c:valAx>
        <c:axId val="2069334079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応力</a:t>
                </a:r>
                <a:r>
                  <a:rPr lang="en-US" altLang="ja-JP"/>
                  <a:t>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69338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締め代</a:t>
            </a:r>
            <a:r>
              <a:rPr lang="en-US" altLang="ja-JP"/>
              <a:t>vs</a:t>
            </a:r>
            <a:r>
              <a:rPr lang="ja-JP" altLang="en-US"/>
              <a:t>応力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6"/>
          <c:order val="6"/>
          <c:tx>
            <c:strRef>
              <c:f>グラフ!$H$5</c:f>
              <c:strCache>
                <c:ptCount val="1"/>
                <c:pt idx="0">
                  <c:v>降伏点inner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グラフ!$H$6:$H$56</c:f>
              <c:numCache>
                <c:formatCode>0.0</c:formatCode>
                <c:ptCount val="51"/>
                <c:pt idx="0">
                  <c:v>345</c:v>
                </c:pt>
                <c:pt idx="1">
                  <c:v>345</c:v>
                </c:pt>
                <c:pt idx="2">
                  <c:v>345</c:v>
                </c:pt>
                <c:pt idx="3">
                  <c:v>345</c:v>
                </c:pt>
                <c:pt idx="4">
                  <c:v>345</c:v>
                </c:pt>
                <c:pt idx="5">
                  <c:v>345</c:v>
                </c:pt>
                <c:pt idx="6">
                  <c:v>345</c:v>
                </c:pt>
                <c:pt idx="7">
                  <c:v>345</c:v>
                </c:pt>
                <c:pt idx="8">
                  <c:v>345</c:v>
                </c:pt>
                <c:pt idx="9">
                  <c:v>345</c:v>
                </c:pt>
                <c:pt idx="10">
                  <c:v>345</c:v>
                </c:pt>
                <c:pt idx="11">
                  <c:v>345</c:v>
                </c:pt>
                <c:pt idx="12">
                  <c:v>345</c:v>
                </c:pt>
                <c:pt idx="13">
                  <c:v>345</c:v>
                </c:pt>
                <c:pt idx="14">
                  <c:v>345</c:v>
                </c:pt>
                <c:pt idx="15">
                  <c:v>345</c:v>
                </c:pt>
                <c:pt idx="16">
                  <c:v>345</c:v>
                </c:pt>
                <c:pt idx="17">
                  <c:v>345</c:v>
                </c:pt>
                <c:pt idx="18">
                  <c:v>345</c:v>
                </c:pt>
                <c:pt idx="19">
                  <c:v>345</c:v>
                </c:pt>
                <c:pt idx="20">
                  <c:v>345</c:v>
                </c:pt>
                <c:pt idx="21">
                  <c:v>345</c:v>
                </c:pt>
                <c:pt idx="22">
                  <c:v>345</c:v>
                </c:pt>
                <c:pt idx="23">
                  <c:v>345</c:v>
                </c:pt>
                <c:pt idx="24">
                  <c:v>345</c:v>
                </c:pt>
                <c:pt idx="25">
                  <c:v>345</c:v>
                </c:pt>
                <c:pt idx="26">
                  <c:v>345</c:v>
                </c:pt>
                <c:pt idx="27">
                  <c:v>345</c:v>
                </c:pt>
                <c:pt idx="28">
                  <c:v>345</c:v>
                </c:pt>
                <c:pt idx="29">
                  <c:v>345</c:v>
                </c:pt>
                <c:pt idx="30">
                  <c:v>345</c:v>
                </c:pt>
                <c:pt idx="31">
                  <c:v>345</c:v>
                </c:pt>
                <c:pt idx="32">
                  <c:v>345</c:v>
                </c:pt>
                <c:pt idx="33">
                  <c:v>345</c:v>
                </c:pt>
                <c:pt idx="34">
                  <c:v>345</c:v>
                </c:pt>
                <c:pt idx="35">
                  <c:v>345</c:v>
                </c:pt>
                <c:pt idx="36">
                  <c:v>345</c:v>
                </c:pt>
                <c:pt idx="37">
                  <c:v>345</c:v>
                </c:pt>
                <c:pt idx="38">
                  <c:v>345</c:v>
                </c:pt>
                <c:pt idx="39">
                  <c:v>345</c:v>
                </c:pt>
                <c:pt idx="40">
                  <c:v>345</c:v>
                </c:pt>
                <c:pt idx="41">
                  <c:v>345</c:v>
                </c:pt>
                <c:pt idx="42">
                  <c:v>345</c:v>
                </c:pt>
                <c:pt idx="43">
                  <c:v>345</c:v>
                </c:pt>
                <c:pt idx="44">
                  <c:v>345</c:v>
                </c:pt>
                <c:pt idx="45">
                  <c:v>345</c:v>
                </c:pt>
                <c:pt idx="46">
                  <c:v>345</c:v>
                </c:pt>
                <c:pt idx="47">
                  <c:v>345</c:v>
                </c:pt>
                <c:pt idx="48">
                  <c:v>345</c:v>
                </c:pt>
                <c:pt idx="49">
                  <c:v>345</c:v>
                </c:pt>
                <c:pt idx="50">
                  <c:v>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2C-439D-9973-034B0ACAB3FF}"/>
            </c:ext>
          </c:extLst>
        </c:ser>
        <c:ser>
          <c:idx val="0"/>
          <c:order val="0"/>
          <c:tx>
            <c:strRef>
              <c:f>グラフ!$B$5</c:f>
              <c:strCache>
                <c:ptCount val="1"/>
                <c:pt idx="0">
                  <c:v>半径方向応力min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グラフ!$B$6:$B$56</c:f>
              <c:numCache>
                <c:formatCode>0.0</c:formatCode>
                <c:ptCount val="51"/>
                <c:pt idx="0">
                  <c:v>0</c:v>
                </c:pt>
                <c:pt idx="1">
                  <c:v>5.13552081128155</c:v>
                </c:pt>
                <c:pt idx="2">
                  <c:v>10.2710416225631</c:v>
                </c:pt>
                <c:pt idx="3">
                  <c:v>15.40656243384465</c:v>
                </c:pt>
                <c:pt idx="4">
                  <c:v>20.5420832451262</c:v>
                </c:pt>
                <c:pt idx="5">
                  <c:v>25.677604056407752</c:v>
                </c:pt>
                <c:pt idx="6">
                  <c:v>30.8131248676893</c:v>
                </c:pt>
                <c:pt idx="7">
                  <c:v>35.948645678970855</c:v>
                </c:pt>
                <c:pt idx="8">
                  <c:v>41.0841664902524</c:v>
                </c:pt>
                <c:pt idx="9">
                  <c:v>46.219687301533952</c:v>
                </c:pt>
                <c:pt idx="10">
                  <c:v>51.355208112815504</c:v>
                </c:pt>
                <c:pt idx="11">
                  <c:v>56.490728924097048</c:v>
                </c:pt>
                <c:pt idx="12">
                  <c:v>61.6262497353786</c:v>
                </c:pt>
                <c:pt idx="13">
                  <c:v>66.761770546660159</c:v>
                </c:pt>
                <c:pt idx="14">
                  <c:v>71.897291357941711</c:v>
                </c:pt>
                <c:pt idx="15">
                  <c:v>77.032812169223249</c:v>
                </c:pt>
                <c:pt idx="16">
                  <c:v>82.1683329805048</c:v>
                </c:pt>
                <c:pt idx="17">
                  <c:v>87.303853791786352</c:v>
                </c:pt>
                <c:pt idx="18">
                  <c:v>92.439374603067904</c:v>
                </c:pt>
                <c:pt idx="19">
                  <c:v>97.57489541434947</c:v>
                </c:pt>
                <c:pt idx="20">
                  <c:v>102.71041622563101</c:v>
                </c:pt>
                <c:pt idx="21">
                  <c:v>107.84593703691255</c:v>
                </c:pt>
                <c:pt idx="22">
                  <c:v>112.9814578481941</c:v>
                </c:pt>
                <c:pt idx="23">
                  <c:v>118.11697865947566</c:v>
                </c:pt>
                <c:pt idx="24">
                  <c:v>123.2524994707572</c:v>
                </c:pt>
                <c:pt idx="25">
                  <c:v>128.38802028203875</c:v>
                </c:pt>
                <c:pt idx="26">
                  <c:v>133.52354109332032</c:v>
                </c:pt>
                <c:pt idx="27">
                  <c:v>138.65906190460186</c:v>
                </c:pt>
                <c:pt idx="28">
                  <c:v>143.79458271588342</c:v>
                </c:pt>
                <c:pt idx="29">
                  <c:v>148.93010352716493</c:v>
                </c:pt>
                <c:pt idx="30">
                  <c:v>154.0656243384465</c:v>
                </c:pt>
                <c:pt idx="31">
                  <c:v>159.20114514972806</c:v>
                </c:pt>
                <c:pt idx="32">
                  <c:v>164.3366659610096</c:v>
                </c:pt>
                <c:pt idx="33">
                  <c:v>169.47218677229117</c:v>
                </c:pt>
                <c:pt idx="34">
                  <c:v>174.6077075835727</c:v>
                </c:pt>
                <c:pt idx="35">
                  <c:v>179.74322839485427</c:v>
                </c:pt>
                <c:pt idx="36">
                  <c:v>184.87874920613581</c:v>
                </c:pt>
                <c:pt idx="37">
                  <c:v>190.01427001741737</c:v>
                </c:pt>
                <c:pt idx="38">
                  <c:v>195.14979082869894</c:v>
                </c:pt>
                <c:pt idx="39">
                  <c:v>200.28531163998045</c:v>
                </c:pt>
                <c:pt idx="40">
                  <c:v>205.42083245126202</c:v>
                </c:pt>
                <c:pt idx="41">
                  <c:v>210.55635326254355</c:v>
                </c:pt>
                <c:pt idx="42">
                  <c:v>215.69187407382509</c:v>
                </c:pt>
                <c:pt idx="43">
                  <c:v>220.82739488510666</c:v>
                </c:pt>
                <c:pt idx="44">
                  <c:v>225.96291569638819</c:v>
                </c:pt>
                <c:pt idx="45">
                  <c:v>231.09843650766976</c:v>
                </c:pt>
                <c:pt idx="46">
                  <c:v>236.23395731895133</c:v>
                </c:pt>
                <c:pt idx="47">
                  <c:v>241.36947813023289</c:v>
                </c:pt>
                <c:pt idx="48">
                  <c:v>246.5049989415144</c:v>
                </c:pt>
                <c:pt idx="49">
                  <c:v>251.64051975279597</c:v>
                </c:pt>
                <c:pt idx="50">
                  <c:v>256.7760405640775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2C-439D-9973-034B0ACAB3FF}"/>
            </c:ext>
          </c:extLst>
        </c:ser>
        <c:ser>
          <c:idx val="1"/>
          <c:order val="1"/>
          <c:tx>
            <c:strRef>
              <c:f>グラフ!$C$5</c:f>
              <c:strCache>
                <c:ptCount val="1"/>
                <c:pt idx="0">
                  <c:v>半径方向応力nor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グラフ!$C$6:$C$56</c:f>
              <c:numCache>
                <c:formatCode>0.0</c:formatCode>
                <c:ptCount val="51"/>
                <c:pt idx="0">
                  <c:v>0</c:v>
                </c:pt>
                <c:pt idx="1">
                  <c:v>5.1885955296647772</c:v>
                </c:pt>
                <c:pt idx="2">
                  <c:v>10.377191059329554</c:v>
                </c:pt>
                <c:pt idx="3">
                  <c:v>15.56578658899433</c:v>
                </c:pt>
                <c:pt idx="4">
                  <c:v>20.754382118659109</c:v>
                </c:pt>
                <c:pt idx="5">
                  <c:v>25.942977648323883</c:v>
                </c:pt>
                <c:pt idx="6">
                  <c:v>31.13157317798866</c:v>
                </c:pt>
                <c:pt idx="7">
                  <c:v>36.320168707653437</c:v>
                </c:pt>
                <c:pt idx="8">
                  <c:v>41.508764237318218</c:v>
                </c:pt>
                <c:pt idx="9">
                  <c:v>46.697359766982991</c:v>
                </c:pt>
                <c:pt idx="10">
                  <c:v>51.885955296647765</c:v>
                </c:pt>
                <c:pt idx="11">
                  <c:v>57.074550826312546</c:v>
                </c:pt>
                <c:pt idx="12">
                  <c:v>62.26314635597732</c:v>
                </c:pt>
                <c:pt idx="13">
                  <c:v>67.451741885642107</c:v>
                </c:pt>
                <c:pt idx="14">
                  <c:v>72.640337415306874</c:v>
                </c:pt>
                <c:pt idx="15">
                  <c:v>77.82893294497164</c:v>
                </c:pt>
                <c:pt idx="16">
                  <c:v>83.017528474636435</c:v>
                </c:pt>
                <c:pt idx="17">
                  <c:v>88.206124004301202</c:v>
                </c:pt>
                <c:pt idx="18">
                  <c:v>93.394719533965983</c:v>
                </c:pt>
                <c:pt idx="19">
                  <c:v>98.583315063630764</c:v>
                </c:pt>
                <c:pt idx="20">
                  <c:v>103.77191059329553</c:v>
                </c:pt>
                <c:pt idx="21">
                  <c:v>108.9605061229603</c:v>
                </c:pt>
                <c:pt idx="22">
                  <c:v>114.14910165262509</c:v>
                </c:pt>
                <c:pt idx="23">
                  <c:v>119.33769718228987</c:v>
                </c:pt>
                <c:pt idx="24">
                  <c:v>124.52629271195464</c:v>
                </c:pt>
                <c:pt idx="25">
                  <c:v>129.71488824161943</c:v>
                </c:pt>
                <c:pt idx="26">
                  <c:v>134.90348377128421</c:v>
                </c:pt>
                <c:pt idx="27">
                  <c:v>140.09207930094897</c:v>
                </c:pt>
                <c:pt idx="28">
                  <c:v>145.28067483061375</c:v>
                </c:pt>
                <c:pt idx="29">
                  <c:v>150.4692703602785</c:v>
                </c:pt>
                <c:pt idx="30">
                  <c:v>155.65786588994328</c:v>
                </c:pt>
                <c:pt idx="31">
                  <c:v>160.84646141960809</c:v>
                </c:pt>
                <c:pt idx="32">
                  <c:v>166.03505694927287</c:v>
                </c:pt>
                <c:pt idx="33">
                  <c:v>171.22365247893765</c:v>
                </c:pt>
                <c:pt idx="34">
                  <c:v>176.4122480086024</c:v>
                </c:pt>
                <c:pt idx="35">
                  <c:v>181.60084353826721</c:v>
                </c:pt>
                <c:pt idx="36">
                  <c:v>186.78943906793197</c:v>
                </c:pt>
                <c:pt idx="37">
                  <c:v>191.97803459759675</c:v>
                </c:pt>
                <c:pt idx="38">
                  <c:v>197.16663012726153</c:v>
                </c:pt>
                <c:pt idx="39">
                  <c:v>202.35522565692628</c:v>
                </c:pt>
                <c:pt idx="40">
                  <c:v>207.54382118659106</c:v>
                </c:pt>
                <c:pt idx="41">
                  <c:v>212.73241671625584</c:v>
                </c:pt>
                <c:pt idx="42">
                  <c:v>217.92101224592059</c:v>
                </c:pt>
                <c:pt idx="43">
                  <c:v>223.10960777558537</c:v>
                </c:pt>
                <c:pt idx="44">
                  <c:v>228.29820330525018</c:v>
                </c:pt>
                <c:pt idx="45">
                  <c:v>233.48679883491496</c:v>
                </c:pt>
                <c:pt idx="46">
                  <c:v>238.67539436457974</c:v>
                </c:pt>
                <c:pt idx="47">
                  <c:v>243.86398989424453</c:v>
                </c:pt>
                <c:pt idx="48">
                  <c:v>249.05258542390928</c:v>
                </c:pt>
                <c:pt idx="49">
                  <c:v>254.24118095357406</c:v>
                </c:pt>
                <c:pt idx="50">
                  <c:v>259.42977648323887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62C-439D-9973-034B0ACAB3FF}"/>
            </c:ext>
          </c:extLst>
        </c:ser>
        <c:ser>
          <c:idx val="2"/>
          <c:order val="2"/>
          <c:tx>
            <c:strRef>
              <c:f>グラフ!$D$5</c:f>
              <c:strCache>
                <c:ptCount val="1"/>
                <c:pt idx="0">
                  <c:v>半径方向応力max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グラフ!$D$6:$D$56</c:f>
              <c:numCache>
                <c:formatCode>0.0</c:formatCode>
                <c:ptCount val="51"/>
                <c:pt idx="0">
                  <c:v>0</c:v>
                </c:pt>
                <c:pt idx="1">
                  <c:v>5.2410712216185891</c:v>
                </c:pt>
                <c:pt idx="2">
                  <c:v>10.482142443237178</c:v>
                </c:pt>
                <c:pt idx="3">
                  <c:v>15.723213664855766</c:v>
                </c:pt>
                <c:pt idx="4">
                  <c:v>20.964284886474356</c:v>
                </c:pt>
                <c:pt idx="5">
                  <c:v>26.205356108092946</c:v>
                </c:pt>
                <c:pt idx="6">
                  <c:v>31.446427329711533</c:v>
                </c:pt>
                <c:pt idx="7">
                  <c:v>36.687498551330123</c:v>
                </c:pt>
                <c:pt idx="8">
                  <c:v>41.928569772948713</c:v>
                </c:pt>
                <c:pt idx="9">
                  <c:v>47.169640994567303</c:v>
                </c:pt>
                <c:pt idx="10">
                  <c:v>52.410712216185892</c:v>
                </c:pt>
                <c:pt idx="11">
                  <c:v>57.651783437804475</c:v>
                </c:pt>
                <c:pt idx="12">
                  <c:v>62.892854659423065</c:v>
                </c:pt>
                <c:pt idx="13">
                  <c:v>68.133925881041662</c:v>
                </c:pt>
                <c:pt idx="14">
                  <c:v>73.374997102660245</c:v>
                </c:pt>
                <c:pt idx="15">
                  <c:v>78.616068324278828</c:v>
                </c:pt>
                <c:pt idx="16">
                  <c:v>83.857139545897425</c:v>
                </c:pt>
                <c:pt idx="17">
                  <c:v>89.098210767516008</c:v>
                </c:pt>
                <c:pt idx="18">
                  <c:v>94.339281989134605</c:v>
                </c:pt>
                <c:pt idx="19">
                  <c:v>99.580353210753202</c:v>
                </c:pt>
                <c:pt idx="20">
                  <c:v>104.82142443237178</c:v>
                </c:pt>
                <c:pt idx="21">
                  <c:v>110.06249565399035</c:v>
                </c:pt>
                <c:pt idx="22">
                  <c:v>115.30356687560895</c:v>
                </c:pt>
                <c:pt idx="23">
                  <c:v>120.54463809722755</c:v>
                </c:pt>
                <c:pt idx="24">
                  <c:v>125.78570931884613</c:v>
                </c:pt>
                <c:pt idx="25">
                  <c:v>131.02678054046473</c:v>
                </c:pt>
                <c:pt idx="26">
                  <c:v>136.26785176208332</c:v>
                </c:pt>
                <c:pt idx="27">
                  <c:v>141.50892298370189</c:v>
                </c:pt>
                <c:pt idx="28">
                  <c:v>146.74999420532049</c:v>
                </c:pt>
                <c:pt idx="29">
                  <c:v>151.99106542693906</c:v>
                </c:pt>
                <c:pt idx="30">
                  <c:v>157.23213664855766</c:v>
                </c:pt>
                <c:pt idx="31">
                  <c:v>162.47320787017625</c:v>
                </c:pt>
                <c:pt idx="32">
                  <c:v>167.71427909179485</c:v>
                </c:pt>
                <c:pt idx="33">
                  <c:v>172.95535031341345</c:v>
                </c:pt>
                <c:pt idx="34">
                  <c:v>178.19642153503202</c:v>
                </c:pt>
                <c:pt idx="35">
                  <c:v>183.43749275665064</c:v>
                </c:pt>
                <c:pt idx="36">
                  <c:v>188.67856397826921</c:v>
                </c:pt>
                <c:pt idx="37">
                  <c:v>193.91963519988781</c:v>
                </c:pt>
                <c:pt idx="38">
                  <c:v>199.1607064215064</c:v>
                </c:pt>
                <c:pt idx="39">
                  <c:v>204.40177764312497</c:v>
                </c:pt>
                <c:pt idx="40">
                  <c:v>209.64284886474357</c:v>
                </c:pt>
                <c:pt idx="41">
                  <c:v>214.88392008636217</c:v>
                </c:pt>
                <c:pt idx="42">
                  <c:v>220.12499130798071</c:v>
                </c:pt>
                <c:pt idx="43">
                  <c:v>225.3660625295993</c:v>
                </c:pt>
                <c:pt idx="44">
                  <c:v>230.6071337512179</c:v>
                </c:pt>
                <c:pt idx="45">
                  <c:v>235.8482049728365</c:v>
                </c:pt>
                <c:pt idx="46">
                  <c:v>241.0892761944551</c:v>
                </c:pt>
                <c:pt idx="47">
                  <c:v>246.33034741607369</c:v>
                </c:pt>
                <c:pt idx="48">
                  <c:v>251.57141863769226</c:v>
                </c:pt>
                <c:pt idx="49">
                  <c:v>256.81248985931086</c:v>
                </c:pt>
                <c:pt idx="50">
                  <c:v>262.05356108092946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62C-439D-9973-034B0ACAB3FF}"/>
            </c:ext>
          </c:extLst>
        </c:ser>
        <c:ser>
          <c:idx val="7"/>
          <c:order val="7"/>
          <c:tx>
            <c:strRef>
              <c:f>グラフ!$I$5</c:f>
              <c:strCache>
                <c:ptCount val="1"/>
                <c:pt idx="0">
                  <c:v>降伏点outer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グラフ!$I$6:$I$56</c:f>
              <c:numCache>
                <c:formatCode>0.0</c:formatCode>
                <c:ptCount val="51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150</c:v>
                </c:pt>
                <c:pt idx="17">
                  <c:v>150</c:v>
                </c:pt>
                <c:pt idx="18">
                  <c:v>150</c:v>
                </c:pt>
                <c:pt idx="19">
                  <c:v>150</c:v>
                </c:pt>
                <c:pt idx="20">
                  <c:v>150</c:v>
                </c:pt>
                <c:pt idx="21">
                  <c:v>150</c:v>
                </c:pt>
                <c:pt idx="22">
                  <c:v>150</c:v>
                </c:pt>
                <c:pt idx="23">
                  <c:v>150</c:v>
                </c:pt>
                <c:pt idx="24">
                  <c:v>150</c:v>
                </c:pt>
                <c:pt idx="25">
                  <c:v>150</c:v>
                </c:pt>
                <c:pt idx="26">
                  <c:v>150</c:v>
                </c:pt>
                <c:pt idx="27">
                  <c:v>150</c:v>
                </c:pt>
                <c:pt idx="28">
                  <c:v>150</c:v>
                </c:pt>
                <c:pt idx="29">
                  <c:v>150</c:v>
                </c:pt>
                <c:pt idx="30">
                  <c:v>150</c:v>
                </c:pt>
                <c:pt idx="31">
                  <c:v>150</c:v>
                </c:pt>
                <c:pt idx="32">
                  <c:v>150</c:v>
                </c:pt>
                <c:pt idx="33">
                  <c:v>150</c:v>
                </c:pt>
                <c:pt idx="34">
                  <c:v>150</c:v>
                </c:pt>
                <c:pt idx="35">
                  <c:v>150</c:v>
                </c:pt>
                <c:pt idx="36">
                  <c:v>150</c:v>
                </c:pt>
                <c:pt idx="37">
                  <c:v>150</c:v>
                </c:pt>
                <c:pt idx="38">
                  <c:v>150</c:v>
                </c:pt>
                <c:pt idx="39">
                  <c:v>150</c:v>
                </c:pt>
                <c:pt idx="40">
                  <c:v>150</c:v>
                </c:pt>
                <c:pt idx="41">
                  <c:v>150</c:v>
                </c:pt>
                <c:pt idx="42">
                  <c:v>150</c:v>
                </c:pt>
                <c:pt idx="43">
                  <c:v>150</c:v>
                </c:pt>
                <c:pt idx="44">
                  <c:v>150</c:v>
                </c:pt>
                <c:pt idx="45">
                  <c:v>150</c:v>
                </c:pt>
                <c:pt idx="46">
                  <c:v>150</c:v>
                </c:pt>
                <c:pt idx="47">
                  <c:v>150</c:v>
                </c:pt>
                <c:pt idx="48">
                  <c:v>150</c:v>
                </c:pt>
                <c:pt idx="49">
                  <c:v>150</c:v>
                </c:pt>
                <c:pt idx="50">
                  <c:v>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62C-439D-9973-034B0ACAB3FF}"/>
            </c:ext>
          </c:extLst>
        </c:ser>
        <c:ser>
          <c:idx val="8"/>
          <c:order val="8"/>
          <c:tx>
            <c:strRef>
              <c:f>グラフ!$J$5</c:f>
              <c:strCache>
                <c:ptCount val="1"/>
                <c:pt idx="0">
                  <c:v>円周方向応力inner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グラフ!$J$6:$J$56</c:f>
              <c:numCache>
                <c:formatCode>0.0</c:formatCode>
                <c:ptCount val="51"/>
                <c:pt idx="0">
                  <c:v>0</c:v>
                </c:pt>
                <c:pt idx="1">
                  <c:v>18.675624349067672</c:v>
                </c:pt>
                <c:pt idx="2">
                  <c:v>37.351248698135343</c:v>
                </c:pt>
                <c:pt idx="3">
                  <c:v>56.026873047203011</c:v>
                </c:pt>
                <c:pt idx="4">
                  <c:v>74.702497396270687</c:v>
                </c:pt>
                <c:pt idx="5">
                  <c:v>93.378121745338348</c:v>
                </c:pt>
                <c:pt idx="6">
                  <c:v>112.05374609440602</c:v>
                </c:pt>
                <c:pt idx="7">
                  <c:v>130.7293704434737</c:v>
                </c:pt>
                <c:pt idx="8">
                  <c:v>149.40499479254137</c:v>
                </c:pt>
                <c:pt idx="9">
                  <c:v>168.08061914160905</c:v>
                </c:pt>
                <c:pt idx="10">
                  <c:v>186.7562434906767</c:v>
                </c:pt>
                <c:pt idx="11">
                  <c:v>205.43186783974437</c:v>
                </c:pt>
                <c:pt idx="12">
                  <c:v>224.10749218881205</c:v>
                </c:pt>
                <c:pt idx="13">
                  <c:v>242.78311653787975</c:v>
                </c:pt>
                <c:pt idx="14">
                  <c:v>261.4587408869474</c:v>
                </c:pt>
                <c:pt idx="15">
                  <c:v>280.13436523601501</c:v>
                </c:pt>
                <c:pt idx="16">
                  <c:v>298.80998958508275</c:v>
                </c:pt>
                <c:pt idx="17">
                  <c:v>317.48561393415036</c:v>
                </c:pt>
                <c:pt idx="18">
                  <c:v>336.1612382832181</c:v>
                </c:pt>
                <c:pt idx="19">
                  <c:v>354.83686263228577</c:v>
                </c:pt>
                <c:pt idx="20">
                  <c:v>373.51248698135339</c:v>
                </c:pt>
                <c:pt idx="21">
                  <c:v>392.18811133042101</c:v>
                </c:pt>
                <c:pt idx="22">
                  <c:v>410.86373567948874</c:v>
                </c:pt>
                <c:pt idx="23">
                  <c:v>429.53936002855642</c:v>
                </c:pt>
                <c:pt idx="24">
                  <c:v>448.21498437762409</c:v>
                </c:pt>
                <c:pt idx="25">
                  <c:v>466.89060872669182</c:v>
                </c:pt>
                <c:pt idx="26">
                  <c:v>485.5662330757595</c:v>
                </c:pt>
                <c:pt idx="27">
                  <c:v>504.24185742482706</c:v>
                </c:pt>
                <c:pt idx="28">
                  <c:v>522.91748177389479</c:v>
                </c:pt>
                <c:pt idx="29">
                  <c:v>541.59310612296235</c:v>
                </c:pt>
                <c:pt idx="30">
                  <c:v>560.26873047203003</c:v>
                </c:pt>
                <c:pt idx="31">
                  <c:v>578.94435482109782</c:v>
                </c:pt>
                <c:pt idx="32">
                  <c:v>597.61997917016549</c:v>
                </c:pt>
                <c:pt idx="33">
                  <c:v>616.29560351923317</c:v>
                </c:pt>
                <c:pt idx="34">
                  <c:v>634.97122786830073</c:v>
                </c:pt>
                <c:pt idx="35">
                  <c:v>653.64685221736852</c:v>
                </c:pt>
                <c:pt idx="36">
                  <c:v>672.32247656643619</c:v>
                </c:pt>
                <c:pt idx="37">
                  <c:v>690.99810091550387</c:v>
                </c:pt>
                <c:pt idx="38">
                  <c:v>709.67372526457154</c:v>
                </c:pt>
                <c:pt idx="39">
                  <c:v>728.34934961363911</c:v>
                </c:pt>
                <c:pt idx="40">
                  <c:v>747.02497396270678</c:v>
                </c:pt>
                <c:pt idx="41">
                  <c:v>765.70059831177446</c:v>
                </c:pt>
                <c:pt idx="42">
                  <c:v>784.37622266084202</c:v>
                </c:pt>
                <c:pt idx="43">
                  <c:v>803.05184700990969</c:v>
                </c:pt>
                <c:pt idx="44">
                  <c:v>821.72747135897748</c:v>
                </c:pt>
                <c:pt idx="45">
                  <c:v>840.40309570804516</c:v>
                </c:pt>
                <c:pt idx="46">
                  <c:v>859.07872005711283</c:v>
                </c:pt>
                <c:pt idx="47">
                  <c:v>877.75434440618051</c:v>
                </c:pt>
                <c:pt idx="48">
                  <c:v>896.42996875524818</c:v>
                </c:pt>
                <c:pt idx="49">
                  <c:v>915.10559310431586</c:v>
                </c:pt>
                <c:pt idx="50">
                  <c:v>933.78121745338365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62C-439D-9973-034B0ACAB3FF}"/>
            </c:ext>
          </c:extLst>
        </c:ser>
        <c:ser>
          <c:idx val="9"/>
          <c:order val="9"/>
          <c:tx>
            <c:strRef>
              <c:f>グラフ!$K$5</c:f>
              <c:strCache>
                <c:ptCount val="1"/>
                <c:pt idx="0">
                  <c:v>円周方向応力outer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グラフ!$K$6:$K$56</c:f>
              <c:numCache>
                <c:formatCode>0.0</c:formatCode>
                <c:ptCount val="51"/>
                <c:pt idx="0">
                  <c:v>0</c:v>
                </c:pt>
                <c:pt idx="1">
                  <c:v>9.968386963114515</c:v>
                </c:pt>
                <c:pt idx="2">
                  <c:v>19.93677392622903</c:v>
                </c:pt>
                <c:pt idx="3">
                  <c:v>29.905160889343541</c:v>
                </c:pt>
                <c:pt idx="4">
                  <c:v>39.87354785245806</c:v>
                </c:pt>
                <c:pt idx="5">
                  <c:v>49.841934815572571</c:v>
                </c:pt>
                <c:pt idx="6">
                  <c:v>59.810321778687083</c:v>
                </c:pt>
                <c:pt idx="7">
                  <c:v>69.778708741801594</c:v>
                </c:pt>
                <c:pt idx="8">
                  <c:v>79.74709570491612</c:v>
                </c:pt>
                <c:pt idx="9">
                  <c:v>89.715482668030631</c:v>
                </c:pt>
                <c:pt idx="10">
                  <c:v>99.683869631145143</c:v>
                </c:pt>
                <c:pt idx="11">
                  <c:v>109.65225659425965</c:v>
                </c:pt>
                <c:pt idx="12">
                  <c:v>119.62064355737417</c:v>
                </c:pt>
                <c:pt idx="13">
                  <c:v>129.58903052048871</c:v>
                </c:pt>
                <c:pt idx="14">
                  <c:v>139.55741748360319</c:v>
                </c:pt>
                <c:pt idx="15">
                  <c:v>149.5258044467177</c:v>
                </c:pt>
                <c:pt idx="16">
                  <c:v>159.49419140983224</c:v>
                </c:pt>
                <c:pt idx="17">
                  <c:v>169.46257837294672</c:v>
                </c:pt>
                <c:pt idx="18">
                  <c:v>179.43096533606126</c:v>
                </c:pt>
                <c:pt idx="19">
                  <c:v>189.39935229917577</c:v>
                </c:pt>
                <c:pt idx="20">
                  <c:v>199.36773926229029</c:v>
                </c:pt>
                <c:pt idx="21">
                  <c:v>209.33612622540477</c:v>
                </c:pt>
                <c:pt idx="22">
                  <c:v>219.30451318851931</c:v>
                </c:pt>
                <c:pt idx="23">
                  <c:v>229.27290015163382</c:v>
                </c:pt>
                <c:pt idx="24">
                  <c:v>239.24128711474833</c:v>
                </c:pt>
                <c:pt idx="25">
                  <c:v>249.20967407786287</c:v>
                </c:pt>
                <c:pt idx="26">
                  <c:v>259.17806104097741</c:v>
                </c:pt>
                <c:pt idx="27">
                  <c:v>269.14644800409184</c:v>
                </c:pt>
                <c:pt idx="28">
                  <c:v>279.11483496720638</c:v>
                </c:pt>
                <c:pt idx="29">
                  <c:v>289.08322193032086</c:v>
                </c:pt>
                <c:pt idx="30">
                  <c:v>299.0516088934354</c:v>
                </c:pt>
                <c:pt idx="31">
                  <c:v>309.01999585654994</c:v>
                </c:pt>
                <c:pt idx="32">
                  <c:v>318.98838281966448</c:v>
                </c:pt>
                <c:pt idx="33">
                  <c:v>328.95676978277902</c:v>
                </c:pt>
                <c:pt idx="34">
                  <c:v>338.92515674589345</c:v>
                </c:pt>
                <c:pt idx="35">
                  <c:v>348.89354370900804</c:v>
                </c:pt>
                <c:pt idx="36">
                  <c:v>358.86193067212253</c:v>
                </c:pt>
                <c:pt idx="37">
                  <c:v>368.83031763523707</c:v>
                </c:pt>
                <c:pt idx="38">
                  <c:v>378.79870459835155</c:v>
                </c:pt>
                <c:pt idx="39">
                  <c:v>388.76709156146603</c:v>
                </c:pt>
                <c:pt idx="40">
                  <c:v>398.73547852458057</c:v>
                </c:pt>
                <c:pt idx="41">
                  <c:v>408.70386548769505</c:v>
                </c:pt>
                <c:pt idx="42">
                  <c:v>418.67225245080954</c:v>
                </c:pt>
                <c:pt idx="43">
                  <c:v>428.64063941392408</c:v>
                </c:pt>
                <c:pt idx="44">
                  <c:v>438.60902637703862</c:v>
                </c:pt>
                <c:pt idx="45">
                  <c:v>448.57741334015316</c:v>
                </c:pt>
                <c:pt idx="46">
                  <c:v>458.54580030326764</c:v>
                </c:pt>
                <c:pt idx="47">
                  <c:v>468.51418726638218</c:v>
                </c:pt>
                <c:pt idx="48">
                  <c:v>478.48257422949666</c:v>
                </c:pt>
                <c:pt idx="49">
                  <c:v>488.45096119261115</c:v>
                </c:pt>
                <c:pt idx="50">
                  <c:v>498.41934815572574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62C-439D-9973-034B0ACAB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9338655"/>
        <c:axId val="2069334079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グラフ!$E$5</c15:sqref>
                        </c15:formulaRef>
                      </c:ext>
                    </c:extLst>
                    <c:strCache>
                      <c:ptCount val="1"/>
                      <c:pt idx="0">
                        <c:v>圧入力min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グラフ!$E$6:$E$56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0.89470665446764941</c:v>
                      </c:pt>
                      <c:pt idx="2">
                        <c:v>1.7894133089352988</c:v>
                      </c:pt>
                      <c:pt idx="3">
                        <c:v>2.6841199634029484</c:v>
                      </c:pt>
                      <c:pt idx="4">
                        <c:v>3.5788266178705976</c:v>
                      </c:pt>
                      <c:pt idx="5">
                        <c:v>4.4735332723382468</c:v>
                      </c:pt>
                      <c:pt idx="6">
                        <c:v>5.3682399268058969</c:v>
                      </c:pt>
                      <c:pt idx="7">
                        <c:v>6.262946581273547</c:v>
                      </c:pt>
                      <c:pt idx="8">
                        <c:v>7.1576532357411953</c:v>
                      </c:pt>
                      <c:pt idx="9">
                        <c:v>8.0523598902088445</c:v>
                      </c:pt>
                      <c:pt idx="10">
                        <c:v>8.9470665446764936</c:v>
                      </c:pt>
                      <c:pt idx="11">
                        <c:v>9.8417731991441428</c:v>
                      </c:pt>
                      <c:pt idx="12">
                        <c:v>10.736479853611794</c:v>
                      </c:pt>
                      <c:pt idx="13">
                        <c:v>11.631186508079443</c:v>
                      </c:pt>
                      <c:pt idx="14">
                        <c:v>12.525893162547094</c:v>
                      </c:pt>
                      <c:pt idx="15">
                        <c:v>13.420599817014741</c:v>
                      </c:pt>
                      <c:pt idx="16">
                        <c:v>14.315306471482391</c:v>
                      </c:pt>
                      <c:pt idx="17">
                        <c:v>15.21001312595004</c:v>
                      </c:pt>
                      <c:pt idx="18">
                        <c:v>16.104719780417689</c:v>
                      </c:pt>
                      <c:pt idx="19">
                        <c:v>16.999426434885343</c:v>
                      </c:pt>
                      <c:pt idx="20">
                        <c:v>17.894133089352987</c:v>
                      </c:pt>
                      <c:pt idx="21">
                        <c:v>18.788839743820638</c:v>
                      </c:pt>
                      <c:pt idx="22">
                        <c:v>19.683546398288286</c:v>
                      </c:pt>
                      <c:pt idx="23">
                        <c:v>20.578253052755937</c:v>
                      </c:pt>
                      <c:pt idx="24">
                        <c:v>21.472959707223588</c:v>
                      </c:pt>
                      <c:pt idx="25">
                        <c:v>22.367666361691235</c:v>
                      </c:pt>
                      <c:pt idx="26">
                        <c:v>23.262373016158886</c:v>
                      </c:pt>
                      <c:pt idx="27">
                        <c:v>24.157079670626537</c:v>
                      </c:pt>
                      <c:pt idx="28">
                        <c:v>25.051786325094188</c:v>
                      </c:pt>
                      <c:pt idx="29">
                        <c:v>25.946492979561825</c:v>
                      </c:pt>
                      <c:pt idx="30">
                        <c:v>26.841199634029483</c:v>
                      </c:pt>
                      <c:pt idx="31">
                        <c:v>27.735906288497134</c:v>
                      </c:pt>
                      <c:pt idx="32">
                        <c:v>28.630612942964781</c:v>
                      </c:pt>
                      <c:pt idx="33">
                        <c:v>29.525319597432432</c:v>
                      </c:pt>
                      <c:pt idx="34">
                        <c:v>30.420026251900079</c:v>
                      </c:pt>
                      <c:pt idx="35">
                        <c:v>31.31473290636773</c:v>
                      </c:pt>
                      <c:pt idx="36">
                        <c:v>32.209439560835378</c:v>
                      </c:pt>
                      <c:pt idx="37">
                        <c:v>33.104146215303032</c:v>
                      </c:pt>
                      <c:pt idx="38">
                        <c:v>33.998852869770687</c:v>
                      </c:pt>
                      <c:pt idx="39">
                        <c:v>34.893559524238327</c:v>
                      </c:pt>
                      <c:pt idx="40">
                        <c:v>35.788266178705975</c:v>
                      </c:pt>
                      <c:pt idx="41">
                        <c:v>36.682972833173629</c:v>
                      </c:pt>
                      <c:pt idx="42">
                        <c:v>37.577679487641277</c:v>
                      </c:pt>
                      <c:pt idx="43">
                        <c:v>38.472386142108924</c:v>
                      </c:pt>
                      <c:pt idx="44">
                        <c:v>39.367092796576571</c:v>
                      </c:pt>
                      <c:pt idx="45">
                        <c:v>40.261799451044219</c:v>
                      </c:pt>
                      <c:pt idx="46">
                        <c:v>41.156506105511873</c:v>
                      </c:pt>
                      <c:pt idx="47">
                        <c:v>42.051212759979528</c:v>
                      </c:pt>
                      <c:pt idx="48">
                        <c:v>42.945919414447175</c:v>
                      </c:pt>
                      <c:pt idx="49">
                        <c:v>43.840626068914823</c:v>
                      </c:pt>
                      <c:pt idx="50">
                        <c:v>44.73533272338247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862C-439D-9973-034B0ACAB3FF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グラフ!$F$5</c15:sqref>
                        </c15:formulaRef>
                      </c:ext>
                    </c:extLst>
                    <c:strCache>
                      <c:ptCount val="1"/>
                      <c:pt idx="0">
                        <c:v>圧入力nor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グラフ!$F$6:$F$56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1.1425876408527915</c:v>
                      </c:pt>
                      <c:pt idx="2">
                        <c:v>2.285175281705583</c:v>
                      </c:pt>
                      <c:pt idx="3">
                        <c:v>3.4277629225583741</c:v>
                      </c:pt>
                      <c:pt idx="4">
                        <c:v>4.5703505634111661</c:v>
                      </c:pt>
                      <c:pt idx="5">
                        <c:v>5.712938204263958</c:v>
                      </c:pt>
                      <c:pt idx="6">
                        <c:v>6.8555258451167482</c:v>
                      </c:pt>
                      <c:pt idx="7">
                        <c:v>7.998113485969542</c:v>
                      </c:pt>
                      <c:pt idx="8">
                        <c:v>9.1407011268223322</c:v>
                      </c:pt>
                      <c:pt idx="9">
                        <c:v>10.283288767675124</c:v>
                      </c:pt>
                      <c:pt idx="10">
                        <c:v>11.425876408527916</c:v>
                      </c:pt>
                      <c:pt idx="11">
                        <c:v>12.568464049380708</c:v>
                      </c:pt>
                      <c:pt idx="12">
                        <c:v>13.711051690233496</c:v>
                      </c:pt>
                      <c:pt idx="13">
                        <c:v>14.853639331086292</c:v>
                      </c:pt>
                      <c:pt idx="14">
                        <c:v>15.996226971939084</c:v>
                      </c:pt>
                      <c:pt idx="15">
                        <c:v>17.138814612791872</c:v>
                      </c:pt>
                      <c:pt idx="16">
                        <c:v>18.281402253644664</c:v>
                      </c:pt>
                      <c:pt idx="17">
                        <c:v>19.423989894497456</c:v>
                      </c:pt>
                      <c:pt idx="18">
                        <c:v>20.566577535350248</c:v>
                      </c:pt>
                      <c:pt idx="19">
                        <c:v>21.709165176203044</c:v>
                      </c:pt>
                      <c:pt idx="20">
                        <c:v>22.851752817055832</c:v>
                      </c:pt>
                      <c:pt idx="21">
                        <c:v>23.994340457908621</c:v>
                      </c:pt>
                      <c:pt idx="22">
                        <c:v>25.136928098761416</c:v>
                      </c:pt>
                      <c:pt idx="23">
                        <c:v>26.279515739614205</c:v>
                      </c:pt>
                      <c:pt idx="24">
                        <c:v>27.422103380466993</c:v>
                      </c:pt>
                      <c:pt idx="25">
                        <c:v>28.564691021319788</c:v>
                      </c:pt>
                      <c:pt idx="26">
                        <c:v>29.707278662172584</c:v>
                      </c:pt>
                      <c:pt idx="27">
                        <c:v>30.849866303025369</c:v>
                      </c:pt>
                      <c:pt idx="28">
                        <c:v>31.992453943878168</c:v>
                      </c:pt>
                      <c:pt idx="29">
                        <c:v>33.135041584730949</c:v>
                      </c:pt>
                      <c:pt idx="30">
                        <c:v>34.277629225583745</c:v>
                      </c:pt>
                      <c:pt idx="31">
                        <c:v>35.42021686643654</c:v>
                      </c:pt>
                      <c:pt idx="32">
                        <c:v>36.562804507289329</c:v>
                      </c:pt>
                      <c:pt idx="33">
                        <c:v>37.705392148142117</c:v>
                      </c:pt>
                      <c:pt idx="34">
                        <c:v>38.847979788994913</c:v>
                      </c:pt>
                      <c:pt idx="35">
                        <c:v>39.990567429847701</c:v>
                      </c:pt>
                      <c:pt idx="36">
                        <c:v>41.133155070700496</c:v>
                      </c:pt>
                      <c:pt idx="37">
                        <c:v>42.275742711553285</c:v>
                      </c:pt>
                      <c:pt idx="38">
                        <c:v>43.418330352406088</c:v>
                      </c:pt>
                      <c:pt idx="39">
                        <c:v>44.560917993258869</c:v>
                      </c:pt>
                      <c:pt idx="40">
                        <c:v>45.703505634111664</c:v>
                      </c:pt>
                      <c:pt idx="41">
                        <c:v>46.846093274964446</c:v>
                      </c:pt>
                      <c:pt idx="42">
                        <c:v>47.988680915817241</c:v>
                      </c:pt>
                      <c:pt idx="43">
                        <c:v>49.13126855667003</c:v>
                      </c:pt>
                      <c:pt idx="44">
                        <c:v>50.273856197522832</c:v>
                      </c:pt>
                      <c:pt idx="45">
                        <c:v>51.416443838375621</c:v>
                      </c:pt>
                      <c:pt idx="46">
                        <c:v>52.559031479228409</c:v>
                      </c:pt>
                      <c:pt idx="47">
                        <c:v>53.701619120081212</c:v>
                      </c:pt>
                      <c:pt idx="48">
                        <c:v>54.844206760933986</c:v>
                      </c:pt>
                      <c:pt idx="49">
                        <c:v>55.986794401786796</c:v>
                      </c:pt>
                      <c:pt idx="50">
                        <c:v>57.129382042639577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62C-439D-9973-034B0ACAB3FF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グラフ!$G$5</c15:sqref>
                        </c15:formulaRef>
                      </c:ext>
                    </c:extLst>
                    <c:strCache>
                      <c:ptCount val="1"/>
                      <c:pt idx="0">
                        <c:v>圧入力max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グラフ!$G$6:$G$56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1.4004306860873335</c:v>
                      </c:pt>
                      <c:pt idx="2">
                        <c:v>2.8008613721746669</c:v>
                      </c:pt>
                      <c:pt idx="3">
                        <c:v>4.201292058262001</c:v>
                      </c:pt>
                      <c:pt idx="4">
                        <c:v>5.6017227443493338</c:v>
                      </c:pt>
                      <c:pt idx="5">
                        <c:v>7.0021534304366675</c:v>
                      </c:pt>
                      <c:pt idx="6">
                        <c:v>8.4025841165240021</c:v>
                      </c:pt>
                      <c:pt idx="7">
                        <c:v>9.8030148026113366</c:v>
                      </c:pt>
                      <c:pt idx="8">
                        <c:v>11.203445488698668</c:v>
                      </c:pt>
                      <c:pt idx="9">
                        <c:v>12.603876174786002</c:v>
                      </c:pt>
                      <c:pt idx="10">
                        <c:v>14.004306860873335</c:v>
                      </c:pt>
                      <c:pt idx="11">
                        <c:v>15.404737546960666</c:v>
                      </c:pt>
                      <c:pt idx="12">
                        <c:v>16.805168233048004</c:v>
                      </c:pt>
                      <c:pt idx="13">
                        <c:v>18.20559891913534</c:v>
                      </c:pt>
                      <c:pt idx="14">
                        <c:v>19.606029605222673</c:v>
                      </c:pt>
                      <c:pt idx="15">
                        <c:v>21.006460291310002</c:v>
                      </c:pt>
                      <c:pt idx="16">
                        <c:v>22.406890977397335</c:v>
                      </c:pt>
                      <c:pt idx="17">
                        <c:v>23.807321663484668</c:v>
                      </c:pt>
                      <c:pt idx="18">
                        <c:v>25.207752349572004</c:v>
                      </c:pt>
                      <c:pt idx="19">
                        <c:v>26.608183035659341</c:v>
                      </c:pt>
                      <c:pt idx="20">
                        <c:v>28.00861372174667</c:v>
                      </c:pt>
                      <c:pt idx="21">
                        <c:v>29.409044407833999</c:v>
                      </c:pt>
                      <c:pt idx="22">
                        <c:v>30.809475093921332</c:v>
                      </c:pt>
                      <c:pt idx="23">
                        <c:v>32.209905780008675</c:v>
                      </c:pt>
                      <c:pt idx="24">
                        <c:v>33.610336466096008</c:v>
                      </c:pt>
                      <c:pt idx="25">
                        <c:v>35.010767152183341</c:v>
                      </c:pt>
                      <c:pt idx="26">
                        <c:v>36.411197838270681</c:v>
                      </c:pt>
                      <c:pt idx="27">
                        <c:v>37.811628524358007</c:v>
                      </c:pt>
                      <c:pt idx="28">
                        <c:v>39.212059210445346</c:v>
                      </c:pt>
                      <c:pt idx="29">
                        <c:v>40.612489896532665</c:v>
                      </c:pt>
                      <c:pt idx="30">
                        <c:v>42.012920582620005</c:v>
                      </c:pt>
                      <c:pt idx="31">
                        <c:v>43.413351268707345</c:v>
                      </c:pt>
                      <c:pt idx="32">
                        <c:v>44.813781954794671</c:v>
                      </c:pt>
                      <c:pt idx="33">
                        <c:v>46.21421264088201</c:v>
                      </c:pt>
                      <c:pt idx="34">
                        <c:v>47.614643326969336</c:v>
                      </c:pt>
                      <c:pt idx="35">
                        <c:v>49.015074013056676</c:v>
                      </c:pt>
                      <c:pt idx="36">
                        <c:v>50.415504699144009</c:v>
                      </c:pt>
                      <c:pt idx="37">
                        <c:v>51.815935385231342</c:v>
                      </c:pt>
                      <c:pt idx="38">
                        <c:v>53.216366071318681</c:v>
                      </c:pt>
                      <c:pt idx="39">
                        <c:v>54.616796757406</c:v>
                      </c:pt>
                      <c:pt idx="40">
                        <c:v>56.01722744349334</c:v>
                      </c:pt>
                      <c:pt idx="41">
                        <c:v>57.417658129580673</c:v>
                      </c:pt>
                      <c:pt idx="42">
                        <c:v>58.818088815667998</c:v>
                      </c:pt>
                      <c:pt idx="43">
                        <c:v>60.218519501755338</c:v>
                      </c:pt>
                      <c:pt idx="44">
                        <c:v>61.618950187842664</c:v>
                      </c:pt>
                      <c:pt idx="45">
                        <c:v>63.019380873930011</c:v>
                      </c:pt>
                      <c:pt idx="46">
                        <c:v>64.419811560017351</c:v>
                      </c:pt>
                      <c:pt idx="47">
                        <c:v>65.820242246104698</c:v>
                      </c:pt>
                      <c:pt idx="48">
                        <c:v>67.220672932192016</c:v>
                      </c:pt>
                      <c:pt idx="49">
                        <c:v>68.621103618279349</c:v>
                      </c:pt>
                      <c:pt idx="50">
                        <c:v>70.021534304366682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862C-439D-9973-034B0ACAB3FF}"/>
                  </c:ext>
                </c:extLst>
              </c15:ser>
            </c15:filteredScatterSeries>
          </c:ext>
        </c:extLst>
      </c:scatterChart>
      <c:valAx>
        <c:axId val="2069338655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グラフ!$A$4</c:f>
              <c:strCache>
                <c:ptCount val="1"/>
                <c:pt idx="0">
                  <c:v>締め代[mm]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69334079"/>
        <c:crosses val="autoZero"/>
        <c:crossBetween val="midCat"/>
      </c:valAx>
      <c:valAx>
        <c:axId val="2069334079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応力</a:t>
                </a:r>
                <a:r>
                  <a:rPr lang="en-US" altLang="ja-JP"/>
                  <a:t>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69338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締め代</a:t>
            </a:r>
            <a:r>
              <a:rPr lang="en-US" altLang="ja-JP"/>
              <a:t>vs</a:t>
            </a:r>
            <a:r>
              <a:rPr lang="ja-JP" altLang="en-US"/>
              <a:t>圧入力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グラフ!$E$5</c:f>
              <c:strCache>
                <c:ptCount val="1"/>
                <c:pt idx="0">
                  <c:v>圧入力min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グラフ!$E$6:$E$56</c:f>
              <c:numCache>
                <c:formatCode>0.0</c:formatCode>
                <c:ptCount val="51"/>
                <c:pt idx="0">
                  <c:v>0</c:v>
                </c:pt>
                <c:pt idx="1">
                  <c:v>0.89470665446764941</c:v>
                </c:pt>
                <c:pt idx="2">
                  <c:v>1.7894133089352988</c:v>
                </c:pt>
                <c:pt idx="3">
                  <c:v>2.6841199634029484</c:v>
                </c:pt>
                <c:pt idx="4">
                  <c:v>3.5788266178705976</c:v>
                </c:pt>
                <c:pt idx="5">
                  <c:v>4.4735332723382468</c:v>
                </c:pt>
                <c:pt idx="6">
                  <c:v>5.3682399268058969</c:v>
                </c:pt>
                <c:pt idx="7">
                  <c:v>6.262946581273547</c:v>
                </c:pt>
                <c:pt idx="8">
                  <c:v>7.1576532357411953</c:v>
                </c:pt>
                <c:pt idx="9">
                  <c:v>8.0523598902088445</c:v>
                </c:pt>
                <c:pt idx="10">
                  <c:v>8.9470665446764936</c:v>
                </c:pt>
                <c:pt idx="11">
                  <c:v>9.8417731991441428</c:v>
                </c:pt>
                <c:pt idx="12">
                  <c:v>10.736479853611794</c:v>
                </c:pt>
                <c:pt idx="13">
                  <c:v>11.631186508079443</c:v>
                </c:pt>
                <c:pt idx="14">
                  <c:v>12.525893162547094</c:v>
                </c:pt>
                <c:pt idx="15">
                  <c:v>13.420599817014741</c:v>
                </c:pt>
                <c:pt idx="16">
                  <c:v>14.315306471482391</c:v>
                </c:pt>
                <c:pt idx="17">
                  <c:v>15.21001312595004</c:v>
                </c:pt>
                <c:pt idx="18">
                  <c:v>16.104719780417689</c:v>
                </c:pt>
                <c:pt idx="19">
                  <c:v>16.999426434885343</c:v>
                </c:pt>
                <c:pt idx="20">
                  <c:v>17.894133089352987</c:v>
                </c:pt>
                <c:pt idx="21">
                  <c:v>18.788839743820638</c:v>
                </c:pt>
                <c:pt idx="22">
                  <c:v>19.683546398288286</c:v>
                </c:pt>
                <c:pt idx="23">
                  <c:v>20.578253052755937</c:v>
                </c:pt>
                <c:pt idx="24">
                  <c:v>21.472959707223588</c:v>
                </c:pt>
                <c:pt idx="25">
                  <c:v>22.367666361691235</c:v>
                </c:pt>
                <c:pt idx="26">
                  <c:v>23.262373016158886</c:v>
                </c:pt>
                <c:pt idx="27">
                  <c:v>24.157079670626537</c:v>
                </c:pt>
                <c:pt idx="28">
                  <c:v>25.051786325094188</c:v>
                </c:pt>
                <c:pt idx="29">
                  <c:v>25.946492979561825</c:v>
                </c:pt>
                <c:pt idx="30">
                  <c:v>26.841199634029483</c:v>
                </c:pt>
                <c:pt idx="31">
                  <c:v>27.735906288497134</c:v>
                </c:pt>
                <c:pt idx="32">
                  <c:v>28.630612942964781</c:v>
                </c:pt>
                <c:pt idx="33">
                  <c:v>29.525319597432432</c:v>
                </c:pt>
                <c:pt idx="34">
                  <c:v>30.420026251900079</c:v>
                </c:pt>
                <c:pt idx="35">
                  <c:v>31.31473290636773</c:v>
                </c:pt>
                <c:pt idx="36">
                  <c:v>32.209439560835378</c:v>
                </c:pt>
                <c:pt idx="37">
                  <c:v>33.104146215303032</c:v>
                </c:pt>
                <c:pt idx="38">
                  <c:v>33.998852869770687</c:v>
                </c:pt>
                <c:pt idx="39">
                  <c:v>34.893559524238327</c:v>
                </c:pt>
                <c:pt idx="40">
                  <c:v>35.788266178705975</c:v>
                </c:pt>
                <c:pt idx="41">
                  <c:v>36.682972833173629</c:v>
                </c:pt>
                <c:pt idx="42">
                  <c:v>37.577679487641277</c:v>
                </c:pt>
                <c:pt idx="43">
                  <c:v>38.472386142108924</c:v>
                </c:pt>
                <c:pt idx="44">
                  <c:v>39.367092796576571</c:v>
                </c:pt>
                <c:pt idx="45">
                  <c:v>40.261799451044219</c:v>
                </c:pt>
                <c:pt idx="46">
                  <c:v>41.156506105511873</c:v>
                </c:pt>
                <c:pt idx="47">
                  <c:v>42.051212759979528</c:v>
                </c:pt>
                <c:pt idx="48">
                  <c:v>42.945919414447175</c:v>
                </c:pt>
                <c:pt idx="49">
                  <c:v>43.840626068914823</c:v>
                </c:pt>
                <c:pt idx="50">
                  <c:v>44.73533272338247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63-4373-AA58-894986F56CB1}"/>
            </c:ext>
          </c:extLst>
        </c:ser>
        <c:ser>
          <c:idx val="4"/>
          <c:order val="4"/>
          <c:tx>
            <c:strRef>
              <c:f>グラフ!$F$5</c:f>
              <c:strCache>
                <c:ptCount val="1"/>
                <c:pt idx="0">
                  <c:v>圧入力nor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グラフ!$F$6:$F$56</c:f>
              <c:numCache>
                <c:formatCode>0.0</c:formatCode>
                <c:ptCount val="51"/>
                <c:pt idx="0">
                  <c:v>0</c:v>
                </c:pt>
                <c:pt idx="1">
                  <c:v>1.1425876408527915</c:v>
                </c:pt>
                <c:pt idx="2">
                  <c:v>2.285175281705583</c:v>
                </c:pt>
                <c:pt idx="3">
                  <c:v>3.4277629225583741</c:v>
                </c:pt>
                <c:pt idx="4">
                  <c:v>4.5703505634111661</c:v>
                </c:pt>
                <c:pt idx="5">
                  <c:v>5.712938204263958</c:v>
                </c:pt>
                <c:pt idx="6">
                  <c:v>6.8555258451167482</c:v>
                </c:pt>
                <c:pt idx="7">
                  <c:v>7.998113485969542</c:v>
                </c:pt>
                <c:pt idx="8">
                  <c:v>9.1407011268223322</c:v>
                </c:pt>
                <c:pt idx="9">
                  <c:v>10.283288767675124</c:v>
                </c:pt>
                <c:pt idx="10">
                  <c:v>11.425876408527916</c:v>
                </c:pt>
                <c:pt idx="11">
                  <c:v>12.568464049380708</c:v>
                </c:pt>
                <c:pt idx="12">
                  <c:v>13.711051690233496</c:v>
                </c:pt>
                <c:pt idx="13">
                  <c:v>14.853639331086292</c:v>
                </c:pt>
                <c:pt idx="14">
                  <c:v>15.996226971939084</c:v>
                </c:pt>
                <c:pt idx="15">
                  <c:v>17.138814612791872</c:v>
                </c:pt>
                <c:pt idx="16">
                  <c:v>18.281402253644664</c:v>
                </c:pt>
                <c:pt idx="17">
                  <c:v>19.423989894497456</c:v>
                </c:pt>
                <c:pt idx="18">
                  <c:v>20.566577535350248</c:v>
                </c:pt>
                <c:pt idx="19">
                  <c:v>21.709165176203044</c:v>
                </c:pt>
                <c:pt idx="20">
                  <c:v>22.851752817055832</c:v>
                </c:pt>
                <c:pt idx="21">
                  <c:v>23.994340457908621</c:v>
                </c:pt>
                <c:pt idx="22">
                  <c:v>25.136928098761416</c:v>
                </c:pt>
                <c:pt idx="23">
                  <c:v>26.279515739614205</c:v>
                </c:pt>
                <c:pt idx="24">
                  <c:v>27.422103380466993</c:v>
                </c:pt>
                <c:pt idx="25">
                  <c:v>28.564691021319788</c:v>
                </c:pt>
                <c:pt idx="26">
                  <c:v>29.707278662172584</c:v>
                </c:pt>
                <c:pt idx="27">
                  <c:v>30.849866303025369</c:v>
                </c:pt>
                <c:pt idx="28">
                  <c:v>31.992453943878168</c:v>
                </c:pt>
                <c:pt idx="29">
                  <c:v>33.135041584730949</c:v>
                </c:pt>
                <c:pt idx="30">
                  <c:v>34.277629225583745</c:v>
                </c:pt>
                <c:pt idx="31">
                  <c:v>35.42021686643654</c:v>
                </c:pt>
                <c:pt idx="32">
                  <c:v>36.562804507289329</c:v>
                </c:pt>
                <c:pt idx="33">
                  <c:v>37.705392148142117</c:v>
                </c:pt>
                <c:pt idx="34">
                  <c:v>38.847979788994913</c:v>
                </c:pt>
                <c:pt idx="35">
                  <c:v>39.990567429847701</c:v>
                </c:pt>
                <c:pt idx="36">
                  <c:v>41.133155070700496</c:v>
                </c:pt>
                <c:pt idx="37">
                  <c:v>42.275742711553285</c:v>
                </c:pt>
                <c:pt idx="38">
                  <c:v>43.418330352406088</c:v>
                </c:pt>
                <c:pt idx="39">
                  <c:v>44.560917993258869</c:v>
                </c:pt>
                <c:pt idx="40">
                  <c:v>45.703505634111664</c:v>
                </c:pt>
                <c:pt idx="41">
                  <c:v>46.846093274964446</c:v>
                </c:pt>
                <c:pt idx="42">
                  <c:v>47.988680915817241</c:v>
                </c:pt>
                <c:pt idx="43">
                  <c:v>49.13126855667003</c:v>
                </c:pt>
                <c:pt idx="44">
                  <c:v>50.273856197522832</c:v>
                </c:pt>
                <c:pt idx="45">
                  <c:v>51.416443838375621</c:v>
                </c:pt>
                <c:pt idx="46">
                  <c:v>52.559031479228409</c:v>
                </c:pt>
                <c:pt idx="47">
                  <c:v>53.701619120081212</c:v>
                </c:pt>
                <c:pt idx="48">
                  <c:v>54.844206760933986</c:v>
                </c:pt>
                <c:pt idx="49">
                  <c:v>55.986794401786796</c:v>
                </c:pt>
                <c:pt idx="50">
                  <c:v>57.129382042639577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63-4373-AA58-894986F56CB1}"/>
            </c:ext>
          </c:extLst>
        </c:ser>
        <c:ser>
          <c:idx val="5"/>
          <c:order val="5"/>
          <c:tx>
            <c:strRef>
              <c:f>グラフ!$G$5</c:f>
              <c:strCache>
                <c:ptCount val="1"/>
                <c:pt idx="0">
                  <c:v>圧入力max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グラフ!$G$6:$G$56</c:f>
              <c:numCache>
                <c:formatCode>0.0</c:formatCode>
                <c:ptCount val="51"/>
                <c:pt idx="0">
                  <c:v>0</c:v>
                </c:pt>
                <c:pt idx="1">
                  <c:v>1.4004306860873335</c:v>
                </c:pt>
                <c:pt idx="2">
                  <c:v>2.8008613721746669</c:v>
                </c:pt>
                <c:pt idx="3">
                  <c:v>4.201292058262001</c:v>
                </c:pt>
                <c:pt idx="4">
                  <c:v>5.6017227443493338</c:v>
                </c:pt>
                <c:pt idx="5">
                  <c:v>7.0021534304366675</c:v>
                </c:pt>
                <c:pt idx="6">
                  <c:v>8.4025841165240021</c:v>
                </c:pt>
                <c:pt idx="7">
                  <c:v>9.8030148026113366</c:v>
                </c:pt>
                <c:pt idx="8">
                  <c:v>11.203445488698668</c:v>
                </c:pt>
                <c:pt idx="9">
                  <c:v>12.603876174786002</c:v>
                </c:pt>
                <c:pt idx="10">
                  <c:v>14.004306860873335</c:v>
                </c:pt>
                <c:pt idx="11">
                  <c:v>15.404737546960666</c:v>
                </c:pt>
                <c:pt idx="12">
                  <c:v>16.805168233048004</c:v>
                </c:pt>
                <c:pt idx="13">
                  <c:v>18.20559891913534</c:v>
                </c:pt>
                <c:pt idx="14">
                  <c:v>19.606029605222673</c:v>
                </c:pt>
                <c:pt idx="15">
                  <c:v>21.006460291310002</c:v>
                </c:pt>
                <c:pt idx="16">
                  <c:v>22.406890977397335</c:v>
                </c:pt>
                <c:pt idx="17">
                  <c:v>23.807321663484668</c:v>
                </c:pt>
                <c:pt idx="18">
                  <c:v>25.207752349572004</c:v>
                </c:pt>
                <c:pt idx="19">
                  <c:v>26.608183035659341</c:v>
                </c:pt>
                <c:pt idx="20">
                  <c:v>28.00861372174667</c:v>
                </c:pt>
                <c:pt idx="21">
                  <c:v>29.409044407833999</c:v>
                </c:pt>
                <c:pt idx="22">
                  <c:v>30.809475093921332</c:v>
                </c:pt>
                <c:pt idx="23">
                  <c:v>32.209905780008675</c:v>
                </c:pt>
                <c:pt idx="24">
                  <c:v>33.610336466096008</c:v>
                </c:pt>
                <c:pt idx="25">
                  <c:v>35.010767152183341</c:v>
                </c:pt>
                <c:pt idx="26">
                  <c:v>36.411197838270681</c:v>
                </c:pt>
                <c:pt idx="27">
                  <c:v>37.811628524358007</c:v>
                </c:pt>
                <c:pt idx="28">
                  <c:v>39.212059210445346</c:v>
                </c:pt>
                <c:pt idx="29">
                  <c:v>40.612489896532665</c:v>
                </c:pt>
                <c:pt idx="30">
                  <c:v>42.012920582620005</c:v>
                </c:pt>
                <c:pt idx="31">
                  <c:v>43.413351268707345</c:v>
                </c:pt>
                <c:pt idx="32">
                  <c:v>44.813781954794671</c:v>
                </c:pt>
                <c:pt idx="33">
                  <c:v>46.21421264088201</c:v>
                </c:pt>
                <c:pt idx="34">
                  <c:v>47.614643326969336</c:v>
                </c:pt>
                <c:pt idx="35">
                  <c:v>49.015074013056676</c:v>
                </c:pt>
                <c:pt idx="36">
                  <c:v>50.415504699144009</c:v>
                </c:pt>
                <c:pt idx="37">
                  <c:v>51.815935385231342</c:v>
                </c:pt>
                <c:pt idx="38">
                  <c:v>53.216366071318681</c:v>
                </c:pt>
                <c:pt idx="39">
                  <c:v>54.616796757406</c:v>
                </c:pt>
                <c:pt idx="40">
                  <c:v>56.01722744349334</c:v>
                </c:pt>
                <c:pt idx="41">
                  <c:v>57.417658129580673</c:v>
                </c:pt>
                <c:pt idx="42">
                  <c:v>58.818088815667998</c:v>
                </c:pt>
                <c:pt idx="43">
                  <c:v>60.218519501755338</c:v>
                </c:pt>
                <c:pt idx="44">
                  <c:v>61.618950187842664</c:v>
                </c:pt>
                <c:pt idx="45">
                  <c:v>63.019380873930011</c:v>
                </c:pt>
                <c:pt idx="46">
                  <c:v>64.419811560017351</c:v>
                </c:pt>
                <c:pt idx="47">
                  <c:v>65.820242246104698</c:v>
                </c:pt>
                <c:pt idx="48">
                  <c:v>67.220672932192016</c:v>
                </c:pt>
                <c:pt idx="49">
                  <c:v>68.621103618279349</c:v>
                </c:pt>
                <c:pt idx="50">
                  <c:v>70.021534304366682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63-4373-AA58-894986F56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9338655"/>
        <c:axId val="206933407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グラフ!$B$5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半径方向応力min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グラフ!$B$6:$B$56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5.13552081128155</c:v>
                      </c:pt>
                      <c:pt idx="2">
                        <c:v>10.2710416225631</c:v>
                      </c:pt>
                      <c:pt idx="3">
                        <c:v>15.40656243384465</c:v>
                      </c:pt>
                      <c:pt idx="4">
                        <c:v>20.5420832451262</c:v>
                      </c:pt>
                      <c:pt idx="5">
                        <c:v>25.677604056407752</c:v>
                      </c:pt>
                      <c:pt idx="6">
                        <c:v>30.8131248676893</c:v>
                      </c:pt>
                      <c:pt idx="7">
                        <c:v>35.948645678970855</c:v>
                      </c:pt>
                      <c:pt idx="8">
                        <c:v>41.0841664902524</c:v>
                      </c:pt>
                      <c:pt idx="9">
                        <c:v>46.219687301533952</c:v>
                      </c:pt>
                      <c:pt idx="10">
                        <c:v>51.355208112815504</c:v>
                      </c:pt>
                      <c:pt idx="11">
                        <c:v>56.490728924097048</c:v>
                      </c:pt>
                      <c:pt idx="12">
                        <c:v>61.6262497353786</c:v>
                      </c:pt>
                      <c:pt idx="13">
                        <c:v>66.761770546660159</c:v>
                      </c:pt>
                      <c:pt idx="14">
                        <c:v>71.897291357941711</c:v>
                      </c:pt>
                      <c:pt idx="15">
                        <c:v>77.032812169223249</c:v>
                      </c:pt>
                      <c:pt idx="16">
                        <c:v>82.1683329805048</c:v>
                      </c:pt>
                      <c:pt idx="17">
                        <c:v>87.303853791786352</c:v>
                      </c:pt>
                      <c:pt idx="18">
                        <c:v>92.439374603067904</c:v>
                      </c:pt>
                      <c:pt idx="19">
                        <c:v>97.57489541434947</c:v>
                      </c:pt>
                      <c:pt idx="20">
                        <c:v>102.71041622563101</c:v>
                      </c:pt>
                      <c:pt idx="21">
                        <c:v>107.84593703691255</c:v>
                      </c:pt>
                      <c:pt idx="22">
                        <c:v>112.9814578481941</c:v>
                      </c:pt>
                      <c:pt idx="23">
                        <c:v>118.11697865947566</c:v>
                      </c:pt>
                      <c:pt idx="24">
                        <c:v>123.2524994707572</c:v>
                      </c:pt>
                      <c:pt idx="25">
                        <c:v>128.38802028203875</c:v>
                      </c:pt>
                      <c:pt idx="26">
                        <c:v>133.52354109332032</c:v>
                      </c:pt>
                      <c:pt idx="27">
                        <c:v>138.65906190460186</c:v>
                      </c:pt>
                      <c:pt idx="28">
                        <c:v>143.79458271588342</c:v>
                      </c:pt>
                      <c:pt idx="29">
                        <c:v>148.93010352716493</c:v>
                      </c:pt>
                      <c:pt idx="30">
                        <c:v>154.0656243384465</c:v>
                      </c:pt>
                      <c:pt idx="31">
                        <c:v>159.20114514972806</c:v>
                      </c:pt>
                      <c:pt idx="32">
                        <c:v>164.3366659610096</c:v>
                      </c:pt>
                      <c:pt idx="33">
                        <c:v>169.47218677229117</c:v>
                      </c:pt>
                      <c:pt idx="34">
                        <c:v>174.6077075835727</c:v>
                      </c:pt>
                      <c:pt idx="35">
                        <c:v>179.74322839485427</c:v>
                      </c:pt>
                      <c:pt idx="36">
                        <c:v>184.87874920613581</c:v>
                      </c:pt>
                      <c:pt idx="37">
                        <c:v>190.01427001741737</c:v>
                      </c:pt>
                      <c:pt idx="38">
                        <c:v>195.14979082869894</c:v>
                      </c:pt>
                      <c:pt idx="39">
                        <c:v>200.28531163998045</c:v>
                      </c:pt>
                      <c:pt idx="40">
                        <c:v>205.42083245126202</c:v>
                      </c:pt>
                      <c:pt idx="41">
                        <c:v>210.55635326254355</c:v>
                      </c:pt>
                      <c:pt idx="42">
                        <c:v>215.69187407382509</c:v>
                      </c:pt>
                      <c:pt idx="43">
                        <c:v>220.82739488510666</c:v>
                      </c:pt>
                      <c:pt idx="44">
                        <c:v>225.96291569638819</c:v>
                      </c:pt>
                      <c:pt idx="45">
                        <c:v>231.09843650766976</c:v>
                      </c:pt>
                      <c:pt idx="46">
                        <c:v>236.23395731895133</c:v>
                      </c:pt>
                      <c:pt idx="47">
                        <c:v>241.36947813023289</c:v>
                      </c:pt>
                      <c:pt idx="48">
                        <c:v>246.5049989415144</c:v>
                      </c:pt>
                      <c:pt idx="49">
                        <c:v>251.64051975279597</c:v>
                      </c:pt>
                      <c:pt idx="50">
                        <c:v>256.7760405640775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9D63-4373-AA58-894986F56CB1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グラフ!$C$5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半径方向応力nor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グラフ!$C$6:$C$56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5.1885955296647772</c:v>
                      </c:pt>
                      <c:pt idx="2">
                        <c:v>10.377191059329554</c:v>
                      </c:pt>
                      <c:pt idx="3">
                        <c:v>15.56578658899433</c:v>
                      </c:pt>
                      <c:pt idx="4">
                        <c:v>20.754382118659109</c:v>
                      </c:pt>
                      <c:pt idx="5">
                        <c:v>25.942977648323883</c:v>
                      </c:pt>
                      <c:pt idx="6">
                        <c:v>31.13157317798866</c:v>
                      </c:pt>
                      <c:pt idx="7">
                        <c:v>36.320168707653437</c:v>
                      </c:pt>
                      <c:pt idx="8">
                        <c:v>41.508764237318218</c:v>
                      </c:pt>
                      <c:pt idx="9">
                        <c:v>46.697359766982991</c:v>
                      </c:pt>
                      <c:pt idx="10">
                        <c:v>51.885955296647765</c:v>
                      </c:pt>
                      <c:pt idx="11">
                        <c:v>57.074550826312546</c:v>
                      </c:pt>
                      <c:pt idx="12">
                        <c:v>62.26314635597732</c:v>
                      </c:pt>
                      <c:pt idx="13">
                        <c:v>67.451741885642107</c:v>
                      </c:pt>
                      <c:pt idx="14">
                        <c:v>72.640337415306874</c:v>
                      </c:pt>
                      <c:pt idx="15">
                        <c:v>77.82893294497164</c:v>
                      </c:pt>
                      <c:pt idx="16">
                        <c:v>83.017528474636435</c:v>
                      </c:pt>
                      <c:pt idx="17">
                        <c:v>88.206124004301202</c:v>
                      </c:pt>
                      <c:pt idx="18">
                        <c:v>93.394719533965983</c:v>
                      </c:pt>
                      <c:pt idx="19">
                        <c:v>98.583315063630764</c:v>
                      </c:pt>
                      <c:pt idx="20">
                        <c:v>103.77191059329553</c:v>
                      </c:pt>
                      <c:pt idx="21">
                        <c:v>108.9605061229603</c:v>
                      </c:pt>
                      <c:pt idx="22">
                        <c:v>114.14910165262509</c:v>
                      </c:pt>
                      <c:pt idx="23">
                        <c:v>119.33769718228987</c:v>
                      </c:pt>
                      <c:pt idx="24">
                        <c:v>124.52629271195464</c:v>
                      </c:pt>
                      <c:pt idx="25">
                        <c:v>129.71488824161943</c:v>
                      </c:pt>
                      <c:pt idx="26">
                        <c:v>134.90348377128421</c:v>
                      </c:pt>
                      <c:pt idx="27">
                        <c:v>140.09207930094897</c:v>
                      </c:pt>
                      <c:pt idx="28">
                        <c:v>145.28067483061375</c:v>
                      </c:pt>
                      <c:pt idx="29">
                        <c:v>150.4692703602785</c:v>
                      </c:pt>
                      <c:pt idx="30">
                        <c:v>155.65786588994328</c:v>
                      </c:pt>
                      <c:pt idx="31">
                        <c:v>160.84646141960809</c:v>
                      </c:pt>
                      <c:pt idx="32">
                        <c:v>166.03505694927287</c:v>
                      </c:pt>
                      <c:pt idx="33">
                        <c:v>171.22365247893765</c:v>
                      </c:pt>
                      <c:pt idx="34">
                        <c:v>176.4122480086024</c:v>
                      </c:pt>
                      <c:pt idx="35">
                        <c:v>181.60084353826721</c:v>
                      </c:pt>
                      <c:pt idx="36">
                        <c:v>186.78943906793197</c:v>
                      </c:pt>
                      <c:pt idx="37">
                        <c:v>191.97803459759675</c:v>
                      </c:pt>
                      <c:pt idx="38">
                        <c:v>197.16663012726153</c:v>
                      </c:pt>
                      <c:pt idx="39">
                        <c:v>202.35522565692628</c:v>
                      </c:pt>
                      <c:pt idx="40">
                        <c:v>207.54382118659106</c:v>
                      </c:pt>
                      <c:pt idx="41">
                        <c:v>212.73241671625584</c:v>
                      </c:pt>
                      <c:pt idx="42">
                        <c:v>217.92101224592059</c:v>
                      </c:pt>
                      <c:pt idx="43">
                        <c:v>223.10960777558537</c:v>
                      </c:pt>
                      <c:pt idx="44">
                        <c:v>228.29820330525018</c:v>
                      </c:pt>
                      <c:pt idx="45">
                        <c:v>233.48679883491496</c:v>
                      </c:pt>
                      <c:pt idx="46">
                        <c:v>238.67539436457974</c:v>
                      </c:pt>
                      <c:pt idx="47">
                        <c:v>243.86398989424453</c:v>
                      </c:pt>
                      <c:pt idx="48">
                        <c:v>249.05258542390928</c:v>
                      </c:pt>
                      <c:pt idx="49">
                        <c:v>254.24118095357406</c:v>
                      </c:pt>
                      <c:pt idx="50">
                        <c:v>259.42977648323887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D63-4373-AA58-894986F56CB1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グラフ!$D$5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半径方向応力max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グラフ!$D$6:$D$56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5.2410712216185891</c:v>
                      </c:pt>
                      <c:pt idx="2">
                        <c:v>10.482142443237178</c:v>
                      </c:pt>
                      <c:pt idx="3">
                        <c:v>15.723213664855766</c:v>
                      </c:pt>
                      <c:pt idx="4">
                        <c:v>20.964284886474356</c:v>
                      </c:pt>
                      <c:pt idx="5">
                        <c:v>26.205356108092946</c:v>
                      </c:pt>
                      <c:pt idx="6">
                        <c:v>31.446427329711533</c:v>
                      </c:pt>
                      <c:pt idx="7">
                        <c:v>36.687498551330123</c:v>
                      </c:pt>
                      <c:pt idx="8">
                        <c:v>41.928569772948713</c:v>
                      </c:pt>
                      <c:pt idx="9">
                        <c:v>47.169640994567303</c:v>
                      </c:pt>
                      <c:pt idx="10">
                        <c:v>52.410712216185892</c:v>
                      </c:pt>
                      <c:pt idx="11">
                        <c:v>57.651783437804475</c:v>
                      </c:pt>
                      <c:pt idx="12">
                        <c:v>62.892854659423065</c:v>
                      </c:pt>
                      <c:pt idx="13">
                        <c:v>68.133925881041662</c:v>
                      </c:pt>
                      <c:pt idx="14">
                        <c:v>73.374997102660245</c:v>
                      </c:pt>
                      <c:pt idx="15">
                        <c:v>78.616068324278828</c:v>
                      </c:pt>
                      <c:pt idx="16">
                        <c:v>83.857139545897425</c:v>
                      </c:pt>
                      <c:pt idx="17">
                        <c:v>89.098210767516008</c:v>
                      </c:pt>
                      <c:pt idx="18">
                        <c:v>94.339281989134605</c:v>
                      </c:pt>
                      <c:pt idx="19">
                        <c:v>99.580353210753202</c:v>
                      </c:pt>
                      <c:pt idx="20">
                        <c:v>104.82142443237178</c:v>
                      </c:pt>
                      <c:pt idx="21">
                        <c:v>110.06249565399035</c:v>
                      </c:pt>
                      <c:pt idx="22">
                        <c:v>115.30356687560895</c:v>
                      </c:pt>
                      <c:pt idx="23">
                        <c:v>120.54463809722755</c:v>
                      </c:pt>
                      <c:pt idx="24">
                        <c:v>125.78570931884613</c:v>
                      </c:pt>
                      <c:pt idx="25">
                        <c:v>131.02678054046473</c:v>
                      </c:pt>
                      <c:pt idx="26">
                        <c:v>136.26785176208332</c:v>
                      </c:pt>
                      <c:pt idx="27">
                        <c:v>141.50892298370189</c:v>
                      </c:pt>
                      <c:pt idx="28">
                        <c:v>146.74999420532049</c:v>
                      </c:pt>
                      <c:pt idx="29">
                        <c:v>151.99106542693906</c:v>
                      </c:pt>
                      <c:pt idx="30">
                        <c:v>157.23213664855766</c:v>
                      </c:pt>
                      <c:pt idx="31">
                        <c:v>162.47320787017625</c:v>
                      </c:pt>
                      <c:pt idx="32">
                        <c:v>167.71427909179485</c:v>
                      </c:pt>
                      <c:pt idx="33">
                        <c:v>172.95535031341345</c:v>
                      </c:pt>
                      <c:pt idx="34">
                        <c:v>178.19642153503202</c:v>
                      </c:pt>
                      <c:pt idx="35">
                        <c:v>183.43749275665064</c:v>
                      </c:pt>
                      <c:pt idx="36">
                        <c:v>188.67856397826921</c:v>
                      </c:pt>
                      <c:pt idx="37">
                        <c:v>193.91963519988781</c:v>
                      </c:pt>
                      <c:pt idx="38">
                        <c:v>199.1607064215064</c:v>
                      </c:pt>
                      <c:pt idx="39">
                        <c:v>204.40177764312497</c:v>
                      </c:pt>
                      <c:pt idx="40">
                        <c:v>209.64284886474357</c:v>
                      </c:pt>
                      <c:pt idx="41">
                        <c:v>214.88392008636217</c:v>
                      </c:pt>
                      <c:pt idx="42">
                        <c:v>220.12499130798071</c:v>
                      </c:pt>
                      <c:pt idx="43">
                        <c:v>225.3660625295993</c:v>
                      </c:pt>
                      <c:pt idx="44">
                        <c:v>230.6071337512179</c:v>
                      </c:pt>
                      <c:pt idx="45">
                        <c:v>235.8482049728365</c:v>
                      </c:pt>
                      <c:pt idx="46">
                        <c:v>241.0892761944551</c:v>
                      </c:pt>
                      <c:pt idx="47">
                        <c:v>246.33034741607369</c:v>
                      </c:pt>
                      <c:pt idx="48">
                        <c:v>251.57141863769226</c:v>
                      </c:pt>
                      <c:pt idx="49">
                        <c:v>256.81248985931086</c:v>
                      </c:pt>
                      <c:pt idx="50">
                        <c:v>262.05356108092946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D63-4373-AA58-894986F56CB1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グラフ!$H$5</c15:sqref>
                        </c15:formulaRef>
                      </c:ext>
                    </c:extLst>
                    <c:strCache>
                      <c:ptCount val="1"/>
                      <c:pt idx="0">
                        <c:v>降伏点inner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グラフ!$H$6:$H$56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345</c:v>
                      </c:pt>
                      <c:pt idx="1">
                        <c:v>345</c:v>
                      </c:pt>
                      <c:pt idx="2">
                        <c:v>345</c:v>
                      </c:pt>
                      <c:pt idx="3">
                        <c:v>345</c:v>
                      </c:pt>
                      <c:pt idx="4">
                        <c:v>345</c:v>
                      </c:pt>
                      <c:pt idx="5">
                        <c:v>345</c:v>
                      </c:pt>
                      <c:pt idx="6">
                        <c:v>345</c:v>
                      </c:pt>
                      <c:pt idx="7">
                        <c:v>345</c:v>
                      </c:pt>
                      <c:pt idx="8">
                        <c:v>345</c:v>
                      </c:pt>
                      <c:pt idx="9">
                        <c:v>345</c:v>
                      </c:pt>
                      <c:pt idx="10">
                        <c:v>345</c:v>
                      </c:pt>
                      <c:pt idx="11">
                        <c:v>345</c:v>
                      </c:pt>
                      <c:pt idx="12">
                        <c:v>345</c:v>
                      </c:pt>
                      <c:pt idx="13">
                        <c:v>345</c:v>
                      </c:pt>
                      <c:pt idx="14">
                        <c:v>345</c:v>
                      </c:pt>
                      <c:pt idx="15">
                        <c:v>345</c:v>
                      </c:pt>
                      <c:pt idx="16">
                        <c:v>345</c:v>
                      </c:pt>
                      <c:pt idx="17">
                        <c:v>345</c:v>
                      </c:pt>
                      <c:pt idx="18">
                        <c:v>345</c:v>
                      </c:pt>
                      <c:pt idx="19">
                        <c:v>345</c:v>
                      </c:pt>
                      <c:pt idx="20">
                        <c:v>345</c:v>
                      </c:pt>
                      <c:pt idx="21">
                        <c:v>345</c:v>
                      </c:pt>
                      <c:pt idx="22">
                        <c:v>345</c:v>
                      </c:pt>
                      <c:pt idx="23">
                        <c:v>345</c:v>
                      </c:pt>
                      <c:pt idx="24">
                        <c:v>345</c:v>
                      </c:pt>
                      <c:pt idx="25">
                        <c:v>345</c:v>
                      </c:pt>
                      <c:pt idx="26">
                        <c:v>345</c:v>
                      </c:pt>
                      <c:pt idx="27">
                        <c:v>345</c:v>
                      </c:pt>
                      <c:pt idx="28">
                        <c:v>345</c:v>
                      </c:pt>
                      <c:pt idx="29">
                        <c:v>345</c:v>
                      </c:pt>
                      <c:pt idx="30">
                        <c:v>345</c:v>
                      </c:pt>
                      <c:pt idx="31">
                        <c:v>345</c:v>
                      </c:pt>
                      <c:pt idx="32">
                        <c:v>345</c:v>
                      </c:pt>
                      <c:pt idx="33">
                        <c:v>345</c:v>
                      </c:pt>
                      <c:pt idx="34">
                        <c:v>345</c:v>
                      </c:pt>
                      <c:pt idx="35">
                        <c:v>345</c:v>
                      </c:pt>
                      <c:pt idx="36">
                        <c:v>345</c:v>
                      </c:pt>
                      <c:pt idx="37">
                        <c:v>345</c:v>
                      </c:pt>
                      <c:pt idx="38">
                        <c:v>345</c:v>
                      </c:pt>
                      <c:pt idx="39">
                        <c:v>345</c:v>
                      </c:pt>
                      <c:pt idx="40">
                        <c:v>345</c:v>
                      </c:pt>
                      <c:pt idx="41">
                        <c:v>345</c:v>
                      </c:pt>
                      <c:pt idx="42">
                        <c:v>345</c:v>
                      </c:pt>
                      <c:pt idx="43">
                        <c:v>345</c:v>
                      </c:pt>
                      <c:pt idx="44">
                        <c:v>345</c:v>
                      </c:pt>
                      <c:pt idx="45">
                        <c:v>345</c:v>
                      </c:pt>
                      <c:pt idx="46">
                        <c:v>345</c:v>
                      </c:pt>
                      <c:pt idx="47">
                        <c:v>345</c:v>
                      </c:pt>
                      <c:pt idx="48">
                        <c:v>345</c:v>
                      </c:pt>
                      <c:pt idx="49">
                        <c:v>345</c:v>
                      </c:pt>
                      <c:pt idx="50">
                        <c:v>345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D63-4373-AA58-894986F56CB1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グラフ!$I$5</c15:sqref>
                        </c15:formulaRef>
                      </c:ext>
                    </c:extLst>
                    <c:strCache>
                      <c:ptCount val="1"/>
                      <c:pt idx="0">
                        <c:v>降伏点outer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グラフ!$I$6:$I$56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150</c:v>
                      </c:pt>
                      <c:pt idx="1">
                        <c:v>150</c:v>
                      </c:pt>
                      <c:pt idx="2">
                        <c:v>150</c:v>
                      </c:pt>
                      <c:pt idx="3">
                        <c:v>150</c:v>
                      </c:pt>
                      <c:pt idx="4">
                        <c:v>150</c:v>
                      </c:pt>
                      <c:pt idx="5">
                        <c:v>150</c:v>
                      </c:pt>
                      <c:pt idx="6">
                        <c:v>150</c:v>
                      </c:pt>
                      <c:pt idx="7">
                        <c:v>150</c:v>
                      </c:pt>
                      <c:pt idx="8">
                        <c:v>150</c:v>
                      </c:pt>
                      <c:pt idx="9">
                        <c:v>150</c:v>
                      </c:pt>
                      <c:pt idx="10">
                        <c:v>150</c:v>
                      </c:pt>
                      <c:pt idx="11">
                        <c:v>150</c:v>
                      </c:pt>
                      <c:pt idx="12">
                        <c:v>150</c:v>
                      </c:pt>
                      <c:pt idx="13">
                        <c:v>150</c:v>
                      </c:pt>
                      <c:pt idx="14">
                        <c:v>150</c:v>
                      </c:pt>
                      <c:pt idx="15">
                        <c:v>150</c:v>
                      </c:pt>
                      <c:pt idx="16">
                        <c:v>150</c:v>
                      </c:pt>
                      <c:pt idx="17">
                        <c:v>150</c:v>
                      </c:pt>
                      <c:pt idx="18">
                        <c:v>150</c:v>
                      </c:pt>
                      <c:pt idx="19">
                        <c:v>150</c:v>
                      </c:pt>
                      <c:pt idx="20">
                        <c:v>150</c:v>
                      </c:pt>
                      <c:pt idx="21">
                        <c:v>150</c:v>
                      </c:pt>
                      <c:pt idx="22">
                        <c:v>150</c:v>
                      </c:pt>
                      <c:pt idx="23">
                        <c:v>150</c:v>
                      </c:pt>
                      <c:pt idx="24">
                        <c:v>150</c:v>
                      </c:pt>
                      <c:pt idx="25">
                        <c:v>150</c:v>
                      </c:pt>
                      <c:pt idx="26">
                        <c:v>150</c:v>
                      </c:pt>
                      <c:pt idx="27">
                        <c:v>150</c:v>
                      </c:pt>
                      <c:pt idx="28">
                        <c:v>150</c:v>
                      </c:pt>
                      <c:pt idx="29">
                        <c:v>150</c:v>
                      </c:pt>
                      <c:pt idx="30">
                        <c:v>150</c:v>
                      </c:pt>
                      <c:pt idx="31">
                        <c:v>150</c:v>
                      </c:pt>
                      <c:pt idx="32">
                        <c:v>150</c:v>
                      </c:pt>
                      <c:pt idx="33">
                        <c:v>150</c:v>
                      </c:pt>
                      <c:pt idx="34">
                        <c:v>150</c:v>
                      </c:pt>
                      <c:pt idx="35">
                        <c:v>150</c:v>
                      </c:pt>
                      <c:pt idx="36">
                        <c:v>150</c:v>
                      </c:pt>
                      <c:pt idx="37">
                        <c:v>150</c:v>
                      </c:pt>
                      <c:pt idx="38">
                        <c:v>150</c:v>
                      </c:pt>
                      <c:pt idx="39">
                        <c:v>150</c:v>
                      </c:pt>
                      <c:pt idx="40">
                        <c:v>150</c:v>
                      </c:pt>
                      <c:pt idx="41">
                        <c:v>150</c:v>
                      </c:pt>
                      <c:pt idx="42">
                        <c:v>150</c:v>
                      </c:pt>
                      <c:pt idx="43">
                        <c:v>150</c:v>
                      </c:pt>
                      <c:pt idx="44">
                        <c:v>150</c:v>
                      </c:pt>
                      <c:pt idx="45">
                        <c:v>150</c:v>
                      </c:pt>
                      <c:pt idx="46">
                        <c:v>150</c:v>
                      </c:pt>
                      <c:pt idx="47">
                        <c:v>150</c:v>
                      </c:pt>
                      <c:pt idx="48">
                        <c:v>150</c:v>
                      </c:pt>
                      <c:pt idx="49">
                        <c:v>150</c:v>
                      </c:pt>
                      <c:pt idx="50">
                        <c:v>150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D63-4373-AA58-894986F56CB1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グラフ!$J$5</c15:sqref>
                        </c15:formulaRef>
                      </c:ext>
                    </c:extLst>
                    <c:strCache>
                      <c:ptCount val="1"/>
                      <c:pt idx="0">
                        <c:v>円周方向応力inner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グラフ!$J$6:$J$56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18.675624349067672</c:v>
                      </c:pt>
                      <c:pt idx="2">
                        <c:v>37.351248698135343</c:v>
                      </c:pt>
                      <c:pt idx="3">
                        <c:v>56.026873047203011</c:v>
                      </c:pt>
                      <c:pt idx="4">
                        <c:v>74.702497396270687</c:v>
                      </c:pt>
                      <c:pt idx="5">
                        <c:v>93.378121745338348</c:v>
                      </c:pt>
                      <c:pt idx="6">
                        <c:v>112.05374609440602</c:v>
                      </c:pt>
                      <c:pt idx="7">
                        <c:v>130.7293704434737</c:v>
                      </c:pt>
                      <c:pt idx="8">
                        <c:v>149.40499479254137</c:v>
                      </c:pt>
                      <c:pt idx="9">
                        <c:v>168.08061914160905</c:v>
                      </c:pt>
                      <c:pt idx="10">
                        <c:v>186.7562434906767</c:v>
                      </c:pt>
                      <c:pt idx="11">
                        <c:v>205.43186783974437</c:v>
                      </c:pt>
                      <c:pt idx="12">
                        <c:v>224.10749218881205</c:v>
                      </c:pt>
                      <c:pt idx="13">
                        <c:v>242.78311653787975</c:v>
                      </c:pt>
                      <c:pt idx="14">
                        <c:v>261.4587408869474</c:v>
                      </c:pt>
                      <c:pt idx="15">
                        <c:v>280.13436523601501</c:v>
                      </c:pt>
                      <c:pt idx="16">
                        <c:v>298.80998958508275</c:v>
                      </c:pt>
                      <c:pt idx="17">
                        <c:v>317.48561393415036</c:v>
                      </c:pt>
                      <c:pt idx="18">
                        <c:v>336.1612382832181</c:v>
                      </c:pt>
                      <c:pt idx="19">
                        <c:v>354.83686263228577</c:v>
                      </c:pt>
                      <c:pt idx="20">
                        <c:v>373.51248698135339</c:v>
                      </c:pt>
                      <c:pt idx="21">
                        <c:v>392.18811133042101</c:v>
                      </c:pt>
                      <c:pt idx="22">
                        <c:v>410.86373567948874</c:v>
                      </c:pt>
                      <c:pt idx="23">
                        <c:v>429.53936002855642</c:v>
                      </c:pt>
                      <c:pt idx="24">
                        <c:v>448.21498437762409</c:v>
                      </c:pt>
                      <c:pt idx="25">
                        <c:v>466.89060872669182</c:v>
                      </c:pt>
                      <c:pt idx="26">
                        <c:v>485.5662330757595</c:v>
                      </c:pt>
                      <c:pt idx="27">
                        <c:v>504.24185742482706</c:v>
                      </c:pt>
                      <c:pt idx="28">
                        <c:v>522.91748177389479</c:v>
                      </c:pt>
                      <c:pt idx="29">
                        <c:v>541.59310612296235</c:v>
                      </c:pt>
                      <c:pt idx="30">
                        <c:v>560.26873047203003</c:v>
                      </c:pt>
                      <c:pt idx="31">
                        <c:v>578.94435482109782</c:v>
                      </c:pt>
                      <c:pt idx="32">
                        <c:v>597.61997917016549</c:v>
                      </c:pt>
                      <c:pt idx="33">
                        <c:v>616.29560351923317</c:v>
                      </c:pt>
                      <c:pt idx="34">
                        <c:v>634.97122786830073</c:v>
                      </c:pt>
                      <c:pt idx="35">
                        <c:v>653.64685221736852</c:v>
                      </c:pt>
                      <c:pt idx="36">
                        <c:v>672.32247656643619</c:v>
                      </c:pt>
                      <c:pt idx="37">
                        <c:v>690.99810091550387</c:v>
                      </c:pt>
                      <c:pt idx="38">
                        <c:v>709.67372526457154</c:v>
                      </c:pt>
                      <c:pt idx="39">
                        <c:v>728.34934961363911</c:v>
                      </c:pt>
                      <c:pt idx="40">
                        <c:v>747.02497396270678</c:v>
                      </c:pt>
                      <c:pt idx="41">
                        <c:v>765.70059831177446</c:v>
                      </c:pt>
                      <c:pt idx="42">
                        <c:v>784.37622266084202</c:v>
                      </c:pt>
                      <c:pt idx="43">
                        <c:v>803.05184700990969</c:v>
                      </c:pt>
                      <c:pt idx="44">
                        <c:v>821.72747135897748</c:v>
                      </c:pt>
                      <c:pt idx="45">
                        <c:v>840.40309570804516</c:v>
                      </c:pt>
                      <c:pt idx="46">
                        <c:v>859.07872005711283</c:v>
                      </c:pt>
                      <c:pt idx="47">
                        <c:v>877.75434440618051</c:v>
                      </c:pt>
                      <c:pt idx="48">
                        <c:v>896.42996875524818</c:v>
                      </c:pt>
                      <c:pt idx="49">
                        <c:v>915.10559310431586</c:v>
                      </c:pt>
                      <c:pt idx="50">
                        <c:v>933.78121745338365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D63-4373-AA58-894986F56CB1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グラフ!$K$5</c15:sqref>
                        </c15:formulaRef>
                      </c:ext>
                    </c:extLst>
                    <c:strCache>
                      <c:ptCount val="1"/>
                      <c:pt idx="0">
                        <c:v>円周方向応力outer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グラフ!$K$6:$K$56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9.968386963114515</c:v>
                      </c:pt>
                      <c:pt idx="2">
                        <c:v>19.93677392622903</c:v>
                      </c:pt>
                      <c:pt idx="3">
                        <c:v>29.905160889343541</c:v>
                      </c:pt>
                      <c:pt idx="4">
                        <c:v>39.87354785245806</c:v>
                      </c:pt>
                      <c:pt idx="5">
                        <c:v>49.841934815572571</c:v>
                      </c:pt>
                      <c:pt idx="6">
                        <c:v>59.810321778687083</c:v>
                      </c:pt>
                      <c:pt idx="7">
                        <c:v>69.778708741801594</c:v>
                      </c:pt>
                      <c:pt idx="8">
                        <c:v>79.74709570491612</c:v>
                      </c:pt>
                      <c:pt idx="9">
                        <c:v>89.715482668030631</c:v>
                      </c:pt>
                      <c:pt idx="10">
                        <c:v>99.683869631145143</c:v>
                      </c:pt>
                      <c:pt idx="11">
                        <c:v>109.65225659425965</c:v>
                      </c:pt>
                      <c:pt idx="12">
                        <c:v>119.62064355737417</c:v>
                      </c:pt>
                      <c:pt idx="13">
                        <c:v>129.58903052048871</c:v>
                      </c:pt>
                      <c:pt idx="14">
                        <c:v>139.55741748360319</c:v>
                      </c:pt>
                      <c:pt idx="15">
                        <c:v>149.5258044467177</c:v>
                      </c:pt>
                      <c:pt idx="16">
                        <c:v>159.49419140983224</c:v>
                      </c:pt>
                      <c:pt idx="17">
                        <c:v>169.46257837294672</c:v>
                      </c:pt>
                      <c:pt idx="18">
                        <c:v>179.43096533606126</c:v>
                      </c:pt>
                      <c:pt idx="19">
                        <c:v>189.39935229917577</c:v>
                      </c:pt>
                      <c:pt idx="20">
                        <c:v>199.36773926229029</c:v>
                      </c:pt>
                      <c:pt idx="21">
                        <c:v>209.33612622540477</c:v>
                      </c:pt>
                      <c:pt idx="22">
                        <c:v>219.30451318851931</c:v>
                      </c:pt>
                      <c:pt idx="23">
                        <c:v>229.27290015163382</c:v>
                      </c:pt>
                      <c:pt idx="24">
                        <c:v>239.24128711474833</c:v>
                      </c:pt>
                      <c:pt idx="25">
                        <c:v>249.20967407786287</c:v>
                      </c:pt>
                      <c:pt idx="26">
                        <c:v>259.17806104097741</c:v>
                      </c:pt>
                      <c:pt idx="27">
                        <c:v>269.14644800409184</c:v>
                      </c:pt>
                      <c:pt idx="28">
                        <c:v>279.11483496720638</c:v>
                      </c:pt>
                      <c:pt idx="29">
                        <c:v>289.08322193032086</c:v>
                      </c:pt>
                      <c:pt idx="30">
                        <c:v>299.0516088934354</c:v>
                      </c:pt>
                      <c:pt idx="31">
                        <c:v>309.01999585654994</c:v>
                      </c:pt>
                      <c:pt idx="32">
                        <c:v>318.98838281966448</c:v>
                      </c:pt>
                      <c:pt idx="33">
                        <c:v>328.95676978277902</c:v>
                      </c:pt>
                      <c:pt idx="34">
                        <c:v>338.92515674589345</c:v>
                      </c:pt>
                      <c:pt idx="35">
                        <c:v>348.89354370900804</c:v>
                      </c:pt>
                      <c:pt idx="36">
                        <c:v>358.86193067212253</c:v>
                      </c:pt>
                      <c:pt idx="37">
                        <c:v>368.83031763523707</c:v>
                      </c:pt>
                      <c:pt idx="38">
                        <c:v>378.79870459835155</c:v>
                      </c:pt>
                      <c:pt idx="39">
                        <c:v>388.76709156146603</c:v>
                      </c:pt>
                      <c:pt idx="40">
                        <c:v>398.73547852458057</c:v>
                      </c:pt>
                      <c:pt idx="41">
                        <c:v>408.70386548769505</c:v>
                      </c:pt>
                      <c:pt idx="42">
                        <c:v>418.67225245080954</c:v>
                      </c:pt>
                      <c:pt idx="43">
                        <c:v>428.64063941392408</c:v>
                      </c:pt>
                      <c:pt idx="44">
                        <c:v>438.60902637703862</c:v>
                      </c:pt>
                      <c:pt idx="45">
                        <c:v>448.57741334015316</c:v>
                      </c:pt>
                      <c:pt idx="46">
                        <c:v>458.54580030326764</c:v>
                      </c:pt>
                      <c:pt idx="47">
                        <c:v>468.51418726638218</c:v>
                      </c:pt>
                      <c:pt idx="48">
                        <c:v>478.48257422949666</c:v>
                      </c:pt>
                      <c:pt idx="49">
                        <c:v>488.45096119261115</c:v>
                      </c:pt>
                      <c:pt idx="50">
                        <c:v>498.41934815572574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D63-4373-AA58-894986F56CB1}"/>
                  </c:ext>
                </c:extLst>
              </c15:ser>
            </c15:filteredScatterSeries>
          </c:ext>
        </c:extLst>
      </c:scatterChart>
      <c:valAx>
        <c:axId val="2069338655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グラフ!$A$4</c:f>
              <c:strCache>
                <c:ptCount val="1"/>
                <c:pt idx="0">
                  <c:v>締め代[mm]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69334079"/>
        <c:crosses val="autoZero"/>
        <c:crossBetween val="midCat"/>
      </c:valAx>
      <c:valAx>
        <c:axId val="2069334079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グラフ!$E$4</c:f>
              <c:strCache>
                <c:ptCount val="1"/>
                <c:pt idx="0">
                  <c:v>圧入力[kN]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69338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温度 </a:t>
            </a:r>
            <a:r>
              <a:rPr lang="en-US" altLang="ja-JP"/>
              <a:t>vs Inner</a:t>
            </a:r>
            <a:r>
              <a:rPr lang="ja-JP" altLang="en-US"/>
              <a:t>応力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14"/>
          <c:order val="14"/>
          <c:tx>
            <c:strRef>
              <c:f>グラフ!$AC$5</c:f>
              <c:strCache>
                <c:ptCount val="1"/>
                <c:pt idx="0">
                  <c:v>inner応力:Δ-30℃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グラフ!$AC$6:$AC$56</c:f>
              <c:numCache>
                <c:formatCode>0.0</c:formatCode>
                <c:ptCount val="51"/>
                <c:pt idx="0">
                  <c:v>316.39983997580583</c:v>
                </c:pt>
                <c:pt idx="1">
                  <c:v>312.536943815303</c:v>
                </c:pt>
                <c:pt idx="2">
                  <c:v>308.67404765481371</c:v>
                </c:pt>
                <c:pt idx="3">
                  <c:v>304.81115149432452</c:v>
                </c:pt>
                <c:pt idx="4">
                  <c:v>300.94825533382181</c:v>
                </c:pt>
                <c:pt idx="5">
                  <c:v>297.08535917333245</c:v>
                </c:pt>
                <c:pt idx="6">
                  <c:v>293.22246301284321</c:v>
                </c:pt>
                <c:pt idx="7">
                  <c:v>289.35956685234049</c:v>
                </c:pt>
                <c:pt idx="8">
                  <c:v>285.49667069186472</c:v>
                </c:pt>
                <c:pt idx="9">
                  <c:v>281.63377453137542</c:v>
                </c:pt>
                <c:pt idx="10">
                  <c:v>277.77087837087265</c:v>
                </c:pt>
                <c:pt idx="11">
                  <c:v>273.90798221038341</c:v>
                </c:pt>
                <c:pt idx="12">
                  <c:v>270.04508604988069</c:v>
                </c:pt>
                <c:pt idx="13">
                  <c:v>266.18218988940487</c:v>
                </c:pt>
                <c:pt idx="14">
                  <c:v>262.3192937289021</c:v>
                </c:pt>
                <c:pt idx="15">
                  <c:v>258.45639756842633</c:v>
                </c:pt>
                <c:pt idx="16">
                  <c:v>254.59350140792358</c:v>
                </c:pt>
                <c:pt idx="17">
                  <c:v>250.73060524742075</c:v>
                </c:pt>
                <c:pt idx="18">
                  <c:v>246.86770908694498</c:v>
                </c:pt>
                <c:pt idx="19">
                  <c:v>243.0048129264423</c:v>
                </c:pt>
                <c:pt idx="20">
                  <c:v>239.14191676593958</c:v>
                </c:pt>
                <c:pt idx="21">
                  <c:v>235.27902060546376</c:v>
                </c:pt>
                <c:pt idx="22">
                  <c:v>231.41612444494749</c:v>
                </c:pt>
                <c:pt idx="23">
                  <c:v>227.55322828447171</c:v>
                </c:pt>
                <c:pt idx="24">
                  <c:v>223.69033212396894</c:v>
                </c:pt>
                <c:pt idx="25">
                  <c:v>219.8274359634797</c:v>
                </c:pt>
                <c:pt idx="26">
                  <c:v>215.96453980300393</c:v>
                </c:pt>
                <c:pt idx="27">
                  <c:v>212.10164364250119</c:v>
                </c:pt>
                <c:pt idx="28">
                  <c:v>208.23874748202539</c:v>
                </c:pt>
                <c:pt idx="29">
                  <c:v>204.37585132150912</c:v>
                </c:pt>
                <c:pt idx="30">
                  <c:v>200.51295516103335</c:v>
                </c:pt>
                <c:pt idx="31">
                  <c:v>196.6500590005306</c:v>
                </c:pt>
                <c:pt idx="32">
                  <c:v>192.78716284004133</c:v>
                </c:pt>
                <c:pt idx="33">
                  <c:v>188.92426667953862</c:v>
                </c:pt>
                <c:pt idx="34">
                  <c:v>185.06137051904932</c:v>
                </c:pt>
                <c:pt idx="35">
                  <c:v>181.19847435854655</c:v>
                </c:pt>
                <c:pt idx="36">
                  <c:v>177.33557819808425</c:v>
                </c:pt>
                <c:pt idx="37">
                  <c:v>173.47268203759498</c:v>
                </c:pt>
                <c:pt idx="38">
                  <c:v>169.60978587709224</c:v>
                </c:pt>
                <c:pt idx="39">
                  <c:v>165.74688971661644</c:v>
                </c:pt>
                <c:pt idx="40">
                  <c:v>161.88399355610022</c:v>
                </c:pt>
                <c:pt idx="41">
                  <c:v>158.02109739561095</c:v>
                </c:pt>
                <c:pt idx="42">
                  <c:v>154.15820123512168</c:v>
                </c:pt>
                <c:pt idx="43">
                  <c:v>150.29530507461894</c:v>
                </c:pt>
                <c:pt idx="44">
                  <c:v>146.43240891411619</c:v>
                </c:pt>
                <c:pt idx="45">
                  <c:v>142.5695127536404</c:v>
                </c:pt>
                <c:pt idx="46">
                  <c:v>138.7066165931511</c:v>
                </c:pt>
                <c:pt idx="47">
                  <c:v>134.84372043266185</c:v>
                </c:pt>
                <c:pt idx="48">
                  <c:v>130.98082427217258</c:v>
                </c:pt>
                <c:pt idx="49">
                  <c:v>127.11792811168331</c:v>
                </c:pt>
                <c:pt idx="50">
                  <c:v>123.25503195118056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495-4A62-9571-892853E3761F}"/>
            </c:ext>
          </c:extLst>
        </c:ser>
        <c:ser>
          <c:idx val="15"/>
          <c:order val="15"/>
          <c:tx>
            <c:strRef>
              <c:f>グラフ!$AD$5</c:f>
              <c:strCache>
                <c:ptCount val="1"/>
                <c:pt idx="0">
                  <c:v>inner応力:Δ-20℃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グラフ!$AD$6:$AD$56</c:f>
              <c:numCache>
                <c:formatCode>0.0</c:formatCode>
                <c:ptCount val="51"/>
                <c:pt idx="0">
                  <c:v>298.51378690812061</c:v>
                </c:pt>
                <c:pt idx="1">
                  <c:v>294.65089074764478</c:v>
                </c:pt>
                <c:pt idx="2">
                  <c:v>290.78799458714195</c:v>
                </c:pt>
                <c:pt idx="3">
                  <c:v>286.92509842663924</c:v>
                </c:pt>
                <c:pt idx="4">
                  <c:v>283.06220226615</c:v>
                </c:pt>
                <c:pt idx="5">
                  <c:v>279.19930610564722</c:v>
                </c:pt>
                <c:pt idx="6">
                  <c:v>275.33640994517145</c:v>
                </c:pt>
                <c:pt idx="7">
                  <c:v>271.47351378466868</c:v>
                </c:pt>
                <c:pt idx="8">
                  <c:v>267.61061762417944</c:v>
                </c:pt>
                <c:pt idx="9">
                  <c:v>263.74772146370367</c:v>
                </c:pt>
                <c:pt idx="10">
                  <c:v>259.88482530318737</c:v>
                </c:pt>
                <c:pt idx="11">
                  <c:v>256.0219291427116</c:v>
                </c:pt>
                <c:pt idx="12">
                  <c:v>252.15903298220891</c:v>
                </c:pt>
                <c:pt idx="13">
                  <c:v>248.29613682171961</c:v>
                </c:pt>
                <c:pt idx="14">
                  <c:v>244.43324066123029</c:v>
                </c:pt>
                <c:pt idx="15">
                  <c:v>240.57034450074104</c:v>
                </c:pt>
                <c:pt idx="16">
                  <c:v>236.7074483402518</c:v>
                </c:pt>
                <c:pt idx="17">
                  <c:v>232.84455217974906</c:v>
                </c:pt>
                <c:pt idx="18">
                  <c:v>228.98165601925979</c:v>
                </c:pt>
                <c:pt idx="19">
                  <c:v>225.11875985877052</c:v>
                </c:pt>
                <c:pt idx="20">
                  <c:v>221.25586369825425</c:v>
                </c:pt>
                <c:pt idx="21">
                  <c:v>217.39296753777845</c:v>
                </c:pt>
                <c:pt idx="22">
                  <c:v>213.53007137727576</c:v>
                </c:pt>
                <c:pt idx="23">
                  <c:v>209.66717521678646</c:v>
                </c:pt>
                <c:pt idx="24">
                  <c:v>205.80427905629722</c:v>
                </c:pt>
                <c:pt idx="25">
                  <c:v>201.94138289582142</c:v>
                </c:pt>
                <c:pt idx="26">
                  <c:v>198.07848673533215</c:v>
                </c:pt>
                <c:pt idx="27">
                  <c:v>194.21559057481588</c:v>
                </c:pt>
                <c:pt idx="28">
                  <c:v>190.35269441434011</c:v>
                </c:pt>
                <c:pt idx="29">
                  <c:v>186.48979825383736</c:v>
                </c:pt>
                <c:pt idx="30">
                  <c:v>182.62690209334812</c:v>
                </c:pt>
                <c:pt idx="31">
                  <c:v>178.76400593284535</c:v>
                </c:pt>
                <c:pt idx="32">
                  <c:v>174.90110977236958</c:v>
                </c:pt>
                <c:pt idx="33">
                  <c:v>171.03821361185331</c:v>
                </c:pt>
                <c:pt idx="34">
                  <c:v>167.17531745139101</c:v>
                </c:pt>
                <c:pt idx="35">
                  <c:v>163.31242129088824</c:v>
                </c:pt>
                <c:pt idx="36">
                  <c:v>159.44952513039902</c:v>
                </c:pt>
                <c:pt idx="37">
                  <c:v>155.5866289699232</c:v>
                </c:pt>
                <c:pt idx="38">
                  <c:v>151.72373280940698</c:v>
                </c:pt>
                <c:pt idx="39">
                  <c:v>147.86083664893118</c:v>
                </c:pt>
                <c:pt idx="40">
                  <c:v>143.99794048842847</c:v>
                </c:pt>
                <c:pt idx="41">
                  <c:v>140.13504432792567</c:v>
                </c:pt>
                <c:pt idx="42">
                  <c:v>136.27214816743643</c:v>
                </c:pt>
                <c:pt idx="43">
                  <c:v>132.40925200694716</c:v>
                </c:pt>
                <c:pt idx="44">
                  <c:v>128.54635584645791</c:v>
                </c:pt>
                <c:pt idx="45">
                  <c:v>124.6834596859686</c:v>
                </c:pt>
                <c:pt idx="46">
                  <c:v>120.82056352546589</c:v>
                </c:pt>
                <c:pt idx="47">
                  <c:v>116.95766736499009</c:v>
                </c:pt>
                <c:pt idx="48">
                  <c:v>113.09477120448732</c:v>
                </c:pt>
                <c:pt idx="49">
                  <c:v>109.23187504399806</c:v>
                </c:pt>
                <c:pt idx="50">
                  <c:v>105.36897888350879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495-4A62-9571-892853E3761F}"/>
            </c:ext>
          </c:extLst>
        </c:ser>
        <c:ser>
          <c:idx val="16"/>
          <c:order val="16"/>
          <c:tx>
            <c:strRef>
              <c:f>グラフ!$AE$5</c:f>
              <c:strCache>
                <c:ptCount val="1"/>
                <c:pt idx="0">
                  <c:v>inner応力:Δ-10℃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グラフ!$AE$6:$AE$56</c:f>
              <c:numCache>
                <c:formatCode>0.0</c:formatCode>
                <c:ptCount val="51"/>
                <c:pt idx="0">
                  <c:v>280.62773384044874</c:v>
                </c:pt>
                <c:pt idx="1">
                  <c:v>276.7648376799595</c:v>
                </c:pt>
                <c:pt idx="2">
                  <c:v>272.90194151947026</c:v>
                </c:pt>
                <c:pt idx="3">
                  <c:v>269.03904535895401</c:v>
                </c:pt>
                <c:pt idx="4">
                  <c:v>265.17614919847824</c:v>
                </c:pt>
                <c:pt idx="5">
                  <c:v>261.31325303797553</c:v>
                </c:pt>
                <c:pt idx="6">
                  <c:v>257.45035687748617</c:v>
                </c:pt>
                <c:pt idx="7">
                  <c:v>253.5874607169969</c:v>
                </c:pt>
                <c:pt idx="8">
                  <c:v>249.72456455649419</c:v>
                </c:pt>
                <c:pt idx="9">
                  <c:v>245.86166839603189</c:v>
                </c:pt>
                <c:pt idx="10">
                  <c:v>241.99877223551564</c:v>
                </c:pt>
                <c:pt idx="11">
                  <c:v>238.13587607502637</c:v>
                </c:pt>
                <c:pt idx="12">
                  <c:v>234.27297991453713</c:v>
                </c:pt>
                <c:pt idx="13">
                  <c:v>230.41008375403433</c:v>
                </c:pt>
                <c:pt idx="14">
                  <c:v>226.54718759355856</c:v>
                </c:pt>
                <c:pt idx="15">
                  <c:v>222.68429143306929</c:v>
                </c:pt>
                <c:pt idx="16">
                  <c:v>218.82139527256655</c:v>
                </c:pt>
                <c:pt idx="17">
                  <c:v>214.95849911207725</c:v>
                </c:pt>
                <c:pt idx="18">
                  <c:v>211.09560295157456</c:v>
                </c:pt>
                <c:pt idx="19">
                  <c:v>207.23270679108523</c:v>
                </c:pt>
                <c:pt idx="20">
                  <c:v>203.36981063058249</c:v>
                </c:pt>
                <c:pt idx="21">
                  <c:v>199.50691447009325</c:v>
                </c:pt>
                <c:pt idx="22">
                  <c:v>195.64401830960398</c:v>
                </c:pt>
                <c:pt idx="23">
                  <c:v>191.78112214912815</c:v>
                </c:pt>
                <c:pt idx="24">
                  <c:v>187.91822598862544</c:v>
                </c:pt>
                <c:pt idx="25">
                  <c:v>184.05532982813617</c:v>
                </c:pt>
                <c:pt idx="26">
                  <c:v>180.19243366764687</c:v>
                </c:pt>
                <c:pt idx="27">
                  <c:v>176.32953750714412</c:v>
                </c:pt>
                <c:pt idx="28">
                  <c:v>172.46664134665488</c:v>
                </c:pt>
                <c:pt idx="29">
                  <c:v>168.60374518615214</c:v>
                </c:pt>
                <c:pt idx="30">
                  <c:v>164.74084902567634</c:v>
                </c:pt>
                <c:pt idx="31">
                  <c:v>160.8779528651601</c:v>
                </c:pt>
                <c:pt idx="32">
                  <c:v>157.01505670471127</c:v>
                </c:pt>
                <c:pt idx="33">
                  <c:v>153.15216054419503</c:v>
                </c:pt>
                <c:pt idx="34">
                  <c:v>149.28926438370576</c:v>
                </c:pt>
                <c:pt idx="35">
                  <c:v>145.42636822321651</c:v>
                </c:pt>
                <c:pt idx="36">
                  <c:v>141.56347206271377</c:v>
                </c:pt>
                <c:pt idx="37">
                  <c:v>137.70057590223794</c:v>
                </c:pt>
                <c:pt idx="38">
                  <c:v>133.8376797417352</c:v>
                </c:pt>
                <c:pt idx="39">
                  <c:v>129.97478358124593</c:v>
                </c:pt>
                <c:pt idx="40">
                  <c:v>126.11188742074319</c:v>
                </c:pt>
                <c:pt idx="41">
                  <c:v>122.24899126025393</c:v>
                </c:pt>
                <c:pt idx="42">
                  <c:v>118.38609509977813</c:v>
                </c:pt>
                <c:pt idx="43">
                  <c:v>114.5231989392754</c:v>
                </c:pt>
                <c:pt idx="44">
                  <c:v>110.66030277877263</c:v>
                </c:pt>
                <c:pt idx="45">
                  <c:v>106.79740661829685</c:v>
                </c:pt>
                <c:pt idx="46">
                  <c:v>102.9345104577806</c:v>
                </c:pt>
                <c:pt idx="47">
                  <c:v>99.071614297304819</c:v>
                </c:pt>
                <c:pt idx="48">
                  <c:v>95.208718136815563</c:v>
                </c:pt>
                <c:pt idx="49">
                  <c:v>91.34582197631282</c:v>
                </c:pt>
                <c:pt idx="50">
                  <c:v>87.482925815823535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495-4A62-9571-892853E3761F}"/>
            </c:ext>
          </c:extLst>
        </c:ser>
        <c:ser>
          <c:idx val="17"/>
          <c:order val="17"/>
          <c:tx>
            <c:strRef>
              <c:f>グラフ!$AF$5</c:f>
              <c:strCache>
                <c:ptCount val="1"/>
                <c:pt idx="0">
                  <c:v>inner応力:Δ0℃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グラフ!$AF$6:$AF$56</c:f>
              <c:numCache>
                <c:formatCode>0.0</c:formatCode>
                <c:ptCount val="51"/>
                <c:pt idx="0">
                  <c:v>262.74168077277699</c:v>
                </c:pt>
                <c:pt idx="1">
                  <c:v>258.87878461227427</c:v>
                </c:pt>
                <c:pt idx="2">
                  <c:v>255.01588845179845</c:v>
                </c:pt>
                <c:pt idx="3">
                  <c:v>251.15299229128223</c:v>
                </c:pt>
                <c:pt idx="4">
                  <c:v>247.29009613079293</c:v>
                </c:pt>
                <c:pt idx="5">
                  <c:v>243.42719997030369</c:v>
                </c:pt>
                <c:pt idx="6">
                  <c:v>239.56430380980095</c:v>
                </c:pt>
                <c:pt idx="7">
                  <c:v>235.70140764932518</c:v>
                </c:pt>
                <c:pt idx="8">
                  <c:v>231.83851148882241</c:v>
                </c:pt>
                <c:pt idx="9">
                  <c:v>227.97561532834661</c:v>
                </c:pt>
                <c:pt idx="10">
                  <c:v>224.11271916784389</c:v>
                </c:pt>
                <c:pt idx="11">
                  <c:v>220.24982300734109</c:v>
                </c:pt>
                <c:pt idx="12">
                  <c:v>216.38692684686532</c:v>
                </c:pt>
                <c:pt idx="13">
                  <c:v>212.52403068636258</c:v>
                </c:pt>
                <c:pt idx="14">
                  <c:v>208.66113452587334</c:v>
                </c:pt>
                <c:pt idx="15">
                  <c:v>204.79823836539751</c:v>
                </c:pt>
                <c:pt idx="16">
                  <c:v>200.93534220488129</c:v>
                </c:pt>
                <c:pt idx="17">
                  <c:v>197.072446044392</c:v>
                </c:pt>
                <c:pt idx="18">
                  <c:v>193.20954988390275</c:v>
                </c:pt>
                <c:pt idx="19">
                  <c:v>189.34665372339998</c:v>
                </c:pt>
                <c:pt idx="20">
                  <c:v>185.48375756291074</c:v>
                </c:pt>
                <c:pt idx="21">
                  <c:v>181.62086140243494</c:v>
                </c:pt>
                <c:pt idx="22">
                  <c:v>177.7579652419322</c:v>
                </c:pt>
                <c:pt idx="23">
                  <c:v>173.89506908144293</c:v>
                </c:pt>
                <c:pt idx="24">
                  <c:v>170.03217292094018</c:v>
                </c:pt>
                <c:pt idx="25">
                  <c:v>166.16927676046438</c:v>
                </c:pt>
                <c:pt idx="26">
                  <c:v>162.30638059996164</c:v>
                </c:pt>
                <c:pt idx="27">
                  <c:v>158.4434844394589</c:v>
                </c:pt>
                <c:pt idx="28">
                  <c:v>154.5805882789831</c:v>
                </c:pt>
                <c:pt idx="29">
                  <c:v>150.71769211846686</c:v>
                </c:pt>
                <c:pt idx="30">
                  <c:v>146.854795958018</c:v>
                </c:pt>
                <c:pt idx="31">
                  <c:v>142.99189979750182</c:v>
                </c:pt>
                <c:pt idx="32">
                  <c:v>139.12900363702602</c:v>
                </c:pt>
                <c:pt idx="33">
                  <c:v>135.26610747652325</c:v>
                </c:pt>
                <c:pt idx="34">
                  <c:v>131.40321131602053</c:v>
                </c:pt>
                <c:pt idx="35">
                  <c:v>127.54031515553123</c:v>
                </c:pt>
                <c:pt idx="36">
                  <c:v>123.67741899504199</c:v>
                </c:pt>
                <c:pt idx="37">
                  <c:v>119.8145228345527</c:v>
                </c:pt>
                <c:pt idx="38">
                  <c:v>115.95162667404996</c:v>
                </c:pt>
                <c:pt idx="39">
                  <c:v>112.08873051357416</c:v>
                </c:pt>
                <c:pt idx="40">
                  <c:v>108.22583435308491</c:v>
                </c:pt>
                <c:pt idx="41">
                  <c:v>104.36293819258216</c:v>
                </c:pt>
                <c:pt idx="42">
                  <c:v>100.50004203209288</c:v>
                </c:pt>
                <c:pt idx="43">
                  <c:v>96.637145871603607</c:v>
                </c:pt>
                <c:pt idx="44">
                  <c:v>92.774249711087407</c:v>
                </c:pt>
                <c:pt idx="45">
                  <c:v>88.91135355061158</c:v>
                </c:pt>
                <c:pt idx="46">
                  <c:v>85.048457390108851</c:v>
                </c:pt>
                <c:pt idx="47">
                  <c:v>81.18556122961958</c:v>
                </c:pt>
                <c:pt idx="48">
                  <c:v>77.322665069130309</c:v>
                </c:pt>
                <c:pt idx="49">
                  <c:v>73.459768908641038</c:v>
                </c:pt>
                <c:pt idx="50">
                  <c:v>69.596872748165239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495-4A62-9571-892853E3761F}"/>
            </c:ext>
          </c:extLst>
        </c:ser>
        <c:ser>
          <c:idx val="18"/>
          <c:order val="18"/>
          <c:tx>
            <c:strRef>
              <c:f>グラフ!$AG$5</c:f>
              <c:strCache>
                <c:ptCount val="1"/>
                <c:pt idx="0">
                  <c:v>inner応力:Δ+10℃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グラフ!$AG$6:$AG$56</c:f>
              <c:numCache>
                <c:formatCode>0.0</c:formatCode>
                <c:ptCount val="51"/>
                <c:pt idx="0">
                  <c:v>244.85562770510521</c:v>
                </c:pt>
                <c:pt idx="1">
                  <c:v>240.99273154460249</c:v>
                </c:pt>
                <c:pt idx="2">
                  <c:v>237.12983538411322</c:v>
                </c:pt>
                <c:pt idx="3">
                  <c:v>233.26693922361045</c:v>
                </c:pt>
                <c:pt idx="4">
                  <c:v>229.40404306310771</c:v>
                </c:pt>
                <c:pt idx="5">
                  <c:v>225.54114690263191</c:v>
                </c:pt>
                <c:pt idx="6">
                  <c:v>221.67825074212919</c:v>
                </c:pt>
                <c:pt idx="7">
                  <c:v>217.81535458163989</c:v>
                </c:pt>
                <c:pt idx="8">
                  <c:v>213.95245842115065</c:v>
                </c:pt>
                <c:pt idx="9">
                  <c:v>210.08956226066138</c:v>
                </c:pt>
                <c:pt idx="10">
                  <c:v>206.22666610017208</c:v>
                </c:pt>
                <c:pt idx="11">
                  <c:v>202.36376993966934</c:v>
                </c:pt>
                <c:pt idx="12">
                  <c:v>198.50087377918007</c:v>
                </c:pt>
                <c:pt idx="13">
                  <c:v>194.6379776186908</c:v>
                </c:pt>
                <c:pt idx="14">
                  <c:v>190.77508145818808</c:v>
                </c:pt>
                <c:pt idx="15">
                  <c:v>186.91218529771228</c:v>
                </c:pt>
                <c:pt idx="16">
                  <c:v>183.04928913720951</c:v>
                </c:pt>
                <c:pt idx="17">
                  <c:v>179.18639297670677</c:v>
                </c:pt>
                <c:pt idx="18">
                  <c:v>175.32349681623097</c:v>
                </c:pt>
                <c:pt idx="19">
                  <c:v>171.4606006557417</c:v>
                </c:pt>
                <c:pt idx="20">
                  <c:v>167.59770449523899</c:v>
                </c:pt>
                <c:pt idx="21">
                  <c:v>163.73480833474969</c:v>
                </c:pt>
                <c:pt idx="22">
                  <c:v>159.87191217424694</c:v>
                </c:pt>
                <c:pt idx="23">
                  <c:v>156.00901601377117</c:v>
                </c:pt>
                <c:pt idx="24">
                  <c:v>152.14611985325493</c:v>
                </c:pt>
                <c:pt idx="25">
                  <c:v>148.2832236927791</c:v>
                </c:pt>
                <c:pt idx="26">
                  <c:v>144.42032753228986</c:v>
                </c:pt>
                <c:pt idx="27">
                  <c:v>140.55743137177365</c:v>
                </c:pt>
                <c:pt idx="28">
                  <c:v>136.69453521132482</c:v>
                </c:pt>
                <c:pt idx="29">
                  <c:v>132.83163905080855</c:v>
                </c:pt>
                <c:pt idx="30">
                  <c:v>128.96874289033281</c:v>
                </c:pt>
                <c:pt idx="31">
                  <c:v>125.10584672983003</c:v>
                </c:pt>
                <c:pt idx="32">
                  <c:v>121.24295056934076</c:v>
                </c:pt>
                <c:pt idx="33">
                  <c:v>117.38005440883801</c:v>
                </c:pt>
                <c:pt idx="34">
                  <c:v>113.51715824834875</c:v>
                </c:pt>
                <c:pt idx="35">
                  <c:v>109.65426208784601</c:v>
                </c:pt>
                <c:pt idx="36">
                  <c:v>105.79136592735675</c:v>
                </c:pt>
                <c:pt idx="37">
                  <c:v>101.92846976688094</c:v>
                </c:pt>
                <c:pt idx="38">
                  <c:v>98.065573606391666</c:v>
                </c:pt>
                <c:pt idx="39">
                  <c:v>94.202677445902395</c:v>
                </c:pt>
                <c:pt idx="40">
                  <c:v>90.339781285399653</c:v>
                </c:pt>
                <c:pt idx="41">
                  <c:v>86.476885124910382</c:v>
                </c:pt>
                <c:pt idx="42">
                  <c:v>82.613988964407639</c:v>
                </c:pt>
                <c:pt idx="43">
                  <c:v>78.751092803918368</c:v>
                </c:pt>
                <c:pt idx="44">
                  <c:v>74.888196643415611</c:v>
                </c:pt>
                <c:pt idx="45">
                  <c:v>71.025300482926355</c:v>
                </c:pt>
                <c:pt idx="46">
                  <c:v>67.162404322423598</c:v>
                </c:pt>
                <c:pt idx="47">
                  <c:v>63.299508161947813</c:v>
                </c:pt>
                <c:pt idx="48">
                  <c:v>59.436612001472007</c:v>
                </c:pt>
                <c:pt idx="49">
                  <c:v>55.573715840969264</c:v>
                </c:pt>
                <c:pt idx="50">
                  <c:v>51.710819680479993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495-4A62-9571-892853E3761F}"/>
            </c:ext>
          </c:extLst>
        </c:ser>
        <c:ser>
          <c:idx val="19"/>
          <c:order val="19"/>
          <c:tx>
            <c:strRef>
              <c:f>グラフ!$AH$5</c:f>
              <c:strCache>
                <c:ptCount val="1"/>
                <c:pt idx="0">
                  <c:v>inner応力:Δ+20℃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グラフ!$AH$6:$AH$56</c:f>
              <c:numCache>
                <c:formatCode>0.0</c:formatCode>
                <c:ptCount val="51"/>
                <c:pt idx="0">
                  <c:v>226.96957463741998</c:v>
                </c:pt>
                <c:pt idx="1">
                  <c:v>223.10667847693074</c:v>
                </c:pt>
                <c:pt idx="2">
                  <c:v>219.24378231642797</c:v>
                </c:pt>
                <c:pt idx="3">
                  <c:v>215.3808861559387</c:v>
                </c:pt>
                <c:pt idx="4">
                  <c:v>211.51798999543593</c:v>
                </c:pt>
                <c:pt idx="5">
                  <c:v>207.65509383494668</c:v>
                </c:pt>
                <c:pt idx="6">
                  <c:v>203.79219767445741</c:v>
                </c:pt>
                <c:pt idx="7">
                  <c:v>199.92930151395467</c:v>
                </c:pt>
                <c:pt idx="8">
                  <c:v>196.06640535347887</c:v>
                </c:pt>
                <c:pt idx="9">
                  <c:v>192.2035091929896</c:v>
                </c:pt>
                <c:pt idx="10">
                  <c:v>188.34061303248683</c:v>
                </c:pt>
                <c:pt idx="11">
                  <c:v>184.47771687199759</c:v>
                </c:pt>
                <c:pt idx="12">
                  <c:v>180.61482071149484</c:v>
                </c:pt>
                <c:pt idx="13">
                  <c:v>176.75192455100557</c:v>
                </c:pt>
                <c:pt idx="14">
                  <c:v>172.8890283905163</c:v>
                </c:pt>
                <c:pt idx="15">
                  <c:v>169.026132230027</c:v>
                </c:pt>
                <c:pt idx="16">
                  <c:v>165.16323606953776</c:v>
                </c:pt>
                <c:pt idx="17">
                  <c:v>161.30033990904849</c:v>
                </c:pt>
                <c:pt idx="18">
                  <c:v>157.43744374855919</c:v>
                </c:pt>
                <c:pt idx="19">
                  <c:v>153.5745475880565</c:v>
                </c:pt>
                <c:pt idx="20">
                  <c:v>149.7116514275537</c:v>
                </c:pt>
                <c:pt idx="21">
                  <c:v>145.84875526707793</c:v>
                </c:pt>
                <c:pt idx="22">
                  <c:v>141.98585910656169</c:v>
                </c:pt>
                <c:pt idx="23">
                  <c:v>138.12296294608592</c:v>
                </c:pt>
                <c:pt idx="24">
                  <c:v>134.26006678558315</c:v>
                </c:pt>
                <c:pt idx="25">
                  <c:v>130.39717062509388</c:v>
                </c:pt>
                <c:pt idx="26">
                  <c:v>126.53427446463157</c:v>
                </c:pt>
                <c:pt idx="27">
                  <c:v>122.67137830411536</c:v>
                </c:pt>
                <c:pt idx="28">
                  <c:v>118.80848214363955</c:v>
                </c:pt>
                <c:pt idx="29">
                  <c:v>114.94558598313681</c:v>
                </c:pt>
                <c:pt idx="30">
                  <c:v>111.08268982264754</c:v>
                </c:pt>
                <c:pt idx="31">
                  <c:v>107.2197936621448</c:v>
                </c:pt>
                <c:pt idx="32">
                  <c:v>103.356897501669</c:v>
                </c:pt>
                <c:pt idx="33">
                  <c:v>99.494001341152767</c:v>
                </c:pt>
                <c:pt idx="34">
                  <c:v>95.631105180663511</c:v>
                </c:pt>
                <c:pt idx="35">
                  <c:v>91.768209020174226</c:v>
                </c:pt>
                <c:pt idx="36">
                  <c:v>87.905312859698427</c:v>
                </c:pt>
                <c:pt idx="37">
                  <c:v>84.04241669920917</c:v>
                </c:pt>
                <c:pt idx="38">
                  <c:v>80.179520538706413</c:v>
                </c:pt>
                <c:pt idx="39">
                  <c:v>76.316624378230628</c:v>
                </c:pt>
                <c:pt idx="40">
                  <c:v>72.453728217714399</c:v>
                </c:pt>
                <c:pt idx="41">
                  <c:v>68.590832057225128</c:v>
                </c:pt>
                <c:pt idx="42">
                  <c:v>64.727935896735858</c:v>
                </c:pt>
                <c:pt idx="43">
                  <c:v>60.865039736233115</c:v>
                </c:pt>
                <c:pt idx="44">
                  <c:v>57.002143575730365</c:v>
                </c:pt>
                <c:pt idx="45">
                  <c:v>53.139247415254573</c:v>
                </c:pt>
                <c:pt idx="46">
                  <c:v>49.276351254765309</c:v>
                </c:pt>
                <c:pt idx="47">
                  <c:v>45.413455094276038</c:v>
                </c:pt>
                <c:pt idx="48">
                  <c:v>41.550558933786768</c:v>
                </c:pt>
                <c:pt idx="49">
                  <c:v>37.687662773297497</c:v>
                </c:pt>
                <c:pt idx="50">
                  <c:v>33.824766612794747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495-4A62-9571-892853E3761F}"/>
            </c:ext>
          </c:extLst>
        </c:ser>
        <c:ser>
          <c:idx val="20"/>
          <c:order val="20"/>
          <c:tx>
            <c:strRef>
              <c:f>グラフ!$AI$5</c:f>
              <c:strCache>
                <c:ptCount val="1"/>
                <c:pt idx="0">
                  <c:v>inner応力:Δ+30℃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グラフ!$AI$6:$AI$56</c:f>
              <c:numCache>
                <c:formatCode>0.0</c:formatCode>
                <c:ptCount val="51"/>
                <c:pt idx="0">
                  <c:v>209.0835215697347</c:v>
                </c:pt>
                <c:pt idx="1">
                  <c:v>205.22062540925893</c:v>
                </c:pt>
                <c:pt idx="2">
                  <c:v>201.35772924875619</c:v>
                </c:pt>
                <c:pt idx="3">
                  <c:v>197.49483308825344</c:v>
                </c:pt>
                <c:pt idx="4">
                  <c:v>193.63193692776417</c:v>
                </c:pt>
                <c:pt idx="5">
                  <c:v>189.76904076726143</c:v>
                </c:pt>
                <c:pt idx="6">
                  <c:v>185.90614460678566</c:v>
                </c:pt>
                <c:pt idx="7">
                  <c:v>182.04324844628289</c:v>
                </c:pt>
                <c:pt idx="8">
                  <c:v>178.18035228579362</c:v>
                </c:pt>
                <c:pt idx="9">
                  <c:v>174.31745612531782</c:v>
                </c:pt>
                <c:pt idx="10">
                  <c:v>170.4545599648016</c:v>
                </c:pt>
                <c:pt idx="11">
                  <c:v>166.59166380431233</c:v>
                </c:pt>
                <c:pt idx="12">
                  <c:v>162.72876764382306</c:v>
                </c:pt>
                <c:pt idx="13">
                  <c:v>158.86587148332032</c:v>
                </c:pt>
                <c:pt idx="14">
                  <c:v>155.00297532284452</c:v>
                </c:pt>
                <c:pt idx="15">
                  <c:v>151.14007916236875</c:v>
                </c:pt>
                <c:pt idx="16">
                  <c:v>147.27718300186598</c:v>
                </c:pt>
                <c:pt idx="17">
                  <c:v>143.41428684136324</c:v>
                </c:pt>
                <c:pt idx="18">
                  <c:v>139.55139068087396</c:v>
                </c:pt>
                <c:pt idx="19">
                  <c:v>135.68849452038469</c:v>
                </c:pt>
                <c:pt idx="20">
                  <c:v>131.82559835986848</c:v>
                </c:pt>
                <c:pt idx="21">
                  <c:v>127.96270219939267</c:v>
                </c:pt>
                <c:pt idx="22">
                  <c:v>124.09980603888992</c:v>
                </c:pt>
                <c:pt idx="23">
                  <c:v>120.23690987840067</c:v>
                </c:pt>
                <c:pt idx="24">
                  <c:v>116.37401371792487</c:v>
                </c:pt>
                <c:pt idx="25">
                  <c:v>112.5111175574356</c:v>
                </c:pt>
                <c:pt idx="26">
                  <c:v>108.64822139694633</c:v>
                </c:pt>
                <c:pt idx="27">
                  <c:v>104.78532523644357</c:v>
                </c:pt>
                <c:pt idx="28">
                  <c:v>100.9224290759543</c:v>
                </c:pt>
                <c:pt idx="29">
                  <c:v>97.059532915451541</c:v>
                </c:pt>
                <c:pt idx="30">
                  <c:v>93.196636754975771</c:v>
                </c:pt>
                <c:pt idx="31">
                  <c:v>89.333740594459542</c:v>
                </c:pt>
                <c:pt idx="32">
                  <c:v>85.470844433983729</c:v>
                </c:pt>
                <c:pt idx="33">
                  <c:v>81.607948273481</c:v>
                </c:pt>
                <c:pt idx="34">
                  <c:v>77.745052113005201</c:v>
                </c:pt>
                <c:pt idx="35">
                  <c:v>73.882155952502458</c:v>
                </c:pt>
                <c:pt idx="36">
                  <c:v>70.019259792013173</c:v>
                </c:pt>
                <c:pt idx="37">
                  <c:v>66.156363631537403</c:v>
                </c:pt>
                <c:pt idx="38">
                  <c:v>62.293467471021167</c:v>
                </c:pt>
                <c:pt idx="39">
                  <c:v>58.430571310545368</c:v>
                </c:pt>
                <c:pt idx="40">
                  <c:v>54.567675150042632</c:v>
                </c:pt>
                <c:pt idx="41">
                  <c:v>50.704778989539889</c:v>
                </c:pt>
                <c:pt idx="42">
                  <c:v>46.841882829050618</c:v>
                </c:pt>
                <c:pt idx="43">
                  <c:v>42.97898666856134</c:v>
                </c:pt>
                <c:pt idx="44">
                  <c:v>39.116090508072077</c:v>
                </c:pt>
                <c:pt idx="45">
                  <c:v>35.253194347582806</c:v>
                </c:pt>
                <c:pt idx="46">
                  <c:v>31.390298187080059</c:v>
                </c:pt>
                <c:pt idx="47">
                  <c:v>27.527402026604268</c:v>
                </c:pt>
                <c:pt idx="48">
                  <c:v>23.664505866101514</c:v>
                </c:pt>
                <c:pt idx="49">
                  <c:v>19.801609705612247</c:v>
                </c:pt>
                <c:pt idx="50">
                  <c:v>15.93871354512298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D495-4A62-9571-892853E3761F}"/>
            </c:ext>
          </c:extLst>
        </c:ser>
        <c:ser>
          <c:idx val="21"/>
          <c:order val="21"/>
          <c:tx>
            <c:strRef>
              <c:f>グラフ!$AJ$5</c:f>
              <c:strCache>
                <c:ptCount val="1"/>
                <c:pt idx="0">
                  <c:v>inner降伏点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グラフ!$AJ$6:$AJ$56</c:f>
              <c:numCache>
                <c:formatCode>0.0</c:formatCode>
                <c:ptCount val="51"/>
                <c:pt idx="0">
                  <c:v>345</c:v>
                </c:pt>
                <c:pt idx="1">
                  <c:v>345</c:v>
                </c:pt>
                <c:pt idx="2">
                  <c:v>345</c:v>
                </c:pt>
                <c:pt idx="3">
                  <c:v>345</c:v>
                </c:pt>
                <c:pt idx="4">
                  <c:v>345</c:v>
                </c:pt>
                <c:pt idx="5">
                  <c:v>345</c:v>
                </c:pt>
                <c:pt idx="6">
                  <c:v>345</c:v>
                </c:pt>
                <c:pt idx="7">
                  <c:v>345</c:v>
                </c:pt>
                <c:pt idx="8">
                  <c:v>345</c:v>
                </c:pt>
                <c:pt idx="9">
                  <c:v>345</c:v>
                </c:pt>
                <c:pt idx="10">
                  <c:v>345</c:v>
                </c:pt>
                <c:pt idx="11">
                  <c:v>345</c:v>
                </c:pt>
                <c:pt idx="12">
                  <c:v>345</c:v>
                </c:pt>
                <c:pt idx="13">
                  <c:v>345</c:v>
                </c:pt>
                <c:pt idx="14">
                  <c:v>345</c:v>
                </c:pt>
                <c:pt idx="15">
                  <c:v>345</c:v>
                </c:pt>
                <c:pt idx="16">
                  <c:v>345</c:v>
                </c:pt>
                <c:pt idx="17">
                  <c:v>345</c:v>
                </c:pt>
                <c:pt idx="18">
                  <c:v>345</c:v>
                </c:pt>
                <c:pt idx="19">
                  <c:v>345</c:v>
                </c:pt>
                <c:pt idx="20">
                  <c:v>345</c:v>
                </c:pt>
                <c:pt idx="21">
                  <c:v>345</c:v>
                </c:pt>
                <c:pt idx="22">
                  <c:v>345</c:v>
                </c:pt>
                <c:pt idx="23">
                  <c:v>345</c:v>
                </c:pt>
                <c:pt idx="24">
                  <c:v>345</c:v>
                </c:pt>
                <c:pt idx="25">
                  <c:v>345</c:v>
                </c:pt>
                <c:pt idx="26">
                  <c:v>345</c:v>
                </c:pt>
                <c:pt idx="27">
                  <c:v>345</c:v>
                </c:pt>
                <c:pt idx="28">
                  <c:v>345</c:v>
                </c:pt>
                <c:pt idx="29">
                  <c:v>345</c:v>
                </c:pt>
                <c:pt idx="30">
                  <c:v>345</c:v>
                </c:pt>
                <c:pt idx="31">
                  <c:v>345</c:v>
                </c:pt>
                <c:pt idx="32">
                  <c:v>345</c:v>
                </c:pt>
                <c:pt idx="33">
                  <c:v>345</c:v>
                </c:pt>
                <c:pt idx="34">
                  <c:v>345</c:v>
                </c:pt>
                <c:pt idx="35">
                  <c:v>345</c:v>
                </c:pt>
                <c:pt idx="36">
                  <c:v>345</c:v>
                </c:pt>
                <c:pt idx="37">
                  <c:v>345</c:v>
                </c:pt>
                <c:pt idx="38">
                  <c:v>345</c:v>
                </c:pt>
                <c:pt idx="39">
                  <c:v>345</c:v>
                </c:pt>
                <c:pt idx="40">
                  <c:v>345</c:v>
                </c:pt>
                <c:pt idx="41">
                  <c:v>345</c:v>
                </c:pt>
                <c:pt idx="42">
                  <c:v>345</c:v>
                </c:pt>
                <c:pt idx="43">
                  <c:v>345</c:v>
                </c:pt>
                <c:pt idx="44">
                  <c:v>345</c:v>
                </c:pt>
                <c:pt idx="45">
                  <c:v>345</c:v>
                </c:pt>
                <c:pt idx="46">
                  <c:v>345</c:v>
                </c:pt>
                <c:pt idx="47">
                  <c:v>345</c:v>
                </c:pt>
                <c:pt idx="48">
                  <c:v>345</c:v>
                </c:pt>
                <c:pt idx="49">
                  <c:v>345</c:v>
                </c:pt>
                <c:pt idx="50">
                  <c:v>345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5-D495-4A62-9571-892853E37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419104"/>
        <c:axId val="187840121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グラフ!$O$5</c15:sqref>
                        </c15:formulaRef>
                      </c:ext>
                    </c:extLst>
                    <c:strCache>
                      <c:ptCount val="1"/>
                      <c:pt idx="0">
                        <c:v>締め代：Δ-30℃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グラフ!$O$6:$O$56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0.16679667000000364</c:v>
                      </c:pt>
                      <c:pt idx="1">
                        <c:v>0.16476026499999818</c:v>
                      </c:pt>
                      <c:pt idx="2">
                        <c:v>0.16272385999999983</c:v>
                      </c:pt>
                      <c:pt idx="3">
                        <c:v>0.16068745500000148</c:v>
                      </c:pt>
                      <c:pt idx="4">
                        <c:v>0.15865104999999602</c:v>
                      </c:pt>
                      <c:pt idx="5">
                        <c:v>0.15661464499999767</c:v>
                      </c:pt>
                      <c:pt idx="6">
                        <c:v>0.15457823999999931</c:v>
                      </c:pt>
                      <c:pt idx="7">
                        <c:v>0.15254183499999385</c:v>
                      </c:pt>
                      <c:pt idx="8">
                        <c:v>0.1505054300000026</c:v>
                      </c:pt>
                      <c:pt idx="9">
                        <c:v>0.14846902500000425</c:v>
                      </c:pt>
                      <c:pt idx="10">
                        <c:v>0.14643261999999879</c:v>
                      </c:pt>
                      <c:pt idx="11">
                        <c:v>0.14439621500000044</c:v>
                      </c:pt>
                      <c:pt idx="12">
                        <c:v>0.14235980999999498</c:v>
                      </c:pt>
                      <c:pt idx="13">
                        <c:v>0.14032340500000373</c:v>
                      </c:pt>
                      <c:pt idx="14">
                        <c:v>0.13828699999999827</c:v>
                      </c:pt>
                      <c:pt idx="15">
                        <c:v>0.13625059500000702</c:v>
                      </c:pt>
                      <c:pt idx="16">
                        <c:v>0.13421419000000157</c:v>
                      </c:pt>
                      <c:pt idx="17">
                        <c:v>0.13217778499999611</c:v>
                      </c:pt>
                      <c:pt idx="18">
                        <c:v>0.13014138000000486</c:v>
                      </c:pt>
                      <c:pt idx="19">
                        <c:v>0.1281049749999994</c:v>
                      </c:pt>
                      <c:pt idx="20">
                        <c:v>0.12606856999999394</c:v>
                      </c:pt>
                      <c:pt idx="21">
                        <c:v>0.12403216500000269</c:v>
                      </c:pt>
                      <c:pt idx="22">
                        <c:v>0.12199575999999013</c:v>
                      </c:pt>
                      <c:pt idx="23">
                        <c:v>0.11995935499999888</c:v>
                      </c:pt>
                      <c:pt idx="24">
                        <c:v>0.11792294999999342</c:v>
                      </c:pt>
                      <c:pt idx="25">
                        <c:v>0.11588654499999507</c:v>
                      </c:pt>
                      <c:pt idx="26">
                        <c:v>0.11385014000000382</c:v>
                      </c:pt>
                      <c:pt idx="27">
                        <c:v>0.11181373499999836</c:v>
                      </c:pt>
                      <c:pt idx="28">
                        <c:v>0.10977733000000711</c:v>
                      </c:pt>
                      <c:pt idx="29">
                        <c:v>0.10774092499999455</c:v>
                      </c:pt>
                      <c:pt idx="30">
                        <c:v>0.1057045200000033</c:v>
                      </c:pt>
                      <c:pt idx="31">
                        <c:v>0.10366811499999784</c:v>
                      </c:pt>
                      <c:pt idx="32">
                        <c:v>0.10163170999999949</c:v>
                      </c:pt>
                      <c:pt idx="33">
                        <c:v>9.9595304999994028E-2</c:v>
                      </c:pt>
                      <c:pt idx="34">
                        <c:v>9.7558899999995674E-2</c:v>
                      </c:pt>
                      <c:pt idx="35">
                        <c:v>9.5522494999990215E-2</c:v>
                      </c:pt>
                      <c:pt idx="36">
                        <c:v>9.3486090000006072E-2</c:v>
                      </c:pt>
                      <c:pt idx="37">
                        <c:v>9.1449685000007719E-2</c:v>
                      </c:pt>
                      <c:pt idx="38">
                        <c:v>8.941328000000226E-2</c:v>
                      </c:pt>
                      <c:pt idx="39">
                        <c:v>8.7376875000011012E-2</c:v>
                      </c:pt>
                      <c:pt idx="40">
                        <c:v>8.5340469999998447E-2</c:v>
                      </c:pt>
                      <c:pt idx="41">
                        <c:v>8.3304065000000094E-2</c:v>
                      </c:pt>
                      <c:pt idx="42">
                        <c:v>8.126766000000174E-2</c:v>
                      </c:pt>
                      <c:pt idx="43">
                        <c:v>7.9231254999996281E-2</c:v>
                      </c:pt>
                      <c:pt idx="44">
                        <c:v>7.7194849999990822E-2</c:v>
                      </c:pt>
                      <c:pt idx="45">
                        <c:v>7.5158444999999574E-2</c:v>
                      </c:pt>
                      <c:pt idx="46">
                        <c:v>7.3122040000001221E-2</c:v>
                      </c:pt>
                      <c:pt idx="47">
                        <c:v>7.1085635000002867E-2</c:v>
                      </c:pt>
                      <c:pt idx="48">
                        <c:v>6.9049230000004513E-2</c:v>
                      </c:pt>
                      <c:pt idx="49">
                        <c:v>6.701282500000616E-2</c:v>
                      </c:pt>
                      <c:pt idx="50">
                        <c:v>6.4976420000000701E-2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D495-4A62-9571-892853E3761F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グラフ!$P$5</c15:sqref>
                        </c15:formulaRef>
                      </c:ext>
                    </c:extLst>
                    <c:strCache>
                      <c:ptCount val="1"/>
                      <c:pt idx="0">
                        <c:v>締め代：Δ-20℃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グラフ!$P$6:$P$56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0.15736766999999929</c:v>
                      </c:pt>
                      <c:pt idx="1">
                        <c:v>0.15533126500000805</c:v>
                      </c:pt>
                      <c:pt idx="2">
                        <c:v>0.15329486000000259</c:v>
                      </c:pt>
                      <c:pt idx="3">
                        <c:v>0.15125845499999713</c:v>
                      </c:pt>
                      <c:pt idx="4">
                        <c:v>0.14922204999999877</c:v>
                      </c:pt>
                      <c:pt idx="5">
                        <c:v>0.14718564499999331</c:v>
                      </c:pt>
                      <c:pt idx="6">
                        <c:v>0.14514924000000207</c:v>
                      </c:pt>
                      <c:pt idx="7">
                        <c:v>0.14311283499999661</c:v>
                      </c:pt>
                      <c:pt idx="8">
                        <c:v>0.14107642999999825</c:v>
                      </c:pt>
                      <c:pt idx="9">
                        <c:v>0.13904002500000701</c:v>
                      </c:pt>
                      <c:pt idx="10">
                        <c:v>0.13700361999999444</c:v>
                      </c:pt>
                      <c:pt idx="11">
                        <c:v>0.13496721500000319</c:v>
                      </c:pt>
                      <c:pt idx="12">
                        <c:v>0.13293080999999773</c:v>
                      </c:pt>
                      <c:pt idx="13">
                        <c:v>0.13089440499999938</c:v>
                      </c:pt>
                      <c:pt idx="14">
                        <c:v>0.12885800000000103</c:v>
                      </c:pt>
                      <c:pt idx="15">
                        <c:v>0.12682159500000267</c:v>
                      </c:pt>
                      <c:pt idx="16">
                        <c:v>0.12478519000000432</c:v>
                      </c:pt>
                      <c:pt idx="17">
                        <c:v>0.12274878499999886</c:v>
                      </c:pt>
                      <c:pt idx="18">
                        <c:v>0.12071238000000051</c:v>
                      </c:pt>
                      <c:pt idx="19">
                        <c:v>0.11867597500000215</c:v>
                      </c:pt>
                      <c:pt idx="20">
                        <c:v>0.11663956999998959</c:v>
                      </c:pt>
                      <c:pt idx="21">
                        <c:v>0.11460316499999834</c:v>
                      </c:pt>
                      <c:pt idx="22">
                        <c:v>0.11256675999999288</c:v>
                      </c:pt>
                      <c:pt idx="23">
                        <c:v>0.11053035499999453</c:v>
                      </c:pt>
                      <c:pt idx="24">
                        <c:v>0.10849394999999618</c:v>
                      </c:pt>
                      <c:pt idx="25">
                        <c:v>0.10645754500000493</c:v>
                      </c:pt>
                      <c:pt idx="26">
                        <c:v>0.10442114000000657</c:v>
                      </c:pt>
                      <c:pt idx="27">
                        <c:v>0.10238473499999401</c:v>
                      </c:pt>
                      <c:pt idx="28">
                        <c:v>0.10034833000000276</c:v>
                      </c:pt>
                      <c:pt idx="29">
                        <c:v>9.8311924999997302E-2</c:v>
                      </c:pt>
                      <c:pt idx="30">
                        <c:v>9.6275519999998949E-2</c:v>
                      </c:pt>
                      <c:pt idx="31">
                        <c:v>9.423911499999349E-2</c:v>
                      </c:pt>
                      <c:pt idx="32">
                        <c:v>9.2202710000002241E-2</c:v>
                      </c:pt>
                      <c:pt idx="33">
                        <c:v>9.0166304999989677E-2</c:v>
                      </c:pt>
                      <c:pt idx="34">
                        <c:v>8.8129900000005534E-2</c:v>
                      </c:pt>
                      <c:pt idx="35">
                        <c:v>8.6093495000000075E-2</c:v>
                      </c:pt>
                      <c:pt idx="36">
                        <c:v>8.4057090000001722E-2</c:v>
                      </c:pt>
                      <c:pt idx="37">
                        <c:v>8.2020685000010474E-2</c:v>
                      </c:pt>
                      <c:pt idx="38">
                        <c:v>7.9984279999997909E-2</c:v>
                      </c:pt>
                      <c:pt idx="39">
                        <c:v>7.7947875000006661E-2</c:v>
                      </c:pt>
                      <c:pt idx="40">
                        <c:v>7.5911470000001202E-2</c:v>
                      </c:pt>
                      <c:pt idx="41">
                        <c:v>7.3875064999995743E-2</c:v>
                      </c:pt>
                      <c:pt idx="42">
                        <c:v>7.183865999999739E-2</c:v>
                      </c:pt>
                      <c:pt idx="43">
                        <c:v>6.9802254999999036E-2</c:v>
                      </c:pt>
                      <c:pt idx="44">
                        <c:v>6.7765850000000682E-2</c:v>
                      </c:pt>
                      <c:pt idx="45">
                        <c:v>6.5729445000002329E-2</c:v>
                      </c:pt>
                      <c:pt idx="46">
                        <c:v>6.369303999999687E-2</c:v>
                      </c:pt>
                      <c:pt idx="47">
                        <c:v>6.1656635000005622E-2</c:v>
                      </c:pt>
                      <c:pt idx="48">
                        <c:v>5.9620230000000163E-2</c:v>
                      </c:pt>
                      <c:pt idx="49">
                        <c:v>5.7583825000001809E-2</c:v>
                      </c:pt>
                      <c:pt idx="50">
                        <c:v>5.5547420000003456E-2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495-4A62-9571-892853E3761F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グラフ!$Q$5</c15:sqref>
                        </c15:formulaRef>
                      </c:ext>
                    </c:extLst>
                    <c:strCache>
                      <c:ptCount val="1"/>
                      <c:pt idx="0">
                        <c:v>締め代：Δ-10℃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グラフ!$Q$6:$Q$56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0.14793867000000205</c:v>
                      </c:pt>
                      <c:pt idx="1">
                        <c:v>0.14590226500000369</c:v>
                      </c:pt>
                      <c:pt idx="2">
                        <c:v>0.14386586000000534</c:v>
                      </c:pt>
                      <c:pt idx="3">
                        <c:v>0.14182945499999278</c:v>
                      </c:pt>
                      <c:pt idx="4">
                        <c:v>0.13979305000000153</c:v>
                      </c:pt>
                      <c:pt idx="5">
                        <c:v>0.13775664499999607</c:v>
                      </c:pt>
                      <c:pt idx="6">
                        <c:v>0.13572023999999772</c:v>
                      </c:pt>
                      <c:pt idx="7">
                        <c:v>0.13368383499999936</c:v>
                      </c:pt>
                      <c:pt idx="8">
                        <c:v>0.1316474299999939</c:v>
                      </c:pt>
                      <c:pt idx="9">
                        <c:v>0.12961102500000976</c:v>
                      </c:pt>
                      <c:pt idx="10">
                        <c:v>0.1275746199999972</c:v>
                      </c:pt>
                      <c:pt idx="11">
                        <c:v>0.12553821499999884</c:v>
                      </c:pt>
                      <c:pt idx="12">
                        <c:v>0.12350181000000049</c:v>
                      </c:pt>
                      <c:pt idx="13">
                        <c:v>0.12146540499999503</c:v>
                      </c:pt>
                      <c:pt idx="14">
                        <c:v>0.11942900000000378</c:v>
                      </c:pt>
                      <c:pt idx="15">
                        <c:v>0.11739259500000543</c:v>
                      </c:pt>
                      <c:pt idx="16">
                        <c:v>0.11535618999999997</c:v>
                      </c:pt>
                      <c:pt idx="17">
                        <c:v>0.11331978500000162</c:v>
                      </c:pt>
                      <c:pt idx="18">
                        <c:v>0.11128337999999616</c:v>
                      </c:pt>
                      <c:pt idx="19">
                        <c:v>0.1092469749999978</c:v>
                      </c:pt>
                      <c:pt idx="20">
                        <c:v>0.10721056999999234</c:v>
                      </c:pt>
                      <c:pt idx="21">
                        <c:v>0.10517416499999399</c:v>
                      </c:pt>
                      <c:pt idx="22">
                        <c:v>0.10313775999999564</c:v>
                      </c:pt>
                      <c:pt idx="23">
                        <c:v>0.10110135500000439</c:v>
                      </c:pt>
                      <c:pt idx="24">
                        <c:v>9.906494999999893E-2</c:v>
                      </c:pt>
                      <c:pt idx="25">
                        <c:v>9.7028545000000577E-2</c:v>
                      </c:pt>
                      <c:pt idx="26">
                        <c:v>9.4992140000002223E-2</c:v>
                      </c:pt>
                      <c:pt idx="27">
                        <c:v>9.2955734999996764E-2</c:v>
                      </c:pt>
                      <c:pt idx="28">
                        <c:v>9.0919329999998411E-2</c:v>
                      </c:pt>
                      <c:pt idx="29">
                        <c:v>8.8882924999992952E-2</c:v>
                      </c:pt>
                      <c:pt idx="30">
                        <c:v>8.6846520000001703E-2</c:v>
                      </c:pt>
                      <c:pt idx="31">
                        <c:v>8.4810114999989139E-2</c:v>
                      </c:pt>
                      <c:pt idx="32">
                        <c:v>8.2773710000012102E-2</c:v>
                      </c:pt>
                      <c:pt idx="33">
                        <c:v>8.0737304999999537E-2</c:v>
                      </c:pt>
                      <c:pt idx="34">
                        <c:v>7.8700900000001184E-2</c:v>
                      </c:pt>
                      <c:pt idx="35">
                        <c:v>7.666449500000283E-2</c:v>
                      </c:pt>
                      <c:pt idx="36">
                        <c:v>7.4628089999997371E-2</c:v>
                      </c:pt>
                      <c:pt idx="37">
                        <c:v>7.2591685000006123E-2</c:v>
                      </c:pt>
                      <c:pt idx="38">
                        <c:v>7.0555280000000664E-2</c:v>
                      </c:pt>
                      <c:pt idx="39">
                        <c:v>6.8518875000002311E-2</c:v>
                      </c:pt>
                      <c:pt idx="40">
                        <c:v>6.6482469999996852E-2</c:v>
                      </c:pt>
                      <c:pt idx="41">
                        <c:v>6.4446064999998498E-2</c:v>
                      </c:pt>
                      <c:pt idx="42">
                        <c:v>6.240966000000725E-2</c:v>
                      </c:pt>
                      <c:pt idx="43">
                        <c:v>6.0373255000001791E-2</c:v>
                      </c:pt>
                      <c:pt idx="44">
                        <c:v>5.8336849999996332E-2</c:v>
                      </c:pt>
                      <c:pt idx="45">
                        <c:v>5.6300445000005084E-2</c:v>
                      </c:pt>
                      <c:pt idx="46">
                        <c:v>5.4264039999992519E-2</c:v>
                      </c:pt>
                      <c:pt idx="47">
                        <c:v>5.2227635000001271E-2</c:v>
                      </c:pt>
                      <c:pt idx="48">
                        <c:v>5.0191230000002918E-2</c:v>
                      </c:pt>
                      <c:pt idx="49">
                        <c:v>4.8154824999997459E-2</c:v>
                      </c:pt>
                      <c:pt idx="50">
                        <c:v>4.6118419999999105E-2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495-4A62-9571-892853E3761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グラフ!$R$5</c15:sqref>
                        </c15:formulaRef>
                      </c:ext>
                    </c:extLst>
                    <c:strCache>
                      <c:ptCount val="1"/>
                      <c:pt idx="0">
                        <c:v>締め代：Δ0℃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グラフ!$R$6:$R$56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0.1385096700000048</c:v>
                      </c:pt>
                      <c:pt idx="1">
                        <c:v>0.13647326499999934</c:v>
                      </c:pt>
                      <c:pt idx="2">
                        <c:v>0.1344368600000081</c:v>
                      </c:pt>
                      <c:pt idx="3">
                        <c:v>0.13240045499999553</c:v>
                      </c:pt>
                      <c:pt idx="4">
                        <c:v>0.13036404999999718</c:v>
                      </c:pt>
                      <c:pt idx="5">
                        <c:v>0.12832764499999882</c:v>
                      </c:pt>
                      <c:pt idx="6">
                        <c:v>0.12629123999999337</c:v>
                      </c:pt>
                      <c:pt idx="7">
                        <c:v>0.12425483500000212</c:v>
                      </c:pt>
                      <c:pt idx="8">
                        <c:v>0.12221842999999666</c:v>
                      </c:pt>
                      <c:pt idx="9">
                        <c:v>0.12018202500000541</c:v>
                      </c:pt>
                      <c:pt idx="10">
                        <c:v>0.11814561999999995</c:v>
                      </c:pt>
                      <c:pt idx="11">
                        <c:v>0.11610921499999449</c:v>
                      </c:pt>
                      <c:pt idx="12">
                        <c:v>0.11407281000000324</c:v>
                      </c:pt>
                      <c:pt idx="13">
                        <c:v>0.11203640499999779</c:v>
                      </c:pt>
                      <c:pt idx="14">
                        <c:v>0.10999999999999943</c:v>
                      </c:pt>
                      <c:pt idx="15">
                        <c:v>0.10796359500000818</c:v>
                      </c:pt>
                      <c:pt idx="16">
                        <c:v>0.10592718999999562</c:v>
                      </c:pt>
                      <c:pt idx="17">
                        <c:v>0.10389078499999727</c:v>
                      </c:pt>
                      <c:pt idx="18">
                        <c:v>0.10185437999999891</c:v>
                      </c:pt>
                      <c:pt idx="19">
                        <c:v>9.9817974999993453E-2</c:v>
                      </c:pt>
                      <c:pt idx="20">
                        <c:v>9.7781569999995099E-2</c:v>
                      </c:pt>
                      <c:pt idx="21">
                        <c:v>9.5745165000003851E-2</c:v>
                      </c:pt>
                      <c:pt idx="22">
                        <c:v>9.3708759999998392E-2</c:v>
                      </c:pt>
                      <c:pt idx="23">
                        <c:v>9.1672355000000039E-2</c:v>
                      </c:pt>
                      <c:pt idx="24">
                        <c:v>8.963594999999458E-2</c:v>
                      </c:pt>
                      <c:pt idx="25">
                        <c:v>8.7599545000003332E-2</c:v>
                      </c:pt>
                      <c:pt idx="26">
                        <c:v>8.5563139999997873E-2</c:v>
                      </c:pt>
                      <c:pt idx="27">
                        <c:v>8.3526734999992414E-2</c:v>
                      </c:pt>
                      <c:pt idx="28">
                        <c:v>8.1490330000001165E-2</c:v>
                      </c:pt>
                      <c:pt idx="29">
                        <c:v>7.9453924999988601E-2</c:v>
                      </c:pt>
                      <c:pt idx="30">
                        <c:v>7.7417520000011564E-2</c:v>
                      </c:pt>
                      <c:pt idx="31">
                        <c:v>7.5381114999998999E-2</c:v>
                      </c:pt>
                      <c:pt idx="32">
                        <c:v>7.3344710000007751E-2</c:v>
                      </c:pt>
                      <c:pt idx="33">
                        <c:v>7.1308305000002292E-2</c:v>
                      </c:pt>
                      <c:pt idx="34">
                        <c:v>6.9271899999996833E-2</c:v>
                      </c:pt>
                      <c:pt idx="35">
                        <c:v>6.723549499999848E-2</c:v>
                      </c:pt>
                      <c:pt idx="36">
                        <c:v>6.5199090000000126E-2</c:v>
                      </c:pt>
                      <c:pt idx="37">
                        <c:v>6.3162685000001773E-2</c:v>
                      </c:pt>
                      <c:pt idx="38">
                        <c:v>6.1126279999996314E-2</c:v>
                      </c:pt>
                      <c:pt idx="39">
                        <c:v>5.9089875000005065E-2</c:v>
                      </c:pt>
                      <c:pt idx="40">
                        <c:v>5.7053470000006712E-2</c:v>
                      </c:pt>
                      <c:pt idx="41">
                        <c:v>5.5017065000001253E-2</c:v>
                      </c:pt>
                      <c:pt idx="42">
                        <c:v>5.2980660000002899E-2</c:v>
                      </c:pt>
                      <c:pt idx="43">
                        <c:v>5.0944255000004546E-2</c:v>
                      </c:pt>
                      <c:pt idx="44">
                        <c:v>4.8907849999991981E-2</c:v>
                      </c:pt>
                      <c:pt idx="45">
                        <c:v>4.6871445000000733E-2</c:v>
                      </c:pt>
                      <c:pt idx="46">
                        <c:v>4.4835039999995274E-2</c:v>
                      </c:pt>
                      <c:pt idx="47">
                        <c:v>4.2798634999996921E-2</c:v>
                      </c:pt>
                      <c:pt idx="48">
                        <c:v>4.0762229999998567E-2</c:v>
                      </c:pt>
                      <c:pt idx="49">
                        <c:v>3.8725825000000214E-2</c:v>
                      </c:pt>
                      <c:pt idx="50">
                        <c:v>3.6689420000008965E-2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495-4A62-9571-892853E3761F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グラフ!$S$5</c15:sqref>
                        </c15:formulaRef>
                      </c:ext>
                    </c:extLst>
                    <c:strCache>
                      <c:ptCount val="1"/>
                      <c:pt idx="0">
                        <c:v>締め代：Δ+10℃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グラフ!$S$6:$S$56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0.12908067000000756</c:v>
                      </c:pt>
                      <c:pt idx="1">
                        <c:v>0.1270442650000021</c:v>
                      </c:pt>
                      <c:pt idx="2">
                        <c:v>0.12500786000000375</c:v>
                      </c:pt>
                      <c:pt idx="3">
                        <c:v>0.12297145499999829</c:v>
                      </c:pt>
                      <c:pt idx="4">
                        <c:v>0.12093504999999283</c:v>
                      </c:pt>
                      <c:pt idx="5">
                        <c:v>0.11889864500000158</c:v>
                      </c:pt>
                      <c:pt idx="6">
                        <c:v>0.11686223999999612</c:v>
                      </c:pt>
                      <c:pt idx="7">
                        <c:v>0.11482583499999777</c:v>
                      </c:pt>
                      <c:pt idx="8">
                        <c:v>0.11278942999999941</c:v>
                      </c:pt>
                      <c:pt idx="9">
                        <c:v>0.11075302500000106</c:v>
                      </c:pt>
                      <c:pt idx="10">
                        <c:v>0.10871662000000271</c:v>
                      </c:pt>
                      <c:pt idx="11">
                        <c:v>0.10668021499999725</c:v>
                      </c:pt>
                      <c:pt idx="12">
                        <c:v>0.10464380999999889</c:v>
                      </c:pt>
                      <c:pt idx="13">
                        <c:v>0.10260740500000054</c:v>
                      </c:pt>
                      <c:pt idx="14">
                        <c:v>0.10057099999999508</c:v>
                      </c:pt>
                      <c:pt idx="15">
                        <c:v>9.8534595000003833E-2</c:v>
                      </c:pt>
                      <c:pt idx="16">
                        <c:v>9.6498189999998374E-2</c:v>
                      </c:pt>
                      <c:pt idx="17">
                        <c:v>9.4461784999992915E-2</c:v>
                      </c:pt>
                      <c:pt idx="18">
                        <c:v>9.2425380000001667E-2</c:v>
                      </c:pt>
                      <c:pt idx="19">
                        <c:v>9.0388975000003313E-2</c:v>
                      </c:pt>
                      <c:pt idx="20">
                        <c:v>8.8352569999997854E-2</c:v>
                      </c:pt>
                      <c:pt idx="21">
                        <c:v>8.6316164999999501E-2</c:v>
                      </c:pt>
                      <c:pt idx="22">
                        <c:v>8.4279759999994042E-2</c:v>
                      </c:pt>
                      <c:pt idx="23">
                        <c:v>8.2243355000002794E-2</c:v>
                      </c:pt>
                      <c:pt idx="24">
                        <c:v>8.0206949999990229E-2</c:v>
                      </c:pt>
                      <c:pt idx="25">
                        <c:v>7.8170544999998981E-2</c:v>
                      </c:pt>
                      <c:pt idx="26">
                        <c:v>7.6134140000000627E-2</c:v>
                      </c:pt>
                      <c:pt idx="27">
                        <c:v>7.4097734999988063E-2</c:v>
                      </c:pt>
                      <c:pt idx="28">
                        <c:v>7.2061330000011026E-2</c:v>
                      </c:pt>
                      <c:pt idx="29">
                        <c:v>7.0024924999998461E-2</c:v>
                      </c:pt>
                      <c:pt idx="30">
                        <c:v>6.7988520000007213E-2</c:v>
                      </c:pt>
                      <c:pt idx="31">
                        <c:v>6.5952115000001754E-2</c:v>
                      </c:pt>
                      <c:pt idx="32">
                        <c:v>6.3915710000003401E-2</c:v>
                      </c:pt>
                      <c:pt idx="33">
                        <c:v>6.1879304999997942E-2</c:v>
                      </c:pt>
                      <c:pt idx="34">
                        <c:v>5.9842899999999588E-2</c:v>
                      </c:pt>
                      <c:pt idx="35">
                        <c:v>5.7806494999994129E-2</c:v>
                      </c:pt>
                      <c:pt idx="36">
                        <c:v>5.5770089999995776E-2</c:v>
                      </c:pt>
                      <c:pt idx="37">
                        <c:v>5.3733685000004527E-2</c:v>
                      </c:pt>
                      <c:pt idx="38">
                        <c:v>5.1697280000006174E-2</c:v>
                      </c:pt>
                      <c:pt idx="39">
                        <c:v>4.966087500000782E-2</c:v>
                      </c:pt>
                      <c:pt idx="40">
                        <c:v>4.7624470000002361E-2</c:v>
                      </c:pt>
                      <c:pt idx="41">
                        <c:v>4.5588065000004008E-2</c:v>
                      </c:pt>
                      <c:pt idx="42">
                        <c:v>4.3551659999998549E-2</c:v>
                      </c:pt>
                      <c:pt idx="43">
                        <c:v>4.1515255000000195E-2</c:v>
                      </c:pt>
                      <c:pt idx="44">
                        <c:v>3.9478849999994736E-2</c:v>
                      </c:pt>
                      <c:pt idx="45">
                        <c:v>3.7442444999996383E-2</c:v>
                      </c:pt>
                      <c:pt idx="46">
                        <c:v>3.5406039999990924E-2</c:v>
                      </c:pt>
                      <c:pt idx="47">
                        <c:v>3.3369634999999676E-2</c:v>
                      </c:pt>
                      <c:pt idx="48">
                        <c:v>3.1333230000008427E-2</c:v>
                      </c:pt>
                      <c:pt idx="49">
                        <c:v>2.9296825000002968E-2</c:v>
                      </c:pt>
                      <c:pt idx="50">
                        <c:v>2.7260420000004615E-2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495-4A62-9571-892853E3761F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グラフ!$T$5</c15:sqref>
                        </c15:formulaRef>
                      </c:ext>
                    </c:extLst>
                    <c:strCache>
                      <c:ptCount val="1"/>
                      <c:pt idx="0">
                        <c:v>締め代：Δ+20℃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グラフ!$T$6:$T$56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0.11965167000000321</c:v>
                      </c:pt>
                      <c:pt idx="1">
                        <c:v>0.11761526500000485</c:v>
                      </c:pt>
                      <c:pt idx="2">
                        <c:v>0.11557885999999939</c:v>
                      </c:pt>
                      <c:pt idx="3">
                        <c:v>0.11354245500000104</c:v>
                      </c:pt>
                      <c:pt idx="4">
                        <c:v>0.11150604999999558</c:v>
                      </c:pt>
                      <c:pt idx="5">
                        <c:v>0.10946964499999723</c:v>
                      </c:pt>
                      <c:pt idx="6">
                        <c:v>0.10743323999999888</c:v>
                      </c:pt>
                      <c:pt idx="7">
                        <c:v>0.10539683499999342</c:v>
                      </c:pt>
                      <c:pt idx="8">
                        <c:v>0.10336043000000217</c:v>
                      </c:pt>
                      <c:pt idx="9">
                        <c:v>0.10132402500000381</c:v>
                      </c:pt>
                      <c:pt idx="10">
                        <c:v>9.9287619999998356E-2</c:v>
                      </c:pt>
                      <c:pt idx="11">
                        <c:v>9.7251215000000002E-2</c:v>
                      </c:pt>
                      <c:pt idx="12">
                        <c:v>9.5214809999994543E-2</c:v>
                      </c:pt>
                      <c:pt idx="13">
                        <c:v>9.3178404999996189E-2</c:v>
                      </c:pt>
                      <c:pt idx="14">
                        <c:v>9.1141999999997836E-2</c:v>
                      </c:pt>
                      <c:pt idx="15">
                        <c:v>8.9105594999999482E-2</c:v>
                      </c:pt>
                      <c:pt idx="16">
                        <c:v>8.7069190000001129E-2</c:v>
                      </c:pt>
                      <c:pt idx="17">
                        <c:v>8.5032785000002775E-2</c:v>
                      </c:pt>
                      <c:pt idx="18">
                        <c:v>8.2996380000004422E-2</c:v>
                      </c:pt>
                      <c:pt idx="19">
                        <c:v>8.0959974999998963E-2</c:v>
                      </c:pt>
                      <c:pt idx="20">
                        <c:v>7.8923569999993504E-2</c:v>
                      </c:pt>
                      <c:pt idx="21">
                        <c:v>7.6887165000002256E-2</c:v>
                      </c:pt>
                      <c:pt idx="22">
                        <c:v>7.4850759999989691E-2</c:v>
                      </c:pt>
                      <c:pt idx="23">
                        <c:v>7.2814354999998443E-2</c:v>
                      </c:pt>
                      <c:pt idx="24">
                        <c:v>7.0777949999992984E-2</c:v>
                      </c:pt>
                      <c:pt idx="25">
                        <c:v>6.874154499999463E-2</c:v>
                      </c:pt>
                      <c:pt idx="26">
                        <c:v>6.6705140000010488E-2</c:v>
                      </c:pt>
                      <c:pt idx="27">
                        <c:v>6.4668734999997923E-2</c:v>
                      </c:pt>
                      <c:pt idx="28">
                        <c:v>6.2632330000006675E-2</c:v>
                      </c:pt>
                      <c:pt idx="29">
                        <c:v>6.0595925000001216E-2</c:v>
                      </c:pt>
                      <c:pt idx="30">
                        <c:v>5.8559520000002863E-2</c:v>
                      </c:pt>
                      <c:pt idx="31">
                        <c:v>5.6523114999997404E-2</c:v>
                      </c:pt>
                      <c:pt idx="32">
                        <c:v>5.4486710000006155E-2</c:v>
                      </c:pt>
                      <c:pt idx="33">
                        <c:v>5.2450304999993591E-2</c:v>
                      </c:pt>
                      <c:pt idx="34">
                        <c:v>5.0413899999995238E-2</c:v>
                      </c:pt>
                      <c:pt idx="35">
                        <c:v>4.8377494999996884E-2</c:v>
                      </c:pt>
                      <c:pt idx="36">
                        <c:v>4.6341090000005636E-2</c:v>
                      </c:pt>
                      <c:pt idx="37">
                        <c:v>4.4304685000007282E-2</c:v>
                      </c:pt>
                      <c:pt idx="38">
                        <c:v>4.2268280000001823E-2</c:v>
                      </c:pt>
                      <c:pt idx="39">
                        <c:v>4.0231875000010575E-2</c:v>
                      </c:pt>
                      <c:pt idx="40">
                        <c:v>3.8195469999998011E-2</c:v>
                      </c:pt>
                      <c:pt idx="41">
                        <c:v>3.6159064999999657E-2</c:v>
                      </c:pt>
                      <c:pt idx="42">
                        <c:v>3.4122660000001304E-2</c:v>
                      </c:pt>
                      <c:pt idx="43">
                        <c:v>3.2086254999995845E-2</c:v>
                      </c:pt>
                      <c:pt idx="44">
                        <c:v>3.0049849999990386E-2</c:v>
                      </c:pt>
                      <c:pt idx="45">
                        <c:v>2.8013444999999138E-2</c:v>
                      </c:pt>
                      <c:pt idx="46">
                        <c:v>2.5977040000000784E-2</c:v>
                      </c:pt>
                      <c:pt idx="47">
                        <c:v>2.394063500000243E-2</c:v>
                      </c:pt>
                      <c:pt idx="48">
                        <c:v>2.1904230000004077E-2</c:v>
                      </c:pt>
                      <c:pt idx="49">
                        <c:v>1.9867825000005723E-2</c:v>
                      </c:pt>
                      <c:pt idx="50">
                        <c:v>1.7831420000000264E-2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495-4A62-9571-892853E3761F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グラフ!$U$5</c15:sqref>
                        </c15:formulaRef>
                      </c:ext>
                    </c:extLst>
                    <c:strCache>
                      <c:ptCount val="1"/>
                      <c:pt idx="0">
                        <c:v>締め代：Δ+30℃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グラフ!$U$6:$U$56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0.11022266999999886</c:v>
                      </c:pt>
                      <c:pt idx="1">
                        <c:v>0.10818626500000761</c:v>
                      </c:pt>
                      <c:pt idx="2">
                        <c:v>0.10614986000000215</c:v>
                      </c:pt>
                      <c:pt idx="3">
                        <c:v>0.10411345499999669</c:v>
                      </c:pt>
                      <c:pt idx="4">
                        <c:v>0.10207704999999834</c:v>
                      </c:pt>
                      <c:pt idx="5">
                        <c:v>0.10004064499999288</c:v>
                      </c:pt>
                      <c:pt idx="6">
                        <c:v>9.800424000000163E-2</c:v>
                      </c:pt>
                      <c:pt idx="7">
                        <c:v>9.5967834999996171E-2</c:v>
                      </c:pt>
                      <c:pt idx="8">
                        <c:v>9.3931429999997818E-2</c:v>
                      </c:pt>
                      <c:pt idx="9">
                        <c:v>9.1895025000006569E-2</c:v>
                      </c:pt>
                      <c:pt idx="10">
                        <c:v>8.9858619999994005E-2</c:v>
                      </c:pt>
                      <c:pt idx="11">
                        <c:v>8.7822214999995651E-2</c:v>
                      </c:pt>
                      <c:pt idx="12">
                        <c:v>8.5785809999997298E-2</c:v>
                      </c:pt>
                      <c:pt idx="13">
                        <c:v>8.3749404999991839E-2</c:v>
                      </c:pt>
                      <c:pt idx="14">
                        <c:v>8.1713000000000591E-2</c:v>
                      </c:pt>
                      <c:pt idx="15">
                        <c:v>7.9676595000009343E-2</c:v>
                      </c:pt>
                      <c:pt idx="16">
                        <c:v>7.7640190000003884E-2</c:v>
                      </c:pt>
                      <c:pt idx="17">
                        <c:v>7.5603784999998425E-2</c:v>
                      </c:pt>
                      <c:pt idx="18">
                        <c:v>7.3567380000000071E-2</c:v>
                      </c:pt>
                      <c:pt idx="19">
                        <c:v>7.1530975000001717E-2</c:v>
                      </c:pt>
                      <c:pt idx="20">
                        <c:v>6.9494569999989153E-2</c:v>
                      </c:pt>
                      <c:pt idx="21">
                        <c:v>6.7458164999997905E-2</c:v>
                      </c:pt>
                      <c:pt idx="22">
                        <c:v>6.5421759999992446E-2</c:v>
                      </c:pt>
                      <c:pt idx="23">
                        <c:v>6.3385354999994092E-2</c:v>
                      </c:pt>
                      <c:pt idx="24">
                        <c:v>6.1348950000002844E-2</c:v>
                      </c:pt>
                      <c:pt idx="25">
                        <c:v>5.9312545000004491E-2</c:v>
                      </c:pt>
                      <c:pt idx="26">
                        <c:v>5.7276140000006137E-2</c:v>
                      </c:pt>
                      <c:pt idx="27">
                        <c:v>5.5239735000000678E-2</c:v>
                      </c:pt>
                      <c:pt idx="28">
                        <c:v>5.3203330000002325E-2</c:v>
                      </c:pt>
                      <c:pt idx="29">
                        <c:v>5.1166924999996866E-2</c:v>
                      </c:pt>
                      <c:pt idx="30">
                        <c:v>4.9130520000005617E-2</c:v>
                      </c:pt>
                      <c:pt idx="31">
                        <c:v>4.7094114999993053E-2</c:v>
                      </c:pt>
                      <c:pt idx="32">
                        <c:v>4.5057710000001805E-2</c:v>
                      </c:pt>
                      <c:pt idx="33">
                        <c:v>4.3021304999996346E-2</c:v>
                      </c:pt>
                      <c:pt idx="34">
                        <c:v>4.0984900000005098E-2</c:v>
                      </c:pt>
                      <c:pt idx="35">
                        <c:v>3.8948494999999639E-2</c:v>
                      </c:pt>
                      <c:pt idx="36">
                        <c:v>3.6912090000001285E-2</c:v>
                      </c:pt>
                      <c:pt idx="37">
                        <c:v>3.4875685000010037E-2</c:v>
                      </c:pt>
                      <c:pt idx="38">
                        <c:v>3.2839279999997473E-2</c:v>
                      </c:pt>
                      <c:pt idx="39">
                        <c:v>3.0802875000006225E-2</c:v>
                      </c:pt>
                      <c:pt idx="40">
                        <c:v>2.8766470000000766E-2</c:v>
                      </c:pt>
                      <c:pt idx="41">
                        <c:v>2.6730064999995307E-2</c:v>
                      </c:pt>
                      <c:pt idx="42">
                        <c:v>2.4693659999996953E-2</c:v>
                      </c:pt>
                      <c:pt idx="43">
                        <c:v>2.2657254999998599E-2</c:v>
                      </c:pt>
                      <c:pt idx="44">
                        <c:v>2.0620850000000246E-2</c:v>
                      </c:pt>
                      <c:pt idx="45">
                        <c:v>1.8584445000001892E-2</c:v>
                      </c:pt>
                      <c:pt idx="46">
                        <c:v>1.6548039999996433E-2</c:v>
                      </c:pt>
                      <c:pt idx="47">
                        <c:v>1.4511635000005185E-2</c:v>
                      </c:pt>
                      <c:pt idx="48">
                        <c:v>1.2475229999999726E-2</c:v>
                      </c:pt>
                      <c:pt idx="49">
                        <c:v>1.0438825000001373E-2</c:v>
                      </c:pt>
                      <c:pt idx="50">
                        <c:v>8.4024200000030191E-3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495-4A62-9571-892853E3761F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グラフ!$V$5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グラフ!$V$6:$V$56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87.419322699883182</c:v>
                      </c:pt>
                      <c:pt idx="1">
                        <c:v>86.352028335774293</c:v>
                      </c:pt>
                      <c:pt idx="2">
                        <c:v>85.284733971669127</c:v>
                      </c:pt>
                      <c:pt idx="3">
                        <c:v>84.217439607563975</c:v>
                      </c:pt>
                      <c:pt idx="4">
                        <c:v>83.1501452434551</c:v>
                      </c:pt>
                      <c:pt idx="5">
                        <c:v>82.082850879349934</c:v>
                      </c:pt>
                      <c:pt idx="6">
                        <c:v>81.015556515244782</c:v>
                      </c:pt>
                      <c:pt idx="7">
                        <c:v>79.948262151135907</c:v>
                      </c:pt>
                      <c:pt idx="8">
                        <c:v>78.880967787034479</c:v>
                      </c:pt>
                      <c:pt idx="9">
                        <c:v>77.813673422929313</c:v>
                      </c:pt>
                      <c:pt idx="10">
                        <c:v>76.746379058820423</c:v>
                      </c:pt>
                      <c:pt idx="11">
                        <c:v>75.679084694715272</c:v>
                      </c:pt>
                      <c:pt idx="12">
                        <c:v>74.611790330606397</c:v>
                      </c:pt>
                      <c:pt idx="13">
                        <c:v>73.544495966504954</c:v>
                      </c:pt>
                      <c:pt idx="14">
                        <c:v>72.477201602396079</c:v>
                      </c:pt>
                      <c:pt idx="15">
                        <c:v>71.40990723829465</c:v>
                      </c:pt>
                      <c:pt idx="16">
                        <c:v>70.342612874185761</c:v>
                      </c:pt>
                      <c:pt idx="17">
                        <c:v>69.275318510076872</c:v>
                      </c:pt>
                      <c:pt idx="18">
                        <c:v>68.208024145975443</c:v>
                      </c:pt>
                      <c:pt idx="19">
                        <c:v>67.140729781866568</c:v>
                      </c:pt>
                      <c:pt idx="20">
                        <c:v>66.073435417757693</c:v>
                      </c:pt>
                      <c:pt idx="21">
                        <c:v>65.006141053656251</c:v>
                      </c:pt>
                      <c:pt idx="22">
                        <c:v>63.938846689543645</c:v>
                      </c:pt>
                      <c:pt idx="23">
                        <c:v>62.87155232544221</c:v>
                      </c:pt>
                      <c:pt idx="24">
                        <c:v>61.804257961333327</c:v>
                      </c:pt>
                      <c:pt idx="25">
                        <c:v>60.736963597228176</c:v>
                      </c:pt>
                      <c:pt idx="26">
                        <c:v>59.66966923312674</c:v>
                      </c:pt>
                      <c:pt idx="27">
                        <c:v>58.602374869017865</c:v>
                      </c:pt>
                      <c:pt idx="28">
                        <c:v>57.535080504916429</c:v>
                      </c:pt>
                      <c:pt idx="29">
                        <c:v>56.467786140803817</c:v>
                      </c:pt>
                      <c:pt idx="30">
                        <c:v>55.400491776702381</c:v>
                      </c:pt>
                      <c:pt idx="31">
                        <c:v>54.333197412593506</c:v>
                      </c:pt>
                      <c:pt idx="32">
                        <c:v>53.265903048488347</c:v>
                      </c:pt>
                      <c:pt idx="33">
                        <c:v>52.198608684379472</c:v>
                      </c:pt>
                      <c:pt idx="34">
                        <c:v>51.131314320274306</c:v>
                      </c:pt>
                      <c:pt idx="35">
                        <c:v>50.064019956165424</c:v>
                      </c:pt>
                      <c:pt idx="36">
                        <c:v>48.996725592067712</c:v>
                      </c:pt>
                      <c:pt idx="37">
                        <c:v>47.92943122796256</c:v>
                      </c:pt>
                      <c:pt idx="38">
                        <c:v>46.862136863853678</c:v>
                      </c:pt>
                      <c:pt idx="39">
                        <c:v>45.794842499752249</c:v>
                      </c:pt>
                      <c:pt idx="40">
                        <c:v>44.727548135639637</c:v>
                      </c:pt>
                      <c:pt idx="41">
                        <c:v>43.660253771534485</c:v>
                      </c:pt>
                      <c:pt idx="42">
                        <c:v>42.592959407429326</c:v>
                      </c:pt>
                      <c:pt idx="43">
                        <c:v>41.525665043320444</c:v>
                      </c:pt>
                      <c:pt idx="44">
                        <c:v>40.458370679211562</c:v>
                      </c:pt>
                      <c:pt idx="45">
                        <c:v>39.391076315110134</c:v>
                      </c:pt>
                      <c:pt idx="46">
                        <c:v>38.323781951004968</c:v>
                      </c:pt>
                      <c:pt idx="47">
                        <c:v>37.256487586899816</c:v>
                      </c:pt>
                      <c:pt idx="48">
                        <c:v>36.189193222794657</c:v>
                      </c:pt>
                      <c:pt idx="49">
                        <c:v>35.121898858689505</c:v>
                      </c:pt>
                      <c:pt idx="50">
                        <c:v>34.054604494580616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495-4A62-9571-892853E3761F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グラフ!$W$5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グラフ!$W$6:$W$56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82.477516645016735</c:v>
                      </c:pt>
                      <c:pt idx="1">
                        <c:v>81.410222280915292</c:v>
                      </c:pt>
                      <c:pt idx="2">
                        <c:v>80.342927916806403</c:v>
                      </c:pt>
                      <c:pt idx="3">
                        <c:v>79.275633552697528</c:v>
                      </c:pt>
                      <c:pt idx="4">
                        <c:v>78.208339188592376</c:v>
                      </c:pt>
                      <c:pt idx="5">
                        <c:v>77.141044824483501</c:v>
                      </c:pt>
                      <c:pt idx="6">
                        <c:v>76.073750460382058</c:v>
                      </c:pt>
                      <c:pt idx="7">
                        <c:v>75.006456096273169</c:v>
                      </c:pt>
                      <c:pt idx="8">
                        <c:v>73.939161732168017</c:v>
                      </c:pt>
                      <c:pt idx="9">
                        <c:v>72.871867368066589</c:v>
                      </c:pt>
                      <c:pt idx="10">
                        <c:v>71.804573003953976</c:v>
                      </c:pt>
                      <c:pt idx="11">
                        <c:v>70.737278639852548</c:v>
                      </c:pt>
                      <c:pt idx="12">
                        <c:v>69.669984275743673</c:v>
                      </c:pt>
                      <c:pt idx="13">
                        <c:v>68.602689911638507</c:v>
                      </c:pt>
                      <c:pt idx="14">
                        <c:v>67.535395547533341</c:v>
                      </c:pt>
                      <c:pt idx="15">
                        <c:v>66.468101183428189</c:v>
                      </c:pt>
                      <c:pt idx="16">
                        <c:v>65.400806819323037</c:v>
                      </c:pt>
                      <c:pt idx="17">
                        <c:v>64.333512455214162</c:v>
                      </c:pt>
                      <c:pt idx="18">
                        <c:v>63.266218091109003</c:v>
                      </c:pt>
                      <c:pt idx="19">
                        <c:v>62.198923727003844</c:v>
                      </c:pt>
                      <c:pt idx="20">
                        <c:v>61.131629362891232</c:v>
                      </c:pt>
                      <c:pt idx="21">
                        <c:v>60.064334998789796</c:v>
                      </c:pt>
                      <c:pt idx="22">
                        <c:v>58.997040634680921</c:v>
                      </c:pt>
                      <c:pt idx="23">
                        <c:v>57.929746270575762</c:v>
                      </c:pt>
                      <c:pt idx="24">
                        <c:v>56.862451906470611</c:v>
                      </c:pt>
                      <c:pt idx="25">
                        <c:v>55.795157542369175</c:v>
                      </c:pt>
                      <c:pt idx="26">
                        <c:v>54.727863178264016</c:v>
                      </c:pt>
                      <c:pt idx="27">
                        <c:v>53.660568814151404</c:v>
                      </c:pt>
                      <c:pt idx="28">
                        <c:v>52.593274450049975</c:v>
                      </c:pt>
                      <c:pt idx="29">
                        <c:v>51.525980085941093</c:v>
                      </c:pt>
                      <c:pt idx="30">
                        <c:v>50.458685721835941</c:v>
                      </c:pt>
                      <c:pt idx="31">
                        <c:v>49.391391357727059</c:v>
                      </c:pt>
                      <c:pt idx="32">
                        <c:v>48.324096993625623</c:v>
                      </c:pt>
                      <c:pt idx="33">
                        <c:v>47.256802629513011</c:v>
                      </c:pt>
                      <c:pt idx="34">
                        <c:v>46.189508265415306</c:v>
                      </c:pt>
                      <c:pt idx="35">
                        <c:v>45.122213901306424</c:v>
                      </c:pt>
                      <c:pt idx="36">
                        <c:v>44.054919537201272</c:v>
                      </c:pt>
                      <c:pt idx="37">
                        <c:v>42.987625173099836</c:v>
                      </c:pt>
                      <c:pt idx="38">
                        <c:v>41.920330808987231</c:v>
                      </c:pt>
                      <c:pt idx="39">
                        <c:v>40.853036444885795</c:v>
                      </c:pt>
                      <c:pt idx="40">
                        <c:v>39.78574208077692</c:v>
                      </c:pt>
                      <c:pt idx="41">
                        <c:v>38.718447716668031</c:v>
                      </c:pt>
                      <c:pt idx="42">
                        <c:v>37.651153352562879</c:v>
                      </c:pt>
                      <c:pt idx="43">
                        <c:v>36.58385898845772</c:v>
                      </c:pt>
                      <c:pt idx="44">
                        <c:v>35.516564624352569</c:v>
                      </c:pt>
                      <c:pt idx="45">
                        <c:v>34.449270260247403</c:v>
                      </c:pt>
                      <c:pt idx="46">
                        <c:v>33.381975896138528</c:v>
                      </c:pt>
                      <c:pt idx="47">
                        <c:v>32.314681532037092</c:v>
                      </c:pt>
                      <c:pt idx="48">
                        <c:v>31.247387167928206</c:v>
                      </c:pt>
                      <c:pt idx="49">
                        <c:v>30.180092803823051</c:v>
                      </c:pt>
                      <c:pt idx="50">
                        <c:v>29.112798439717896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495-4A62-9571-892853E3761F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グラフ!$X$5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グラフ!$X$6:$X$56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77.535710590153997</c:v>
                      </c:pt>
                      <c:pt idx="1">
                        <c:v>76.468416226048845</c:v>
                      </c:pt>
                      <c:pt idx="2">
                        <c:v>75.401121861943693</c:v>
                      </c:pt>
                      <c:pt idx="3">
                        <c:v>74.333827497831081</c:v>
                      </c:pt>
                      <c:pt idx="4">
                        <c:v>73.266533133729652</c:v>
                      </c:pt>
                      <c:pt idx="5">
                        <c:v>72.199238769620777</c:v>
                      </c:pt>
                      <c:pt idx="6">
                        <c:v>71.131944405515611</c:v>
                      </c:pt>
                      <c:pt idx="7">
                        <c:v>70.064650041410445</c:v>
                      </c:pt>
                      <c:pt idx="8">
                        <c:v>68.99735567730157</c:v>
                      </c:pt>
                      <c:pt idx="9">
                        <c:v>67.930061313203865</c:v>
                      </c:pt>
                      <c:pt idx="10">
                        <c:v>66.862766949091267</c:v>
                      </c:pt>
                      <c:pt idx="11">
                        <c:v>65.795472584986101</c:v>
                      </c:pt>
                      <c:pt idx="12">
                        <c:v>64.728178220880949</c:v>
                      </c:pt>
                      <c:pt idx="13">
                        <c:v>63.66088385677206</c:v>
                      </c:pt>
                      <c:pt idx="14">
                        <c:v>62.593589492670624</c:v>
                      </c:pt>
                      <c:pt idx="15">
                        <c:v>61.526295128565472</c:v>
                      </c:pt>
                      <c:pt idx="16">
                        <c:v>60.45900076445659</c:v>
                      </c:pt>
                      <c:pt idx="17">
                        <c:v>59.391706400351431</c:v>
                      </c:pt>
                      <c:pt idx="18">
                        <c:v>58.324412036242556</c:v>
                      </c:pt>
                      <c:pt idx="19">
                        <c:v>57.25711767213739</c:v>
                      </c:pt>
                      <c:pt idx="20">
                        <c:v>56.189823308028508</c:v>
                      </c:pt>
                      <c:pt idx="21">
                        <c:v>55.122528943923356</c:v>
                      </c:pt>
                      <c:pt idx="22">
                        <c:v>54.055234579818197</c:v>
                      </c:pt>
                      <c:pt idx="23">
                        <c:v>52.987940215716762</c:v>
                      </c:pt>
                      <c:pt idx="24">
                        <c:v>51.920645851607887</c:v>
                      </c:pt>
                      <c:pt idx="25">
                        <c:v>50.853351487502728</c:v>
                      </c:pt>
                      <c:pt idx="26">
                        <c:v>49.786057123397562</c:v>
                      </c:pt>
                      <c:pt idx="27">
                        <c:v>48.718762759288687</c:v>
                      </c:pt>
                      <c:pt idx="28">
                        <c:v>47.651468395183528</c:v>
                      </c:pt>
                      <c:pt idx="29">
                        <c:v>46.584174031074653</c:v>
                      </c:pt>
                      <c:pt idx="30">
                        <c:v>45.516879666973217</c:v>
                      </c:pt>
                      <c:pt idx="31">
                        <c:v>44.449585302860612</c:v>
                      </c:pt>
                      <c:pt idx="32">
                        <c:v>43.382290938766623</c:v>
                      </c:pt>
                      <c:pt idx="33">
                        <c:v>42.314996574654018</c:v>
                      </c:pt>
                      <c:pt idx="34">
                        <c:v>41.247702210548859</c:v>
                      </c:pt>
                      <c:pt idx="35">
                        <c:v>40.180407846443707</c:v>
                      </c:pt>
                      <c:pt idx="36">
                        <c:v>39.113113482334825</c:v>
                      </c:pt>
                      <c:pt idx="37">
                        <c:v>38.045819118233389</c:v>
                      </c:pt>
                      <c:pt idx="38">
                        <c:v>36.978524754124507</c:v>
                      </c:pt>
                      <c:pt idx="39">
                        <c:v>35.911230390019348</c:v>
                      </c:pt>
                      <c:pt idx="40">
                        <c:v>34.843936025910466</c:v>
                      </c:pt>
                      <c:pt idx="41">
                        <c:v>33.776641661805314</c:v>
                      </c:pt>
                      <c:pt idx="42">
                        <c:v>32.709347297703879</c:v>
                      </c:pt>
                      <c:pt idx="43">
                        <c:v>31.642052933595</c:v>
                      </c:pt>
                      <c:pt idx="44">
                        <c:v>30.574758569486114</c:v>
                      </c:pt>
                      <c:pt idx="45">
                        <c:v>29.507464205384682</c:v>
                      </c:pt>
                      <c:pt idx="46">
                        <c:v>28.440169841272073</c:v>
                      </c:pt>
                      <c:pt idx="47">
                        <c:v>27.372875477170641</c:v>
                      </c:pt>
                      <c:pt idx="48">
                        <c:v>26.305581113065486</c:v>
                      </c:pt>
                      <c:pt idx="49">
                        <c:v>25.238286748956607</c:v>
                      </c:pt>
                      <c:pt idx="50">
                        <c:v>24.170992384851445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495-4A62-9571-892853E3761F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グラフ!$Y$5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グラフ!$Y$6:$Y$56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72.593904535291273</c:v>
                      </c:pt>
                      <c:pt idx="1">
                        <c:v>71.526610171182398</c:v>
                      </c:pt>
                      <c:pt idx="2">
                        <c:v>70.459315807080969</c:v>
                      </c:pt>
                      <c:pt idx="3">
                        <c:v>69.392021442968357</c:v>
                      </c:pt>
                      <c:pt idx="4">
                        <c:v>68.324727078863191</c:v>
                      </c:pt>
                      <c:pt idx="5">
                        <c:v>67.257432714758039</c:v>
                      </c:pt>
                      <c:pt idx="6">
                        <c:v>66.190138350649164</c:v>
                      </c:pt>
                      <c:pt idx="7">
                        <c:v>65.122843986547736</c:v>
                      </c:pt>
                      <c:pt idx="8">
                        <c:v>64.055549622438846</c:v>
                      </c:pt>
                      <c:pt idx="9">
                        <c:v>62.988255258337418</c:v>
                      </c:pt>
                      <c:pt idx="10">
                        <c:v>61.920960894228536</c:v>
                      </c:pt>
                      <c:pt idx="11">
                        <c:v>60.853666530119646</c:v>
                      </c:pt>
                      <c:pt idx="12">
                        <c:v>59.786372166018218</c:v>
                      </c:pt>
                      <c:pt idx="13">
                        <c:v>58.719077801909336</c:v>
                      </c:pt>
                      <c:pt idx="14">
                        <c:v>57.651783437804184</c:v>
                      </c:pt>
                      <c:pt idx="15">
                        <c:v>56.584489073702748</c:v>
                      </c:pt>
                      <c:pt idx="16">
                        <c:v>55.517194709590143</c:v>
                      </c:pt>
                      <c:pt idx="17">
                        <c:v>54.449900345484977</c:v>
                      </c:pt>
                      <c:pt idx="18">
                        <c:v>53.382605981379825</c:v>
                      </c:pt>
                      <c:pt idx="19">
                        <c:v>52.315311617270943</c:v>
                      </c:pt>
                      <c:pt idx="20">
                        <c:v>51.248017253165791</c:v>
                      </c:pt>
                      <c:pt idx="21">
                        <c:v>50.180722889064356</c:v>
                      </c:pt>
                      <c:pt idx="22">
                        <c:v>49.113428524955474</c:v>
                      </c:pt>
                      <c:pt idx="23">
                        <c:v>48.046134160850322</c:v>
                      </c:pt>
                      <c:pt idx="24">
                        <c:v>46.978839796741433</c:v>
                      </c:pt>
                      <c:pt idx="25">
                        <c:v>45.911545432640004</c:v>
                      </c:pt>
                      <c:pt idx="26">
                        <c:v>44.844251068531122</c:v>
                      </c:pt>
                      <c:pt idx="27">
                        <c:v>43.77695670442224</c:v>
                      </c:pt>
                      <c:pt idx="28">
                        <c:v>42.709662340320804</c:v>
                      </c:pt>
                      <c:pt idx="29">
                        <c:v>41.642367976208199</c:v>
                      </c:pt>
                      <c:pt idx="30">
                        <c:v>40.57507361211421</c:v>
                      </c:pt>
                      <c:pt idx="31">
                        <c:v>39.507779248001611</c:v>
                      </c:pt>
                      <c:pt idx="32">
                        <c:v>38.440484883900176</c:v>
                      </c:pt>
                      <c:pt idx="33">
                        <c:v>37.373190519791294</c:v>
                      </c:pt>
                      <c:pt idx="34">
                        <c:v>36.305896155682412</c:v>
                      </c:pt>
                      <c:pt idx="35">
                        <c:v>35.238601791577253</c:v>
                      </c:pt>
                      <c:pt idx="36">
                        <c:v>34.171307427472101</c:v>
                      </c:pt>
                      <c:pt idx="37">
                        <c:v>33.104013063366942</c:v>
                      </c:pt>
                      <c:pt idx="38">
                        <c:v>32.03671869925806</c:v>
                      </c:pt>
                      <c:pt idx="39">
                        <c:v>30.969424335156624</c:v>
                      </c:pt>
                      <c:pt idx="40">
                        <c:v>29.902129971051469</c:v>
                      </c:pt>
                      <c:pt idx="41">
                        <c:v>28.83483560694259</c:v>
                      </c:pt>
                      <c:pt idx="42">
                        <c:v>27.767541242837428</c:v>
                      </c:pt>
                      <c:pt idx="43">
                        <c:v>26.700246878732273</c:v>
                      </c:pt>
                      <c:pt idx="44">
                        <c:v>25.632952514619671</c:v>
                      </c:pt>
                      <c:pt idx="45">
                        <c:v>24.565658150518232</c:v>
                      </c:pt>
                      <c:pt idx="46">
                        <c:v>23.498363786409353</c:v>
                      </c:pt>
                      <c:pt idx="47">
                        <c:v>22.431069422304194</c:v>
                      </c:pt>
                      <c:pt idx="48">
                        <c:v>21.363775058199039</c:v>
                      </c:pt>
                      <c:pt idx="49">
                        <c:v>20.29648069409388</c:v>
                      </c:pt>
                      <c:pt idx="50">
                        <c:v>19.229186329992448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495-4A62-9571-892853E3761F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グラフ!$Z$5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グラフ!$Z$6:$Z$56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67.652098480428549</c:v>
                      </c:pt>
                      <c:pt idx="1">
                        <c:v>66.584804116319674</c:v>
                      </c:pt>
                      <c:pt idx="2">
                        <c:v>65.517509752214522</c:v>
                      </c:pt>
                      <c:pt idx="3">
                        <c:v>64.450215388105633</c:v>
                      </c:pt>
                      <c:pt idx="4">
                        <c:v>63.382921023996751</c:v>
                      </c:pt>
                      <c:pt idx="5">
                        <c:v>62.315626659895322</c:v>
                      </c:pt>
                      <c:pt idx="6">
                        <c:v>61.24833229578644</c:v>
                      </c:pt>
                      <c:pt idx="7">
                        <c:v>60.181037931681281</c:v>
                      </c:pt>
                      <c:pt idx="8">
                        <c:v>59.11374356757613</c:v>
                      </c:pt>
                      <c:pt idx="9">
                        <c:v>58.046449203470971</c:v>
                      </c:pt>
                      <c:pt idx="10">
                        <c:v>56.979154839365805</c:v>
                      </c:pt>
                      <c:pt idx="11">
                        <c:v>55.91186047525693</c:v>
                      </c:pt>
                      <c:pt idx="12">
                        <c:v>54.844566111151771</c:v>
                      </c:pt>
                      <c:pt idx="13">
                        <c:v>53.777271747046612</c:v>
                      </c:pt>
                      <c:pt idx="14">
                        <c:v>52.709977382937737</c:v>
                      </c:pt>
                      <c:pt idx="15">
                        <c:v>51.642683018836301</c:v>
                      </c:pt>
                      <c:pt idx="16">
                        <c:v>50.575388654727412</c:v>
                      </c:pt>
                      <c:pt idx="17">
                        <c:v>49.508094290618537</c:v>
                      </c:pt>
                      <c:pt idx="18">
                        <c:v>48.440799926517101</c:v>
                      </c:pt>
                      <c:pt idx="19">
                        <c:v>47.373505562411943</c:v>
                      </c:pt>
                      <c:pt idx="20">
                        <c:v>46.306211198303068</c:v>
                      </c:pt>
                      <c:pt idx="21">
                        <c:v>45.238916834197909</c:v>
                      </c:pt>
                      <c:pt idx="22">
                        <c:v>44.171622470089027</c:v>
                      </c:pt>
                      <c:pt idx="23">
                        <c:v>43.104328105987591</c:v>
                      </c:pt>
                      <c:pt idx="24">
                        <c:v>42.037033741874986</c:v>
                      </c:pt>
                      <c:pt idx="25">
                        <c:v>40.96973937777355</c:v>
                      </c:pt>
                      <c:pt idx="26">
                        <c:v>39.902445013668398</c:v>
                      </c:pt>
                      <c:pt idx="27">
                        <c:v>38.835150649555793</c:v>
                      </c:pt>
                      <c:pt idx="28">
                        <c:v>37.767856285461811</c:v>
                      </c:pt>
                      <c:pt idx="29">
                        <c:v>36.700561921349198</c:v>
                      </c:pt>
                      <c:pt idx="30">
                        <c:v>35.63326755724777</c:v>
                      </c:pt>
                      <c:pt idx="31">
                        <c:v>34.565973193138881</c:v>
                      </c:pt>
                      <c:pt idx="32">
                        <c:v>33.498678829033729</c:v>
                      </c:pt>
                      <c:pt idx="33">
                        <c:v>32.431384464924847</c:v>
                      </c:pt>
                      <c:pt idx="34">
                        <c:v>31.364090100819688</c:v>
                      </c:pt>
                      <c:pt idx="35">
                        <c:v>30.296795736710809</c:v>
                      </c:pt>
                      <c:pt idx="36">
                        <c:v>29.229501372605654</c:v>
                      </c:pt>
                      <c:pt idx="37">
                        <c:v>28.162207008504218</c:v>
                      </c:pt>
                      <c:pt idx="38">
                        <c:v>27.094912644399059</c:v>
                      </c:pt>
                      <c:pt idx="39">
                        <c:v>26.027618280293904</c:v>
                      </c:pt>
                      <c:pt idx="40">
                        <c:v>24.960323916185022</c:v>
                      </c:pt>
                      <c:pt idx="41">
                        <c:v>23.893029552079863</c:v>
                      </c:pt>
                      <c:pt idx="42">
                        <c:v>22.825735187970984</c:v>
                      </c:pt>
                      <c:pt idx="43">
                        <c:v>21.758440823865826</c:v>
                      </c:pt>
                      <c:pt idx="44">
                        <c:v>20.691146459756943</c:v>
                      </c:pt>
                      <c:pt idx="45">
                        <c:v>19.623852095651788</c:v>
                      </c:pt>
                      <c:pt idx="46">
                        <c:v>18.556557731542906</c:v>
                      </c:pt>
                      <c:pt idx="47">
                        <c:v>17.489263367441474</c:v>
                      </c:pt>
                      <c:pt idx="48">
                        <c:v>16.421969003340038</c:v>
                      </c:pt>
                      <c:pt idx="49">
                        <c:v>15.354674639231158</c:v>
                      </c:pt>
                      <c:pt idx="50">
                        <c:v>14.287380275125999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495-4A62-9571-892853E3761F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グラフ!$AA$5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グラフ!$AA$6:$AA$56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62.710292425562109</c:v>
                      </c:pt>
                      <c:pt idx="1">
                        <c:v>61.642998061456957</c:v>
                      </c:pt>
                      <c:pt idx="2">
                        <c:v>60.575703697348068</c:v>
                      </c:pt>
                      <c:pt idx="3">
                        <c:v>59.508409333242909</c:v>
                      </c:pt>
                      <c:pt idx="4">
                        <c:v>58.441114969134027</c:v>
                      </c:pt>
                      <c:pt idx="5">
                        <c:v>57.373820605028875</c:v>
                      </c:pt>
                      <c:pt idx="6">
                        <c:v>56.306526240923716</c:v>
                      </c:pt>
                      <c:pt idx="7">
                        <c:v>55.239231876814841</c:v>
                      </c:pt>
                      <c:pt idx="8">
                        <c:v>54.171937512713406</c:v>
                      </c:pt>
                      <c:pt idx="9">
                        <c:v>53.10464314860824</c:v>
                      </c:pt>
                      <c:pt idx="10">
                        <c:v>52.037348784499358</c:v>
                      </c:pt>
                      <c:pt idx="11">
                        <c:v>50.970054420394206</c:v>
                      </c:pt>
                      <c:pt idx="12">
                        <c:v>49.902760056285324</c:v>
                      </c:pt>
                      <c:pt idx="13">
                        <c:v>48.835465692180172</c:v>
                      </c:pt>
                      <c:pt idx="14">
                        <c:v>47.768171328075013</c:v>
                      </c:pt>
                      <c:pt idx="15">
                        <c:v>46.700876963969847</c:v>
                      </c:pt>
                      <c:pt idx="16">
                        <c:v>45.633582599864695</c:v>
                      </c:pt>
                      <c:pt idx="17">
                        <c:v>44.566288235759536</c:v>
                      </c:pt>
                      <c:pt idx="18">
                        <c:v>43.498993871654378</c:v>
                      </c:pt>
                      <c:pt idx="19">
                        <c:v>42.431699507545503</c:v>
                      </c:pt>
                      <c:pt idx="20">
                        <c:v>41.364405143436613</c:v>
                      </c:pt>
                      <c:pt idx="21">
                        <c:v>40.297110779335185</c:v>
                      </c:pt>
                      <c:pt idx="22">
                        <c:v>39.229816415222579</c:v>
                      </c:pt>
                      <c:pt idx="23">
                        <c:v>38.162522051121144</c:v>
                      </c:pt>
                      <c:pt idx="24">
                        <c:v>37.095227687012262</c:v>
                      </c:pt>
                      <c:pt idx="25">
                        <c:v>36.02793332290711</c:v>
                      </c:pt>
                      <c:pt idx="26">
                        <c:v>34.960638958809398</c:v>
                      </c:pt>
                      <c:pt idx="27">
                        <c:v>33.893344594696792</c:v>
                      </c:pt>
                      <c:pt idx="28">
                        <c:v>32.826050230595357</c:v>
                      </c:pt>
                      <c:pt idx="29">
                        <c:v>31.758755866486478</c:v>
                      </c:pt>
                      <c:pt idx="30">
                        <c:v>30.691461502381319</c:v>
                      </c:pt>
                      <c:pt idx="31">
                        <c:v>29.624167138272441</c:v>
                      </c:pt>
                      <c:pt idx="32">
                        <c:v>28.556872774171005</c:v>
                      </c:pt>
                      <c:pt idx="33">
                        <c:v>27.4895784100584</c:v>
                      </c:pt>
                      <c:pt idx="34">
                        <c:v>26.422284045953244</c:v>
                      </c:pt>
                      <c:pt idx="35">
                        <c:v>25.354989681848085</c:v>
                      </c:pt>
                      <c:pt idx="36">
                        <c:v>24.28769531774665</c:v>
                      </c:pt>
                      <c:pt idx="37">
                        <c:v>23.220400953641494</c:v>
                      </c:pt>
                      <c:pt idx="38">
                        <c:v>22.153106589532612</c:v>
                      </c:pt>
                      <c:pt idx="39">
                        <c:v>21.085812225431177</c:v>
                      </c:pt>
                      <c:pt idx="40">
                        <c:v>20.018517861318575</c:v>
                      </c:pt>
                      <c:pt idx="41">
                        <c:v>18.951223497213416</c:v>
                      </c:pt>
                      <c:pt idx="42">
                        <c:v>17.883929133108261</c:v>
                      </c:pt>
                      <c:pt idx="43">
                        <c:v>16.816634768999378</c:v>
                      </c:pt>
                      <c:pt idx="44">
                        <c:v>15.749340404890496</c:v>
                      </c:pt>
                      <c:pt idx="45">
                        <c:v>14.682046040789063</c:v>
                      </c:pt>
                      <c:pt idx="46">
                        <c:v>13.614751676683907</c:v>
                      </c:pt>
                      <c:pt idx="47">
                        <c:v>12.547457312578748</c:v>
                      </c:pt>
                      <c:pt idx="48">
                        <c:v>11.480162948473591</c:v>
                      </c:pt>
                      <c:pt idx="49">
                        <c:v>10.412868584368434</c:v>
                      </c:pt>
                      <c:pt idx="50">
                        <c:v>9.345574220259552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495-4A62-9571-892853E3761F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グラフ!$AB$5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グラフ!$AB$6:$AB$56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57.768486370695655</c:v>
                      </c:pt>
                      <c:pt idx="1">
                        <c:v>56.701192006594219</c:v>
                      </c:pt>
                      <c:pt idx="2">
                        <c:v>55.633897642485344</c:v>
                      </c:pt>
                      <c:pt idx="3">
                        <c:v>54.566603278376462</c:v>
                      </c:pt>
                      <c:pt idx="4">
                        <c:v>53.49930891427131</c:v>
                      </c:pt>
                      <c:pt idx="5">
                        <c:v>52.432014550162428</c:v>
                      </c:pt>
                      <c:pt idx="6">
                        <c:v>51.364720186061</c:v>
                      </c:pt>
                      <c:pt idx="7">
                        <c:v>50.29742582195211</c:v>
                      </c:pt>
                      <c:pt idx="8">
                        <c:v>49.230131457846952</c:v>
                      </c:pt>
                      <c:pt idx="9">
                        <c:v>48.162837093745516</c:v>
                      </c:pt>
                      <c:pt idx="10">
                        <c:v>47.095542729632918</c:v>
                      </c:pt>
                      <c:pt idx="11">
                        <c:v>46.028248365527759</c:v>
                      </c:pt>
                      <c:pt idx="12">
                        <c:v>44.9609540014226</c:v>
                      </c:pt>
                      <c:pt idx="13">
                        <c:v>43.893659637313718</c:v>
                      </c:pt>
                      <c:pt idx="14">
                        <c:v>42.826365273212289</c:v>
                      </c:pt>
                      <c:pt idx="15">
                        <c:v>41.759070909110854</c:v>
                      </c:pt>
                      <c:pt idx="16">
                        <c:v>40.691776545001971</c:v>
                      </c:pt>
                      <c:pt idx="17">
                        <c:v>39.624482180893089</c:v>
                      </c:pt>
                      <c:pt idx="18">
                        <c:v>38.557187816787931</c:v>
                      </c:pt>
                      <c:pt idx="19">
                        <c:v>37.489893452682772</c:v>
                      </c:pt>
                      <c:pt idx="20">
                        <c:v>36.422599088570173</c:v>
                      </c:pt>
                      <c:pt idx="21">
                        <c:v>35.355304724468731</c:v>
                      </c:pt>
                      <c:pt idx="22">
                        <c:v>34.288010360359856</c:v>
                      </c:pt>
                      <c:pt idx="23">
                        <c:v>33.220715996254697</c:v>
                      </c:pt>
                      <c:pt idx="24">
                        <c:v>32.153421632153268</c:v>
                      </c:pt>
                      <c:pt idx="25">
                        <c:v>31.086127268048106</c:v>
                      </c:pt>
                      <c:pt idx="26">
                        <c:v>30.018832903942947</c:v>
                      </c:pt>
                      <c:pt idx="27">
                        <c:v>28.951538539834068</c:v>
                      </c:pt>
                      <c:pt idx="28">
                        <c:v>27.884244175728909</c:v>
                      </c:pt>
                      <c:pt idx="29">
                        <c:v>26.816949811620027</c:v>
                      </c:pt>
                      <c:pt idx="30">
                        <c:v>25.749655447518595</c:v>
                      </c:pt>
                      <c:pt idx="31">
                        <c:v>24.68236108340599</c:v>
                      </c:pt>
                      <c:pt idx="32">
                        <c:v>23.615066719304554</c:v>
                      </c:pt>
                      <c:pt idx="33">
                        <c:v>22.547772355195676</c:v>
                      </c:pt>
                      <c:pt idx="34">
                        <c:v>21.48047799109424</c:v>
                      </c:pt>
                      <c:pt idx="35">
                        <c:v>20.413183626985361</c:v>
                      </c:pt>
                      <c:pt idx="36">
                        <c:v>19.345889262880203</c:v>
                      </c:pt>
                      <c:pt idx="37">
                        <c:v>18.278594898778771</c:v>
                      </c:pt>
                      <c:pt idx="38">
                        <c:v>17.211300534666165</c:v>
                      </c:pt>
                      <c:pt idx="39">
                        <c:v>16.14400617056473</c:v>
                      </c:pt>
                      <c:pt idx="40">
                        <c:v>15.076711806455849</c:v>
                      </c:pt>
                      <c:pt idx="41">
                        <c:v>14.009417442346971</c:v>
                      </c:pt>
                      <c:pt idx="42">
                        <c:v>12.942123078241812</c:v>
                      </c:pt>
                      <c:pt idx="43">
                        <c:v>11.874828714136653</c:v>
                      </c:pt>
                      <c:pt idx="44">
                        <c:v>10.807534350031498</c:v>
                      </c:pt>
                      <c:pt idx="45">
                        <c:v>9.7402399859263404</c:v>
                      </c:pt>
                      <c:pt idx="46">
                        <c:v>8.6729456218174583</c:v>
                      </c:pt>
                      <c:pt idx="47">
                        <c:v>7.6056512577160253</c:v>
                      </c:pt>
                      <c:pt idx="48">
                        <c:v>6.5383568936071432</c:v>
                      </c:pt>
                      <c:pt idx="49">
                        <c:v>5.4710625295019861</c:v>
                      </c:pt>
                      <c:pt idx="50">
                        <c:v>4.403768165396829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495-4A62-9571-892853E3761F}"/>
                  </c:ext>
                </c:extLst>
              </c15:ser>
            </c15:filteredScatterSeries>
            <c15:filteredScatter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グラフ!$AK$5</c15:sqref>
                        </c15:formulaRef>
                      </c:ext>
                    </c:extLst>
                    <c:strCache>
                      <c:ptCount val="1"/>
                      <c:pt idx="0">
                        <c:v>outer応力:Δ-30℃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グラフ!$AK$6:$AK$56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171.1208105284725</c:v>
                      </c:pt>
                      <c:pt idx="1">
                        <c:v>169.03161249972788</c:v>
                      </c:pt>
                      <c:pt idx="2">
                        <c:v>166.94241447099057</c:v>
                      </c:pt>
                      <c:pt idx="3">
                        <c:v>164.85321644225331</c:v>
                      </c:pt>
                      <c:pt idx="4">
                        <c:v>162.76401841350875</c:v>
                      </c:pt>
                      <c:pt idx="5">
                        <c:v>160.67482038477144</c:v>
                      </c:pt>
                      <c:pt idx="6">
                        <c:v>158.58562235603415</c:v>
                      </c:pt>
                      <c:pt idx="7">
                        <c:v>156.49642432728959</c:v>
                      </c:pt>
                      <c:pt idx="8">
                        <c:v>154.40722629855961</c:v>
                      </c:pt>
                      <c:pt idx="9">
                        <c:v>152.31802826982229</c:v>
                      </c:pt>
                      <c:pt idx="10">
                        <c:v>150.22883024107767</c:v>
                      </c:pt>
                      <c:pt idx="11">
                        <c:v>148.13963221234039</c:v>
                      </c:pt>
                      <c:pt idx="12">
                        <c:v>146.05043418359583</c:v>
                      </c:pt>
                      <c:pt idx="13">
                        <c:v>143.96123615486582</c:v>
                      </c:pt>
                      <c:pt idx="14">
                        <c:v>141.87203812612123</c:v>
                      </c:pt>
                      <c:pt idx="15">
                        <c:v>139.78284009739124</c:v>
                      </c:pt>
                      <c:pt idx="16">
                        <c:v>137.69364206864662</c:v>
                      </c:pt>
                      <c:pt idx="17">
                        <c:v>135.60444403990206</c:v>
                      </c:pt>
                      <c:pt idx="18">
                        <c:v>133.51524601117205</c:v>
                      </c:pt>
                      <c:pt idx="19">
                        <c:v>131.42604798242749</c:v>
                      </c:pt>
                      <c:pt idx="20">
                        <c:v>129.33684995368293</c:v>
                      </c:pt>
                      <c:pt idx="21">
                        <c:v>127.2476519249529</c:v>
                      </c:pt>
                      <c:pt idx="22">
                        <c:v>125.15845389620104</c:v>
                      </c:pt>
                      <c:pt idx="23">
                        <c:v>123.06925586747101</c:v>
                      </c:pt>
                      <c:pt idx="24">
                        <c:v>120.98005783872644</c:v>
                      </c:pt>
                      <c:pt idx="25">
                        <c:v>118.89085980998915</c:v>
                      </c:pt>
                      <c:pt idx="26">
                        <c:v>116.80166178125914</c:v>
                      </c:pt>
                      <c:pt idx="27">
                        <c:v>114.71246375251458</c:v>
                      </c:pt>
                      <c:pt idx="28">
                        <c:v>112.62326572378457</c:v>
                      </c:pt>
                      <c:pt idx="29">
                        <c:v>110.53406769503268</c:v>
                      </c:pt>
                      <c:pt idx="30">
                        <c:v>108.44486966630268</c:v>
                      </c:pt>
                      <c:pt idx="31">
                        <c:v>106.3556716375581</c:v>
                      </c:pt>
                      <c:pt idx="32">
                        <c:v>104.2664736088208</c:v>
                      </c:pt>
                      <c:pt idx="33">
                        <c:v>102.17727558007624</c:v>
                      </c:pt>
                      <c:pt idx="34">
                        <c:v>100.08807755133894</c:v>
                      </c:pt>
                      <c:pt idx="35">
                        <c:v>97.998879522594351</c:v>
                      </c:pt>
                      <c:pt idx="36">
                        <c:v>95.909681493871631</c:v>
                      </c:pt>
                      <c:pt idx="37">
                        <c:v>93.820483465134345</c:v>
                      </c:pt>
                      <c:pt idx="38">
                        <c:v>91.731285436389769</c:v>
                      </c:pt>
                      <c:pt idx="39">
                        <c:v>89.642087407659773</c:v>
                      </c:pt>
                      <c:pt idx="40">
                        <c:v>87.552889378907892</c:v>
                      </c:pt>
                      <c:pt idx="41">
                        <c:v>85.46369135017062</c:v>
                      </c:pt>
                      <c:pt idx="42">
                        <c:v>83.37449332143332</c:v>
                      </c:pt>
                      <c:pt idx="43">
                        <c:v>81.28529529268873</c:v>
                      </c:pt>
                      <c:pt idx="44">
                        <c:v>79.196097263944139</c:v>
                      </c:pt>
                      <c:pt idx="45">
                        <c:v>77.106899235214144</c:v>
                      </c:pt>
                      <c:pt idx="46">
                        <c:v>75.017701206476843</c:v>
                      </c:pt>
                      <c:pt idx="47">
                        <c:v>72.928503177739557</c:v>
                      </c:pt>
                      <c:pt idx="48">
                        <c:v>70.839305149002257</c:v>
                      </c:pt>
                      <c:pt idx="49">
                        <c:v>68.750107120264985</c:v>
                      </c:pt>
                      <c:pt idx="50">
                        <c:v>66.660909091520395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495-4A62-9571-892853E3761F}"/>
                  </c:ext>
                </c:extLst>
              </c15:ser>
            </c15:filteredScatterSeries>
            <c15:filteredScatterSeries>
              <c15:ser>
                <c:idx val="23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グラフ!$AL$5</c15:sqref>
                        </c15:formulaRef>
                      </c:ext>
                    </c:extLst>
                    <c:strCache>
                      <c:ptCount val="1"/>
                      <c:pt idx="0">
                        <c:v>outer応力:Δ-20℃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グラフ!$AL$6:$AL$56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161.4473672728387</c:v>
                      </c:pt>
                      <c:pt idx="1">
                        <c:v>159.35816924410867</c:v>
                      </c:pt>
                      <c:pt idx="2">
                        <c:v>157.2689712153641</c:v>
                      </c:pt>
                      <c:pt idx="3">
                        <c:v>155.17977318661951</c:v>
                      </c:pt>
                      <c:pt idx="4">
                        <c:v>153.09057515788223</c:v>
                      </c:pt>
                      <c:pt idx="5">
                        <c:v>151.00137712913764</c:v>
                      </c:pt>
                      <c:pt idx="6">
                        <c:v>148.91217910040763</c:v>
                      </c:pt>
                      <c:pt idx="7">
                        <c:v>146.82298107166304</c:v>
                      </c:pt>
                      <c:pt idx="8">
                        <c:v>144.73378304292575</c:v>
                      </c:pt>
                      <c:pt idx="9">
                        <c:v>142.64458501419577</c:v>
                      </c:pt>
                      <c:pt idx="10">
                        <c:v>140.5553869854439</c:v>
                      </c:pt>
                      <c:pt idx="11">
                        <c:v>138.46618895671389</c:v>
                      </c:pt>
                      <c:pt idx="12">
                        <c:v>136.37699092796933</c:v>
                      </c:pt>
                      <c:pt idx="13">
                        <c:v>134.28779289923202</c:v>
                      </c:pt>
                      <c:pt idx="14">
                        <c:v>132.1985948704947</c:v>
                      </c:pt>
                      <c:pt idx="15">
                        <c:v>130.10939684175744</c:v>
                      </c:pt>
                      <c:pt idx="16">
                        <c:v>128.02019881302016</c:v>
                      </c:pt>
                      <c:pt idx="17">
                        <c:v>125.93100078427557</c:v>
                      </c:pt>
                      <c:pt idx="18">
                        <c:v>123.84180275553828</c:v>
                      </c:pt>
                      <c:pt idx="19">
                        <c:v>121.75260472680098</c:v>
                      </c:pt>
                      <c:pt idx="20">
                        <c:v>119.66340669804909</c:v>
                      </c:pt>
                      <c:pt idx="21">
                        <c:v>117.57420866931909</c:v>
                      </c:pt>
                      <c:pt idx="22">
                        <c:v>115.48501064057452</c:v>
                      </c:pt>
                      <c:pt idx="23">
                        <c:v>113.39581261183721</c:v>
                      </c:pt>
                      <c:pt idx="24">
                        <c:v>111.30661458309994</c:v>
                      </c:pt>
                      <c:pt idx="25">
                        <c:v>109.21741655436993</c:v>
                      </c:pt>
                      <c:pt idx="26">
                        <c:v>107.12821852563263</c:v>
                      </c:pt>
                      <c:pt idx="27">
                        <c:v>105.03902049688075</c:v>
                      </c:pt>
                      <c:pt idx="28">
                        <c:v>102.94982246815076</c:v>
                      </c:pt>
                      <c:pt idx="29">
                        <c:v>100.86062443940618</c:v>
                      </c:pt>
                      <c:pt idx="30">
                        <c:v>98.771426410668894</c:v>
                      </c:pt>
                      <c:pt idx="31">
                        <c:v>96.682228381924318</c:v>
                      </c:pt>
                      <c:pt idx="32">
                        <c:v>94.593030353194308</c:v>
                      </c:pt>
                      <c:pt idx="33">
                        <c:v>92.503832324442413</c:v>
                      </c:pt>
                      <c:pt idx="34">
                        <c:v>90.414634295719722</c:v>
                      </c:pt>
                      <c:pt idx="35">
                        <c:v>88.325436266975132</c:v>
                      </c:pt>
                      <c:pt idx="36">
                        <c:v>86.23623823823786</c:v>
                      </c:pt>
                      <c:pt idx="37">
                        <c:v>84.14704020950785</c:v>
                      </c:pt>
                      <c:pt idx="38">
                        <c:v>82.057842180755969</c:v>
                      </c:pt>
                      <c:pt idx="39">
                        <c:v>79.968644152025959</c:v>
                      </c:pt>
                      <c:pt idx="40">
                        <c:v>77.879446123281397</c:v>
                      </c:pt>
                      <c:pt idx="41">
                        <c:v>75.790248094536793</c:v>
                      </c:pt>
                      <c:pt idx="42">
                        <c:v>73.701050065799521</c:v>
                      </c:pt>
                      <c:pt idx="43">
                        <c:v>71.611852037062221</c:v>
                      </c:pt>
                      <c:pt idx="44">
                        <c:v>69.522654008324935</c:v>
                      </c:pt>
                      <c:pt idx="45">
                        <c:v>67.433455979587634</c:v>
                      </c:pt>
                      <c:pt idx="46">
                        <c:v>65.344257950843073</c:v>
                      </c:pt>
                      <c:pt idx="47">
                        <c:v>63.255059922113062</c:v>
                      </c:pt>
                      <c:pt idx="48">
                        <c:v>61.165861893368465</c:v>
                      </c:pt>
                      <c:pt idx="49">
                        <c:v>59.076663864631172</c:v>
                      </c:pt>
                      <c:pt idx="50">
                        <c:v>56.987465835893886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495-4A62-9571-892853E3761F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グラフ!$AM$5</c15:sqref>
                        </c15:formulaRef>
                      </c:ext>
                    </c:extLst>
                    <c:strCache>
                      <c:ptCount val="1"/>
                      <c:pt idx="0">
                        <c:v>outer応力:Δ-10℃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グラフ!$AM$6:$AM$56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151.77392401721215</c:v>
                      </c:pt>
                      <c:pt idx="1">
                        <c:v>149.6847259884749</c:v>
                      </c:pt>
                      <c:pt idx="2">
                        <c:v>147.59552795973761</c:v>
                      </c:pt>
                      <c:pt idx="3">
                        <c:v>145.50632993098571</c:v>
                      </c:pt>
                      <c:pt idx="4">
                        <c:v>143.4171319022557</c:v>
                      </c:pt>
                      <c:pt idx="5">
                        <c:v>141.32793387351117</c:v>
                      </c:pt>
                      <c:pt idx="6">
                        <c:v>139.23873584477386</c:v>
                      </c:pt>
                      <c:pt idx="7">
                        <c:v>137.14953781603654</c:v>
                      </c:pt>
                      <c:pt idx="8">
                        <c:v>135.06033978729195</c:v>
                      </c:pt>
                      <c:pt idx="9">
                        <c:v>132.97114175856925</c:v>
                      </c:pt>
                      <c:pt idx="10">
                        <c:v>130.88194372981741</c:v>
                      </c:pt>
                      <c:pt idx="11">
                        <c:v>128.79274570108009</c:v>
                      </c:pt>
                      <c:pt idx="12">
                        <c:v>126.70354767234281</c:v>
                      </c:pt>
                      <c:pt idx="13">
                        <c:v>124.61434964359823</c:v>
                      </c:pt>
                      <c:pt idx="14">
                        <c:v>122.52515161486821</c:v>
                      </c:pt>
                      <c:pt idx="15">
                        <c:v>120.43595358613092</c:v>
                      </c:pt>
                      <c:pt idx="16">
                        <c:v>118.34675555738635</c:v>
                      </c:pt>
                      <c:pt idx="17">
                        <c:v>116.25755752864906</c:v>
                      </c:pt>
                      <c:pt idx="18">
                        <c:v>114.16835949990447</c:v>
                      </c:pt>
                      <c:pt idx="19">
                        <c:v>112.07916147116717</c:v>
                      </c:pt>
                      <c:pt idx="20">
                        <c:v>109.98996344242258</c:v>
                      </c:pt>
                      <c:pt idx="21">
                        <c:v>107.90076541368531</c:v>
                      </c:pt>
                      <c:pt idx="22">
                        <c:v>105.81156738494801</c:v>
                      </c:pt>
                      <c:pt idx="23">
                        <c:v>103.722369356218</c:v>
                      </c:pt>
                      <c:pt idx="24">
                        <c:v>101.63317132747343</c:v>
                      </c:pt>
                      <c:pt idx="25">
                        <c:v>99.543973298736134</c:v>
                      </c:pt>
                      <c:pt idx="26">
                        <c:v>97.454775269998834</c:v>
                      </c:pt>
                      <c:pt idx="27">
                        <c:v>95.365577241254258</c:v>
                      </c:pt>
                      <c:pt idx="28">
                        <c:v>93.276379212516972</c:v>
                      </c:pt>
                      <c:pt idx="29">
                        <c:v>91.187181183772395</c:v>
                      </c:pt>
                      <c:pt idx="30">
                        <c:v>89.097983155042385</c:v>
                      </c:pt>
                      <c:pt idx="31">
                        <c:v>87.008785126290519</c:v>
                      </c:pt>
                      <c:pt idx="32">
                        <c:v>84.919587097575089</c:v>
                      </c:pt>
                      <c:pt idx="33">
                        <c:v>82.830389068823209</c:v>
                      </c:pt>
                      <c:pt idx="34">
                        <c:v>80.741191040085909</c:v>
                      </c:pt>
                      <c:pt idx="35">
                        <c:v>78.651993011348637</c:v>
                      </c:pt>
                      <c:pt idx="36">
                        <c:v>76.562794982604061</c:v>
                      </c:pt>
                      <c:pt idx="37">
                        <c:v>74.473596953874051</c:v>
                      </c:pt>
                      <c:pt idx="38">
                        <c:v>72.38439892512946</c:v>
                      </c:pt>
                      <c:pt idx="39">
                        <c:v>70.295200896392174</c:v>
                      </c:pt>
                      <c:pt idx="40">
                        <c:v>68.206002867647584</c:v>
                      </c:pt>
                      <c:pt idx="41">
                        <c:v>66.116804838910312</c:v>
                      </c:pt>
                      <c:pt idx="42">
                        <c:v>64.027606810180302</c:v>
                      </c:pt>
                      <c:pt idx="43">
                        <c:v>61.938408781435719</c:v>
                      </c:pt>
                      <c:pt idx="44">
                        <c:v>59.849210752691128</c:v>
                      </c:pt>
                      <c:pt idx="45">
                        <c:v>57.760012723961125</c:v>
                      </c:pt>
                      <c:pt idx="46">
                        <c:v>55.670814695209252</c:v>
                      </c:pt>
                      <c:pt idx="47">
                        <c:v>53.581616666479249</c:v>
                      </c:pt>
                      <c:pt idx="48">
                        <c:v>51.492418637741956</c:v>
                      </c:pt>
                      <c:pt idx="49">
                        <c:v>49.403220608997387</c:v>
                      </c:pt>
                      <c:pt idx="50">
                        <c:v>47.314022580260087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495-4A62-9571-892853E3761F}"/>
                  </c:ext>
                </c:extLst>
              </c15:ser>
            </c15:filteredScatterSeries>
            <c15:filteredScatterSeries>
              <c15:ser>
                <c:idx val="25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グラフ!$AN$5</c15:sqref>
                        </c15:formulaRef>
                      </c:ext>
                    </c:extLst>
                    <c:strCache>
                      <c:ptCount val="1"/>
                      <c:pt idx="0">
                        <c:v>outer応力:Δ0℃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グラフ!$AN$6:$AN$56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142.10048076158566</c:v>
                      </c:pt>
                      <c:pt idx="1">
                        <c:v>140.0112827328411</c:v>
                      </c:pt>
                      <c:pt idx="2">
                        <c:v>137.92208470411109</c:v>
                      </c:pt>
                      <c:pt idx="3">
                        <c:v>135.83288667535922</c:v>
                      </c:pt>
                      <c:pt idx="4">
                        <c:v>133.74368864662191</c:v>
                      </c:pt>
                      <c:pt idx="5">
                        <c:v>131.65449061788462</c:v>
                      </c:pt>
                      <c:pt idx="6">
                        <c:v>129.56529258914003</c:v>
                      </c:pt>
                      <c:pt idx="7">
                        <c:v>127.47609456041005</c:v>
                      </c:pt>
                      <c:pt idx="8">
                        <c:v>125.38689653166547</c:v>
                      </c:pt>
                      <c:pt idx="9">
                        <c:v>123.29769850293548</c:v>
                      </c:pt>
                      <c:pt idx="10">
                        <c:v>121.20850047419088</c:v>
                      </c:pt>
                      <c:pt idx="11">
                        <c:v>119.11930244544628</c:v>
                      </c:pt>
                      <c:pt idx="12">
                        <c:v>117.03010441671628</c:v>
                      </c:pt>
                      <c:pt idx="13">
                        <c:v>114.94090638797171</c:v>
                      </c:pt>
                      <c:pt idx="14">
                        <c:v>112.85170835923442</c:v>
                      </c:pt>
                      <c:pt idx="15">
                        <c:v>110.76251033050441</c:v>
                      </c:pt>
                      <c:pt idx="16">
                        <c:v>108.67331230175255</c:v>
                      </c:pt>
                      <c:pt idx="17">
                        <c:v>106.58411427301523</c:v>
                      </c:pt>
                      <c:pt idx="18">
                        <c:v>104.49491624427796</c:v>
                      </c:pt>
                      <c:pt idx="19">
                        <c:v>102.40571821553337</c:v>
                      </c:pt>
                      <c:pt idx="20">
                        <c:v>100.3165201867961</c:v>
                      </c:pt>
                      <c:pt idx="21">
                        <c:v>98.227322158066087</c:v>
                      </c:pt>
                      <c:pt idx="22">
                        <c:v>96.138124129321511</c:v>
                      </c:pt>
                      <c:pt idx="23">
                        <c:v>94.048926100584211</c:v>
                      </c:pt>
                      <c:pt idx="24">
                        <c:v>91.959728071839621</c:v>
                      </c:pt>
                      <c:pt idx="25">
                        <c:v>89.870530043109625</c:v>
                      </c:pt>
                      <c:pt idx="26">
                        <c:v>87.781332014365034</c:v>
                      </c:pt>
                      <c:pt idx="27">
                        <c:v>85.692133985620458</c:v>
                      </c:pt>
                      <c:pt idx="28">
                        <c:v>83.602935956890448</c:v>
                      </c:pt>
                      <c:pt idx="29">
                        <c:v>81.513737928138582</c:v>
                      </c:pt>
                      <c:pt idx="30">
                        <c:v>79.424539899423152</c:v>
                      </c:pt>
                      <c:pt idx="31">
                        <c:v>77.3353418706713</c:v>
                      </c:pt>
                      <c:pt idx="32">
                        <c:v>75.24614384194129</c:v>
                      </c:pt>
                      <c:pt idx="33">
                        <c:v>73.1569458131967</c:v>
                      </c:pt>
                      <c:pt idx="34">
                        <c:v>71.067747784452123</c:v>
                      </c:pt>
                      <c:pt idx="35">
                        <c:v>68.978549755714837</c:v>
                      </c:pt>
                      <c:pt idx="36">
                        <c:v>66.889351726977537</c:v>
                      </c:pt>
                      <c:pt idx="37">
                        <c:v>64.800153698240237</c:v>
                      </c:pt>
                      <c:pt idx="38">
                        <c:v>62.710955669495661</c:v>
                      </c:pt>
                      <c:pt idx="39">
                        <c:v>60.621757640765658</c:v>
                      </c:pt>
                      <c:pt idx="40">
                        <c:v>58.532559612028372</c:v>
                      </c:pt>
                      <c:pt idx="41">
                        <c:v>56.443361583283789</c:v>
                      </c:pt>
                      <c:pt idx="42">
                        <c:v>54.354163554546489</c:v>
                      </c:pt>
                      <c:pt idx="43">
                        <c:v>52.264965525809203</c:v>
                      </c:pt>
                      <c:pt idx="44">
                        <c:v>50.175767497057336</c:v>
                      </c:pt>
                      <c:pt idx="45">
                        <c:v>48.086569468327326</c:v>
                      </c:pt>
                      <c:pt idx="46">
                        <c:v>45.99737143958275</c:v>
                      </c:pt>
                      <c:pt idx="47">
                        <c:v>43.90817341084545</c:v>
                      </c:pt>
                      <c:pt idx="48">
                        <c:v>41.818975382108164</c:v>
                      </c:pt>
                      <c:pt idx="49">
                        <c:v>39.729777353370871</c:v>
                      </c:pt>
                      <c:pt idx="50">
                        <c:v>37.640579324640868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495-4A62-9571-892853E3761F}"/>
                  </c:ext>
                </c:extLst>
              </c15:ser>
            </c15:filteredScatterSeries>
            <c15:filteredScatterSeries>
              <c15:ser>
                <c:idx val="26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グラフ!$AO$5</c15:sqref>
                        </c15:formulaRef>
                      </c:ext>
                    </c:extLst>
                    <c:strCache>
                      <c:ptCount val="1"/>
                      <c:pt idx="0">
                        <c:v>outer応力:Δ+10℃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グラフ!$AO$6:$AO$56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132.42703750595916</c:v>
                      </c:pt>
                      <c:pt idx="1">
                        <c:v>130.33783947721457</c:v>
                      </c:pt>
                      <c:pt idx="2">
                        <c:v>128.24864144847729</c:v>
                      </c:pt>
                      <c:pt idx="3">
                        <c:v>126.15944341973271</c:v>
                      </c:pt>
                      <c:pt idx="4">
                        <c:v>124.07024539098812</c:v>
                      </c:pt>
                      <c:pt idx="5">
                        <c:v>121.98104736225811</c:v>
                      </c:pt>
                      <c:pt idx="6">
                        <c:v>119.89184933351353</c:v>
                      </c:pt>
                      <c:pt idx="7">
                        <c:v>117.80265130477623</c:v>
                      </c:pt>
                      <c:pt idx="8">
                        <c:v>115.71345327603896</c:v>
                      </c:pt>
                      <c:pt idx="9">
                        <c:v>113.62425524730166</c:v>
                      </c:pt>
                      <c:pt idx="10">
                        <c:v>111.53505721856435</c:v>
                      </c:pt>
                      <c:pt idx="11">
                        <c:v>109.44585918981979</c:v>
                      </c:pt>
                      <c:pt idx="12">
                        <c:v>107.3566611610825</c:v>
                      </c:pt>
                      <c:pt idx="13">
                        <c:v>105.2674631323452</c:v>
                      </c:pt>
                      <c:pt idx="14">
                        <c:v>103.17826510360064</c:v>
                      </c:pt>
                      <c:pt idx="15">
                        <c:v>101.08906707487063</c:v>
                      </c:pt>
                      <c:pt idx="16">
                        <c:v>98.999869046126022</c:v>
                      </c:pt>
                      <c:pt idx="17">
                        <c:v>96.910671017381446</c:v>
                      </c:pt>
                      <c:pt idx="18">
                        <c:v>94.821472988651436</c:v>
                      </c:pt>
                      <c:pt idx="19">
                        <c:v>92.73227495991415</c:v>
                      </c:pt>
                      <c:pt idx="20">
                        <c:v>90.643076931169574</c:v>
                      </c:pt>
                      <c:pt idx="21">
                        <c:v>88.553878902432288</c:v>
                      </c:pt>
                      <c:pt idx="22">
                        <c:v>86.464680873687698</c:v>
                      </c:pt>
                      <c:pt idx="23">
                        <c:v>84.375482844957688</c:v>
                      </c:pt>
                      <c:pt idx="24">
                        <c:v>82.286284816205836</c:v>
                      </c:pt>
                      <c:pt idx="25">
                        <c:v>80.197086787475826</c:v>
                      </c:pt>
                      <c:pt idx="26">
                        <c:v>78.10788875873854</c:v>
                      </c:pt>
                      <c:pt idx="27">
                        <c:v>76.018690729986659</c:v>
                      </c:pt>
                      <c:pt idx="28">
                        <c:v>73.929492701271244</c:v>
                      </c:pt>
                      <c:pt idx="29">
                        <c:v>71.840294672519363</c:v>
                      </c:pt>
                      <c:pt idx="30">
                        <c:v>69.751096643789367</c:v>
                      </c:pt>
                      <c:pt idx="31">
                        <c:v>67.661898615044763</c:v>
                      </c:pt>
                      <c:pt idx="32">
                        <c:v>65.572700586307491</c:v>
                      </c:pt>
                      <c:pt idx="33">
                        <c:v>63.4835025575629</c:v>
                      </c:pt>
                      <c:pt idx="34">
                        <c:v>61.394304528825614</c:v>
                      </c:pt>
                      <c:pt idx="35">
                        <c:v>59.305106500081038</c:v>
                      </c:pt>
                      <c:pt idx="36">
                        <c:v>57.215908471343752</c:v>
                      </c:pt>
                      <c:pt idx="37">
                        <c:v>55.126710442613742</c:v>
                      </c:pt>
                      <c:pt idx="38">
                        <c:v>53.037512413876442</c:v>
                      </c:pt>
                      <c:pt idx="39">
                        <c:v>50.948314385139156</c:v>
                      </c:pt>
                      <c:pt idx="40">
                        <c:v>48.859116356394573</c:v>
                      </c:pt>
                      <c:pt idx="41">
                        <c:v>46.769918327657273</c:v>
                      </c:pt>
                      <c:pt idx="42">
                        <c:v>44.680720298912703</c:v>
                      </c:pt>
                      <c:pt idx="43">
                        <c:v>42.591522270175403</c:v>
                      </c:pt>
                      <c:pt idx="44">
                        <c:v>40.50232424143082</c:v>
                      </c:pt>
                      <c:pt idx="45">
                        <c:v>38.413126212693534</c:v>
                      </c:pt>
                      <c:pt idx="46">
                        <c:v>36.323928183948951</c:v>
                      </c:pt>
                      <c:pt idx="47">
                        <c:v>34.234730155218948</c:v>
                      </c:pt>
                      <c:pt idx="48">
                        <c:v>32.145532126488945</c:v>
                      </c:pt>
                      <c:pt idx="49">
                        <c:v>30.056334097744362</c:v>
                      </c:pt>
                      <c:pt idx="50">
                        <c:v>27.967136069007068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495-4A62-9571-892853E3761F}"/>
                  </c:ext>
                </c:extLst>
              </c15:ser>
            </c15:filteredScatterSeries>
            <c15:filteredScatterSeries>
              <c15:ser>
                <c:idx val="27"/>
                <c:order val="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グラフ!$AP$5</c15:sqref>
                        </c15:formulaRef>
                      </c:ext>
                    </c:extLst>
                    <c:strCache>
                      <c:ptCount val="1"/>
                      <c:pt idx="0">
                        <c:v>outer応力:Δ+20℃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グラフ!$AP$6:$AP$56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122.75359425032536</c:v>
                      </c:pt>
                      <c:pt idx="1">
                        <c:v>120.66439622158808</c:v>
                      </c:pt>
                      <c:pt idx="2">
                        <c:v>118.57519819284349</c:v>
                      </c:pt>
                      <c:pt idx="3">
                        <c:v>116.48600016410619</c:v>
                      </c:pt>
                      <c:pt idx="4">
                        <c:v>114.39680213536161</c:v>
                      </c:pt>
                      <c:pt idx="5">
                        <c:v>112.30760410662432</c:v>
                      </c:pt>
                      <c:pt idx="6">
                        <c:v>110.21840607788702</c:v>
                      </c:pt>
                      <c:pt idx="7">
                        <c:v>108.12920804914246</c:v>
                      </c:pt>
                      <c:pt idx="8">
                        <c:v>106.04001002041245</c:v>
                      </c:pt>
                      <c:pt idx="9">
                        <c:v>103.95081199167515</c:v>
                      </c:pt>
                      <c:pt idx="10">
                        <c:v>101.86161396293056</c:v>
                      </c:pt>
                      <c:pt idx="11">
                        <c:v>99.772415934193276</c:v>
                      </c:pt>
                      <c:pt idx="12">
                        <c:v>97.683217905448686</c:v>
                      </c:pt>
                      <c:pt idx="13">
                        <c:v>95.594019876711414</c:v>
                      </c:pt>
                      <c:pt idx="14">
                        <c:v>93.504821847974114</c:v>
                      </c:pt>
                      <c:pt idx="15">
                        <c:v>91.415623819236814</c:v>
                      </c:pt>
                      <c:pt idx="16">
                        <c:v>89.326425790499528</c:v>
                      </c:pt>
                      <c:pt idx="17">
                        <c:v>87.237227761762227</c:v>
                      </c:pt>
                      <c:pt idx="18">
                        <c:v>85.148029733024941</c:v>
                      </c:pt>
                      <c:pt idx="19">
                        <c:v>83.058831704280365</c:v>
                      </c:pt>
                      <c:pt idx="20">
                        <c:v>80.969633675535775</c:v>
                      </c:pt>
                      <c:pt idx="21">
                        <c:v>78.880435646805779</c:v>
                      </c:pt>
                      <c:pt idx="22">
                        <c:v>76.791237618053898</c:v>
                      </c:pt>
                      <c:pt idx="23">
                        <c:v>74.702039589323888</c:v>
                      </c:pt>
                      <c:pt idx="24">
                        <c:v>72.612841560579312</c:v>
                      </c:pt>
                      <c:pt idx="25">
                        <c:v>70.523643531842026</c:v>
                      </c:pt>
                      <c:pt idx="26">
                        <c:v>68.434445503119321</c:v>
                      </c:pt>
                      <c:pt idx="27">
                        <c:v>66.34524747436744</c:v>
                      </c:pt>
                      <c:pt idx="28">
                        <c:v>64.25604944563743</c:v>
                      </c:pt>
                      <c:pt idx="29">
                        <c:v>62.166851416892854</c:v>
                      </c:pt>
                      <c:pt idx="30">
                        <c:v>60.077653388155561</c:v>
                      </c:pt>
                      <c:pt idx="31">
                        <c:v>57.988455359410992</c:v>
                      </c:pt>
                      <c:pt idx="32">
                        <c:v>55.899257330680982</c:v>
                      </c:pt>
                      <c:pt idx="33">
                        <c:v>53.810059301929108</c:v>
                      </c:pt>
                      <c:pt idx="34">
                        <c:v>51.720861273191822</c:v>
                      </c:pt>
                      <c:pt idx="35">
                        <c:v>49.631663244454529</c:v>
                      </c:pt>
                      <c:pt idx="36">
                        <c:v>47.542465215724519</c:v>
                      </c:pt>
                      <c:pt idx="37">
                        <c:v>45.453267186987226</c:v>
                      </c:pt>
                      <c:pt idx="38">
                        <c:v>43.36406915824265</c:v>
                      </c:pt>
                      <c:pt idx="39">
                        <c:v>41.27487112951264</c:v>
                      </c:pt>
                      <c:pt idx="40">
                        <c:v>39.185673100760773</c:v>
                      </c:pt>
                      <c:pt idx="41">
                        <c:v>37.09647507202348</c:v>
                      </c:pt>
                      <c:pt idx="42">
                        <c:v>35.007277043286194</c:v>
                      </c:pt>
                      <c:pt idx="43">
                        <c:v>32.918079014541611</c:v>
                      </c:pt>
                      <c:pt idx="44">
                        <c:v>30.828880985797028</c:v>
                      </c:pt>
                      <c:pt idx="45">
                        <c:v>28.739682957067021</c:v>
                      </c:pt>
                      <c:pt idx="46">
                        <c:v>26.650484928329735</c:v>
                      </c:pt>
                      <c:pt idx="47">
                        <c:v>24.561286899592439</c:v>
                      </c:pt>
                      <c:pt idx="48">
                        <c:v>22.472088870855149</c:v>
                      </c:pt>
                      <c:pt idx="49">
                        <c:v>20.382890842117856</c:v>
                      </c:pt>
                      <c:pt idx="50">
                        <c:v>18.293692813373273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495-4A62-9571-892853E3761F}"/>
                  </c:ext>
                </c:extLst>
              </c15:ser>
            </c15:filteredScatterSeries>
            <c15:filteredScatterSeries>
              <c15:ser>
                <c:idx val="28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グラフ!$AQ$5</c15:sqref>
                        </c15:formulaRef>
                      </c:ext>
                    </c:extLst>
                    <c:strCache>
                      <c:ptCount val="1"/>
                      <c:pt idx="0">
                        <c:v>outer応力:Δ+30℃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グラフ!$AQ$6:$AQ$56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113.08015099469155</c:v>
                      </c:pt>
                      <c:pt idx="1">
                        <c:v>110.99095296596154</c:v>
                      </c:pt>
                      <c:pt idx="2">
                        <c:v>108.90175493721698</c:v>
                      </c:pt>
                      <c:pt idx="3">
                        <c:v>106.81255690847239</c:v>
                      </c:pt>
                      <c:pt idx="4">
                        <c:v>104.7233588797351</c:v>
                      </c:pt>
                      <c:pt idx="5">
                        <c:v>102.63416085099053</c:v>
                      </c:pt>
                      <c:pt idx="6">
                        <c:v>100.54496282226053</c:v>
                      </c:pt>
                      <c:pt idx="7">
                        <c:v>98.455764793515939</c:v>
                      </c:pt>
                      <c:pt idx="8">
                        <c:v>96.366566764778639</c:v>
                      </c:pt>
                      <c:pt idx="9">
                        <c:v>94.277368736048629</c:v>
                      </c:pt>
                      <c:pt idx="10">
                        <c:v>92.188170707296777</c:v>
                      </c:pt>
                      <c:pt idx="11">
                        <c:v>90.098972678559477</c:v>
                      </c:pt>
                      <c:pt idx="12">
                        <c:v>88.009774649822191</c:v>
                      </c:pt>
                      <c:pt idx="13">
                        <c:v>85.920576621077615</c:v>
                      </c:pt>
                      <c:pt idx="14">
                        <c:v>83.831378592347619</c:v>
                      </c:pt>
                      <c:pt idx="15">
                        <c:v>81.742180563617609</c:v>
                      </c:pt>
                      <c:pt idx="16">
                        <c:v>79.652982534873018</c:v>
                      </c:pt>
                      <c:pt idx="17">
                        <c:v>77.563784506128428</c:v>
                      </c:pt>
                      <c:pt idx="18">
                        <c:v>75.474586477391128</c:v>
                      </c:pt>
                      <c:pt idx="19">
                        <c:v>73.385388448653842</c:v>
                      </c:pt>
                      <c:pt idx="20">
                        <c:v>71.29619041990199</c:v>
                      </c:pt>
                      <c:pt idx="21">
                        <c:v>69.206992391171966</c:v>
                      </c:pt>
                      <c:pt idx="22">
                        <c:v>67.117794362427404</c:v>
                      </c:pt>
                      <c:pt idx="23">
                        <c:v>65.028596333690103</c:v>
                      </c:pt>
                      <c:pt idx="24">
                        <c:v>62.939398304960108</c:v>
                      </c:pt>
                      <c:pt idx="25">
                        <c:v>60.850200276222807</c:v>
                      </c:pt>
                      <c:pt idx="26">
                        <c:v>58.761002247485514</c:v>
                      </c:pt>
                      <c:pt idx="27">
                        <c:v>56.671804218740931</c:v>
                      </c:pt>
                      <c:pt idx="28">
                        <c:v>54.582606190003638</c:v>
                      </c:pt>
                      <c:pt idx="29">
                        <c:v>52.493408161259055</c:v>
                      </c:pt>
                      <c:pt idx="30">
                        <c:v>50.404210132529052</c:v>
                      </c:pt>
                      <c:pt idx="31">
                        <c:v>48.315012103777185</c:v>
                      </c:pt>
                      <c:pt idx="32">
                        <c:v>46.225814075047182</c:v>
                      </c:pt>
                      <c:pt idx="33">
                        <c:v>44.136616046302599</c:v>
                      </c:pt>
                      <c:pt idx="34">
                        <c:v>42.047418017572596</c:v>
                      </c:pt>
                      <c:pt idx="35">
                        <c:v>39.95821998882802</c:v>
                      </c:pt>
                      <c:pt idx="36">
                        <c:v>37.86902196009072</c:v>
                      </c:pt>
                      <c:pt idx="37">
                        <c:v>35.779823931360717</c:v>
                      </c:pt>
                      <c:pt idx="38">
                        <c:v>33.690625902608851</c:v>
                      </c:pt>
                      <c:pt idx="39">
                        <c:v>31.601427873878841</c:v>
                      </c:pt>
                      <c:pt idx="40">
                        <c:v>29.512229845134264</c:v>
                      </c:pt>
                      <c:pt idx="41">
                        <c:v>27.423031816389688</c:v>
                      </c:pt>
                      <c:pt idx="42">
                        <c:v>25.333833787652392</c:v>
                      </c:pt>
                      <c:pt idx="43">
                        <c:v>23.244635758915098</c:v>
                      </c:pt>
                      <c:pt idx="44">
                        <c:v>21.155437730177809</c:v>
                      </c:pt>
                      <c:pt idx="45">
                        <c:v>19.066239701440516</c:v>
                      </c:pt>
                      <c:pt idx="46">
                        <c:v>16.977041672695933</c:v>
                      </c:pt>
                      <c:pt idx="47">
                        <c:v>14.887843643965931</c:v>
                      </c:pt>
                      <c:pt idx="48">
                        <c:v>12.798645615221348</c:v>
                      </c:pt>
                      <c:pt idx="49">
                        <c:v>10.709447586484057</c:v>
                      </c:pt>
                      <c:pt idx="50">
                        <c:v>8.6202495577467655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87C-403A-A721-D0AAAC5FC3C2}"/>
                  </c:ext>
                </c:extLst>
              </c15:ser>
            </c15:filteredScatterSeries>
            <c15:filteredScatterSeries>
              <c15:ser>
                <c:idx val="29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グラフ!$AR$5</c15:sqref>
                        </c15:formulaRef>
                      </c:ext>
                    </c:extLst>
                    <c:strCache>
                      <c:ptCount val="1"/>
                      <c:pt idx="0">
                        <c:v>outer降伏点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グラフ!$AR$6:$AR$56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150</c:v>
                      </c:pt>
                      <c:pt idx="1">
                        <c:v>150</c:v>
                      </c:pt>
                      <c:pt idx="2">
                        <c:v>150</c:v>
                      </c:pt>
                      <c:pt idx="3">
                        <c:v>150</c:v>
                      </c:pt>
                      <c:pt idx="4">
                        <c:v>150</c:v>
                      </c:pt>
                      <c:pt idx="5">
                        <c:v>150</c:v>
                      </c:pt>
                      <c:pt idx="6">
                        <c:v>150</c:v>
                      </c:pt>
                      <c:pt idx="7">
                        <c:v>150</c:v>
                      </c:pt>
                      <c:pt idx="8">
                        <c:v>150</c:v>
                      </c:pt>
                      <c:pt idx="9">
                        <c:v>150</c:v>
                      </c:pt>
                      <c:pt idx="10">
                        <c:v>150</c:v>
                      </c:pt>
                      <c:pt idx="11">
                        <c:v>150</c:v>
                      </c:pt>
                      <c:pt idx="12">
                        <c:v>150</c:v>
                      </c:pt>
                      <c:pt idx="13">
                        <c:v>150</c:v>
                      </c:pt>
                      <c:pt idx="14">
                        <c:v>150</c:v>
                      </c:pt>
                      <c:pt idx="15">
                        <c:v>150</c:v>
                      </c:pt>
                      <c:pt idx="16">
                        <c:v>150</c:v>
                      </c:pt>
                      <c:pt idx="17">
                        <c:v>150</c:v>
                      </c:pt>
                      <c:pt idx="18">
                        <c:v>150</c:v>
                      </c:pt>
                      <c:pt idx="19">
                        <c:v>150</c:v>
                      </c:pt>
                      <c:pt idx="20">
                        <c:v>150</c:v>
                      </c:pt>
                      <c:pt idx="21">
                        <c:v>150</c:v>
                      </c:pt>
                      <c:pt idx="22">
                        <c:v>150</c:v>
                      </c:pt>
                      <c:pt idx="23">
                        <c:v>150</c:v>
                      </c:pt>
                      <c:pt idx="24">
                        <c:v>150</c:v>
                      </c:pt>
                      <c:pt idx="25">
                        <c:v>150</c:v>
                      </c:pt>
                      <c:pt idx="26">
                        <c:v>150</c:v>
                      </c:pt>
                      <c:pt idx="27">
                        <c:v>150</c:v>
                      </c:pt>
                      <c:pt idx="28">
                        <c:v>150</c:v>
                      </c:pt>
                      <c:pt idx="29">
                        <c:v>150</c:v>
                      </c:pt>
                      <c:pt idx="30">
                        <c:v>150</c:v>
                      </c:pt>
                      <c:pt idx="31">
                        <c:v>150</c:v>
                      </c:pt>
                      <c:pt idx="32">
                        <c:v>150</c:v>
                      </c:pt>
                      <c:pt idx="33">
                        <c:v>150</c:v>
                      </c:pt>
                      <c:pt idx="34">
                        <c:v>150</c:v>
                      </c:pt>
                      <c:pt idx="35">
                        <c:v>150</c:v>
                      </c:pt>
                      <c:pt idx="36">
                        <c:v>150</c:v>
                      </c:pt>
                      <c:pt idx="37">
                        <c:v>150</c:v>
                      </c:pt>
                      <c:pt idx="38">
                        <c:v>150</c:v>
                      </c:pt>
                      <c:pt idx="39">
                        <c:v>150</c:v>
                      </c:pt>
                      <c:pt idx="40">
                        <c:v>150</c:v>
                      </c:pt>
                      <c:pt idx="41">
                        <c:v>150</c:v>
                      </c:pt>
                      <c:pt idx="42">
                        <c:v>150</c:v>
                      </c:pt>
                      <c:pt idx="43">
                        <c:v>150</c:v>
                      </c:pt>
                      <c:pt idx="44">
                        <c:v>150</c:v>
                      </c:pt>
                      <c:pt idx="45">
                        <c:v>150</c:v>
                      </c:pt>
                      <c:pt idx="46">
                        <c:v>150</c:v>
                      </c:pt>
                      <c:pt idx="47">
                        <c:v>150</c:v>
                      </c:pt>
                      <c:pt idx="48">
                        <c:v>150</c:v>
                      </c:pt>
                      <c:pt idx="49">
                        <c:v>150</c:v>
                      </c:pt>
                      <c:pt idx="50">
                        <c:v>150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87C-403A-A721-D0AAAC5FC3C2}"/>
                  </c:ext>
                </c:extLst>
              </c15:ser>
            </c15:filteredScatterSeries>
          </c:ext>
        </c:extLst>
      </c:scatterChart>
      <c:valAx>
        <c:axId val="1878419104"/>
        <c:scaling>
          <c:orientation val="minMax"/>
          <c:max val="200"/>
          <c:min val="-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グラフ!$N$5</c:f>
              <c:strCache>
                <c:ptCount val="1"/>
                <c:pt idx="0">
                  <c:v>inner温度[℃]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8401216"/>
        <c:crosses val="autoZero"/>
        <c:crossBetween val="midCat"/>
      </c:valAx>
      <c:valAx>
        <c:axId val="18784012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グラフ!$AC$4</c:f>
              <c:strCache>
                <c:ptCount val="1"/>
                <c:pt idx="0">
                  <c:v>inner応力[MPa]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8419104"/>
        <c:crossesAt val="-100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温度</a:t>
            </a:r>
            <a:r>
              <a:rPr lang="en-US" altLang="ja-JP"/>
              <a:t>vs</a:t>
            </a:r>
            <a:r>
              <a:rPr lang="ja-JP" altLang="en-US"/>
              <a:t>応力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7"/>
          <c:order val="7"/>
          <c:tx>
            <c:strRef>
              <c:f>グラフ!$V$5</c:f>
              <c:strCache>
                <c:ptCount val="1"/>
                <c:pt idx="0">
                  <c:v>半径方向応力:Δ-30℃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グラフ!$V$6:$V$56</c:f>
              <c:numCache>
                <c:formatCode>0.0</c:formatCode>
                <c:ptCount val="51"/>
                <c:pt idx="0">
                  <c:v>87.419322699883182</c:v>
                </c:pt>
                <c:pt idx="1">
                  <c:v>86.352028335774293</c:v>
                </c:pt>
                <c:pt idx="2">
                  <c:v>85.284733971669127</c:v>
                </c:pt>
                <c:pt idx="3">
                  <c:v>84.217439607563975</c:v>
                </c:pt>
                <c:pt idx="4">
                  <c:v>83.1501452434551</c:v>
                </c:pt>
                <c:pt idx="5">
                  <c:v>82.082850879349934</c:v>
                </c:pt>
                <c:pt idx="6">
                  <c:v>81.015556515244782</c:v>
                </c:pt>
                <c:pt idx="7">
                  <c:v>79.948262151135907</c:v>
                </c:pt>
                <c:pt idx="8">
                  <c:v>78.880967787034479</c:v>
                </c:pt>
                <c:pt idx="9">
                  <c:v>77.813673422929313</c:v>
                </c:pt>
                <c:pt idx="10">
                  <c:v>76.746379058820423</c:v>
                </c:pt>
                <c:pt idx="11">
                  <c:v>75.679084694715272</c:v>
                </c:pt>
                <c:pt idx="12">
                  <c:v>74.611790330606397</c:v>
                </c:pt>
                <c:pt idx="13">
                  <c:v>73.544495966504954</c:v>
                </c:pt>
                <c:pt idx="14">
                  <c:v>72.477201602396079</c:v>
                </c:pt>
                <c:pt idx="15">
                  <c:v>71.40990723829465</c:v>
                </c:pt>
                <c:pt idx="16">
                  <c:v>70.342612874185761</c:v>
                </c:pt>
                <c:pt idx="17">
                  <c:v>69.275318510076872</c:v>
                </c:pt>
                <c:pt idx="18">
                  <c:v>68.208024145975443</c:v>
                </c:pt>
                <c:pt idx="19">
                  <c:v>67.140729781866568</c:v>
                </c:pt>
                <c:pt idx="20">
                  <c:v>66.073435417757693</c:v>
                </c:pt>
                <c:pt idx="21">
                  <c:v>65.006141053656251</c:v>
                </c:pt>
                <c:pt idx="22">
                  <c:v>63.938846689543645</c:v>
                </c:pt>
                <c:pt idx="23">
                  <c:v>62.87155232544221</c:v>
                </c:pt>
                <c:pt idx="24">
                  <c:v>61.804257961333327</c:v>
                </c:pt>
                <c:pt idx="25">
                  <c:v>60.736963597228176</c:v>
                </c:pt>
                <c:pt idx="26">
                  <c:v>59.66966923312674</c:v>
                </c:pt>
                <c:pt idx="27">
                  <c:v>58.602374869017865</c:v>
                </c:pt>
                <c:pt idx="28">
                  <c:v>57.535080504916429</c:v>
                </c:pt>
                <c:pt idx="29">
                  <c:v>56.467786140803817</c:v>
                </c:pt>
                <c:pt idx="30">
                  <c:v>55.400491776702381</c:v>
                </c:pt>
                <c:pt idx="31">
                  <c:v>54.333197412593506</c:v>
                </c:pt>
                <c:pt idx="32">
                  <c:v>53.265903048488347</c:v>
                </c:pt>
                <c:pt idx="33">
                  <c:v>52.198608684379472</c:v>
                </c:pt>
                <c:pt idx="34">
                  <c:v>51.131314320274306</c:v>
                </c:pt>
                <c:pt idx="35">
                  <c:v>50.064019956165424</c:v>
                </c:pt>
                <c:pt idx="36">
                  <c:v>48.996725592067712</c:v>
                </c:pt>
                <c:pt idx="37">
                  <c:v>47.92943122796256</c:v>
                </c:pt>
                <c:pt idx="38">
                  <c:v>46.862136863853678</c:v>
                </c:pt>
                <c:pt idx="39">
                  <c:v>45.794842499752249</c:v>
                </c:pt>
                <c:pt idx="40">
                  <c:v>44.727548135639637</c:v>
                </c:pt>
                <c:pt idx="41">
                  <c:v>43.660253771534485</c:v>
                </c:pt>
                <c:pt idx="42">
                  <c:v>42.592959407429326</c:v>
                </c:pt>
                <c:pt idx="43">
                  <c:v>41.525665043320444</c:v>
                </c:pt>
                <c:pt idx="44">
                  <c:v>40.458370679211562</c:v>
                </c:pt>
                <c:pt idx="45">
                  <c:v>39.391076315110134</c:v>
                </c:pt>
                <c:pt idx="46">
                  <c:v>38.323781951004968</c:v>
                </c:pt>
                <c:pt idx="47">
                  <c:v>37.256487586899816</c:v>
                </c:pt>
                <c:pt idx="48">
                  <c:v>36.189193222794657</c:v>
                </c:pt>
                <c:pt idx="49">
                  <c:v>35.121898858689505</c:v>
                </c:pt>
                <c:pt idx="50">
                  <c:v>34.054604494580616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F10B-40E1-A458-CF55F8F74358}"/>
            </c:ext>
          </c:extLst>
        </c:ser>
        <c:ser>
          <c:idx val="8"/>
          <c:order val="8"/>
          <c:tx>
            <c:strRef>
              <c:f>グラフ!$W$5</c:f>
              <c:strCache>
                <c:ptCount val="1"/>
                <c:pt idx="0">
                  <c:v>半径方向応力:Δ-20℃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グラフ!$W$6:$W$56</c:f>
              <c:numCache>
                <c:formatCode>0.0</c:formatCode>
                <c:ptCount val="51"/>
                <c:pt idx="0">
                  <c:v>82.477516645016735</c:v>
                </c:pt>
                <c:pt idx="1">
                  <c:v>81.410222280915292</c:v>
                </c:pt>
                <c:pt idx="2">
                  <c:v>80.342927916806403</c:v>
                </c:pt>
                <c:pt idx="3">
                  <c:v>79.275633552697528</c:v>
                </c:pt>
                <c:pt idx="4">
                  <c:v>78.208339188592376</c:v>
                </c:pt>
                <c:pt idx="5">
                  <c:v>77.141044824483501</c:v>
                </c:pt>
                <c:pt idx="6">
                  <c:v>76.073750460382058</c:v>
                </c:pt>
                <c:pt idx="7">
                  <c:v>75.006456096273169</c:v>
                </c:pt>
                <c:pt idx="8">
                  <c:v>73.939161732168017</c:v>
                </c:pt>
                <c:pt idx="9">
                  <c:v>72.871867368066589</c:v>
                </c:pt>
                <c:pt idx="10">
                  <c:v>71.804573003953976</c:v>
                </c:pt>
                <c:pt idx="11">
                  <c:v>70.737278639852548</c:v>
                </c:pt>
                <c:pt idx="12">
                  <c:v>69.669984275743673</c:v>
                </c:pt>
                <c:pt idx="13">
                  <c:v>68.602689911638507</c:v>
                </c:pt>
                <c:pt idx="14">
                  <c:v>67.535395547533341</c:v>
                </c:pt>
                <c:pt idx="15">
                  <c:v>66.468101183428189</c:v>
                </c:pt>
                <c:pt idx="16">
                  <c:v>65.400806819323037</c:v>
                </c:pt>
                <c:pt idx="17">
                  <c:v>64.333512455214162</c:v>
                </c:pt>
                <c:pt idx="18">
                  <c:v>63.266218091109003</c:v>
                </c:pt>
                <c:pt idx="19">
                  <c:v>62.198923727003844</c:v>
                </c:pt>
                <c:pt idx="20">
                  <c:v>61.131629362891232</c:v>
                </c:pt>
                <c:pt idx="21">
                  <c:v>60.064334998789796</c:v>
                </c:pt>
                <c:pt idx="22">
                  <c:v>58.997040634680921</c:v>
                </c:pt>
                <c:pt idx="23">
                  <c:v>57.929746270575762</c:v>
                </c:pt>
                <c:pt idx="24">
                  <c:v>56.862451906470611</c:v>
                </c:pt>
                <c:pt idx="25">
                  <c:v>55.795157542369175</c:v>
                </c:pt>
                <c:pt idx="26">
                  <c:v>54.727863178264016</c:v>
                </c:pt>
                <c:pt idx="27">
                  <c:v>53.660568814151404</c:v>
                </c:pt>
                <c:pt idx="28">
                  <c:v>52.593274450049975</c:v>
                </c:pt>
                <c:pt idx="29">
                  <c:v>51.525980085941093</c:v>
                </c:pt>
                <c:pt idx="30">
                  <c:v>50.458685721835941</c:v>
                </c:pt>
                <c:pt idx="31">
                  <c:v>49.391391357727059</c:v>
                </c:pt>
                <c:pt idx="32">
                  <c:v>48.324096993625623</c:v>
                </c:pt>
                <c:pt idx="33">
                  <c:v>47.256802629513011</c:v>
                </c:pt>
                <c:pt idx="34">
                  <c:v>46.189508265415306</c:v>
                </c:pt>
                <c:pt idx="35">
                  <c:v>45.122213901306424</c:v>
                </c:pt>
                <c:pt idx="36">
                  <c:v>44.054919537201272</c:v>
                </c:pt>
                <c:pt idx="37">
                  <c:v>42.987625173099836</c:v>
                </c:pt>
                <c:pt idx="38">
                  <c:v>41.920330808987231</c:v>
                </c:pt>
                <c:pt idx="39">
                  <c:v>40.853036444885795</c:v>
                </c:pt>
                <c:pt idx="40">
                  <c:v>39.78574208077692</c:v>
                </c:pt>
                <c:pt idx="41">
                  <c:v>38.718447716668031</c:v>
                </c:pt>
                <c:pt idx="42">
                  <c:v>37.651153352562879</c:v>
                </c:pt>
                <c:pt idx="43">
                  <c:v>36.58385898845772</c:v>
                </c:pt>
                <c:pt idx="44">
                  <c:v>35.516564624352569</c:v>
                </c:pt>
                <c:pt idx="45">
                  <c:v>34.449270260247403</c:v>
                </c:pt>
                <c:pt idx="46">
                  <c:v>33.381975896138528</c:v>
                </c:pt>
                <c:pt idx="47">
                  <c:v>32.314681532037092</c:v>
                </c:pt>
                <c:pt idx="48">
                  <c:v>31.247387167928206</c:v>
                </c:pt>
                <c:pt idx="49">
                  <c:v>30.180092803823051</c:v>
                </c:pt>
                <c:pt idx="50">
                  <c:v>29.112798439717896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F10B-40E1-A458-CF55F8F74358}"/>
            </c:ext>
          </c:extLst>
        </c:ser>
        <c:ser>
          <c:idx val="9"/>
          <c:order val="9"/>
          <c:tx>
            <c:strRef>
              <c:f>グラフ!$X$5</c:f>
              <c:strCache>
                <c:ptCount val="1"/>
                <c:pt idx="0">
                  <c:v>半径方向応力:Δ-10℃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グラフ!$X$6:$X$56</c:f>
              <c:numCache>
                <c:formatCode>0.0</c:formatCode>
                <c:ptCount val="51"/>
                <c:pt idx="0">
                  <c:v>77.535710590153997</c:v>
                </c:pt>
                <c:pt idx="1">
                  <c:v>76.468416226048845</c:v>
                </c:pt>
                <c:pt idx="2">
                  <c:v>75.401121861943693</c:v>
                </c:pt>
                <c:pt idx="3">
                  <c:v>74.333827497831081</c:v>
                </c:pt>
                <c:pt idx="4">
                  <c:v>73.266533133729652</c:v>
                </c:pt>
                <c:pt idx="5">
                  <c:v>72.199238769620777</c:v>
                </c:pt>
                <c:pt idx="6">
                  <c:v>71.131944405515611</c:v>
                </c:pt>
                <c:pt idx="7">
                  <c:v>70.064650041410445</c:v>
                </c:pt>
                <c:pt idx="8">
                  <c:v>68.99735567730157</c:v>
                </c:pt>
                <c:pt idx="9">
                  <c:v>67.930061313203865</c:v>
                </c:pt>
                <c:pt idx="10">
                  <c:v>66.862766949091267</c:v>
                </c:pt>
                <c:pt idx="11">
                  <c:v>65.795472584986101</c:v>
                </c:pt>
                <c:pt idx="12">
                  <c:v>64.728178220880949</c:v>
                </c:pt>
                <c:pt idx="13">
                  <c:v>63.66088385677206</c:v>
                </c:pt>
                <c:pt idx="14">
                  <c:v>62.593589492670624</c:v>
                </c:pt>
                <c:pt idx="15">
                  <c:v>61.526295128565472</c:v>
                </c:pt>
                <c:pt idx="16">
                  <c:v>60.45900076445659</c:v>
                </c:pt>
                <c:pt idx="17">
                  <c:v>59.391706400351431</c:v>
                </c:pt>
                <c:pt idx="18">
                  <c:v>58.324412036242556</c:v>
                </c:pt>
                <c:pt idx="19">
                  <c:v>57.25711767213739</c:v>
                </c:pt>
                <c:pt idx="20">
                  <c:v>56.189823308028508</c:v>
                </c:pt>
                <c:pt idx="21">
                  <c:v>55.122528943923356</c:v>
                </c:pt>
                <c:pt idx="22">
                  <c:v>54.055234579818197</c:v>
                </c:pt>
                <c:pt idx="23">
                  <c:v>52.987940215716762</c:v>
                </c:pt>
                <c:pt idx="24">
                  <c:v>51.920645851607887</c:v>
                </c:pt>
                <c:pt idx="25">
                  <c:v>50.853351487502728</c:v>
                </c:pt>
                <c:pt idx="26">
                  <c:v>49.786057123397562</c:v>
                </c:pt>
                <c:pt idx="27">
                  <c:v>48.718762759288687</c:v>
                </c:pt>
                <c:pt idx="28">
                  <c:v>47.651468395183528</c:v>
                </c:pt>
                <c:pt idx="29">
                  <c:v>46.584174031074653</c:v>
                </c:pt>
                <c:pt idx="30">
                  <c:v>45.516879666973217</c:v>
                </c:pt>
                <c:pt idx="31">
                  <c:v>44.449585302860612</c:v>
                </c:pt>
                <c:pt idx="32">
                  <c:v>43.382290938766623</c:v>
                </c:pt>
                <c:pt idx="33">
                  <c:v>42.314996574654018</c:v>
                </c:pt>
                <c:pt idx="34">
                  <c:v>41.247702210548859</c:v>
                </c:pt>
                <c:pt idx="35">
                  <c:v>40.180407846443707</c:v>
                </c:pt>
                <c:pt idx="36">
                  <c:v>39.113113482334825</c:v>
                </c:pt>
                <c:pt idx="37">
                  <c:v>38.045819118233389</c:v>
                </c:pt>
                <c:pt idx="38">
                  <c:v>36.978524754124507</c:v>
                </c:pt>
                <c:pt idx="39">
                  <c:v>35.911230390019348</c:v>
                </c:pt>
                <c:pt idx="40">
                  <c:v>34.843936025910466</c:v>
                </c:pt>
                <c:pt idx="41">
                  <c:v>33.776641661805314</c:v>
                </c:pt>
                <c:pt idx="42">
                  <c:v>32.709347297703879</c:v>
                </c:pt>
                <c:pt idx="43">
                  <c:v>31.642052933595</c:v>
                </c:pt>
                <c:pt idx="44">
                  <c:v>30.574758569486114</c:v>
                </c:pt>
                <c:pt idx="45">
                  <c:v>29.507464205384682</c:v>
                </c:pt>
                <c:pt idx="46">
                  <c:v>28.440169841272073</c:v>
                </c:pt>
                <c:pt idx="47">
                  <c:v>27.372875477170641</c:v>
                </c:pt>
                <c:pt idx="48">
                  <c:v>26.305581113065486</c:v>
                </c:pt>
                <c:pt idx="49">
                  <c:v>25.238286748956607</c:v>
                </c:pt>
                <c:pt idx="50">
                  <c:v>24.170992384851445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F10B-40E1-A458-CF55F8F74358}"/>
            </c:ext>
          </c:extLst>
        </c:ser>
        <c:ser>
          <c:idx val="10"/>
          <c:order val="10"/>
          <c:tx>
            <c:strRef>
              <c:f>グラフ!$Y$5</c:f>
              <c:strCache>
                <c:ptCount val="1"/>
                <c:pt idx="0">
                  <c:v>半径方向応力:Δ0℃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グラフ!$Y$6:$Y$56</c:f>
              <c:numCache>
                <c:formatCode>0.0</c:formatCode>
                <c:ptCount val="51"/>
                <c:pt idx="0">
                  <c:v>72.593904535291273</c:v>
                </c:pt>
                <c:pt idx="1">
                  <c:v>71.526610171182398</c:v>
                </c:pt>
                <c:pt idx="2">
                  <c:v>70.459315807080969</c:v>
                </c:pt>
                <c:pt idx="3">
                  <c:v>69.392021442968357</c:v>
                </c:pt>
                <c:pt idx="4">
                  <c:v>68.324727078863191</c:v>
                </c:pt>
                <c:pt idx="5">
                  <c:v>67.257432714758039</c:v>
                </c:pt>
                <c:pt idx="6">
                  <c:v>66.190138350649164</c:v>
                </c:pt>
                <c:pt idx="7">
                  <c:v>65.122843986547736</c:v>
                </c:pt>
                <c:pt idx="8">
                  <c:v>64.055549622438846</c:v>
                </c:pt>
                <c:pt idx="9">
                  <c:v>62.988255258337418</c:v>
                </c:pt>
                <c:pt idx="10">
                  <c:v>61.920960894228536</c:v>
                </c:pt>
                <c:pt idx="11">
                  <c:v>60.853666530119646</c:v>
                </c:pt>
                <c:pt idx="12">
                  <c:v>59.786372166018218</c:v>
                </c:pt>
                <c:pt idx="13">
                  <c:v>58.719077801909336</c:v>
                </c:pt>
                <c:pt idx="14">
                  <c:v>57.651783437804184</c:v>
                </c:pt>
                <c:pt idx="15">
                  <c:v>56.584489073702748</c:v>
                </c:pt>
                <c:pt idx="16">
                  <c:v>55.517194709590143</c:v>
                </c:pt>
                <c:pt idx="17">
                  <c:v>54.449900345484977</c:v>
                </c:pt>
                <c:pt idx="18">
                  <c:v>53.382605981379825</c:v>
                </c:pt>
                <c:pt idx="19">
                  <c:v>52.315311617270943</c:v>
                </c:pt>
                <c:pt idx="20">
                  <c:v>51.248017253165791</c:v>
                </c:pt>
                <c:pt idx="21">
                  <c:v>50.180722889064356</c:v>
                </c:pt>
                <c:pt idx="22">
                  <c:v>49.113428524955474</c:v>
                </c:pt>
                <c:pt idx="23">
                  <c:v>48.046134160850322</c:v>
                </c:pt>
                <c:pt idx="24">
                  <c:v>46.978839796741433</c:v>
                </c:pt>
                <c:pt idx="25">
                  <c:v>45.911545432640004</c:v>
                </c:pt>
                <c:pt idx="26">
                  <c:v>44.844251068531122</c:v>
                </c:pt>
                <c:pt idx="27">
                  <c:v>43.77695670442224</c:v>
                </c:pt>
                <c:pt idx="28">
                  <c:v>42.709662340320804</c:v>
                </c:pt>
                <c:pt idx="29">
                  <c:v>41.642367976208199</c:v>
                </c:pt>
                <c:pt idx="30">
                  <c:v>40.57507361211421</c:v>
                </c:pt>
                <c:pt idx="31">
                  <c:v>39.507779248001611</c:v>
                </c:pt>
                <c:pt idx="32">
                  <c:v>38.440484883900176</c:v>
                </c:pt>
                <c:pt idx="33">
                  <c:v>37.373190519791294</c:v>
                </c:pt>
                <c:pt idx="34">
                  <c:v>36.305896155682412</c:v>
                </c:pt>
                <c:pt idx="35">
                  <c:v>35.238601791577253</c:v>
                </c:pt>
                <c:pt idx="36">
                  <c:v>34.171307427472101</c:v>
                </c:pt>
                <c:pt idx="37">
                  <c:v>33.104013063366942</c:v>
                </c:pt>
                <c:pt idx="38">
                  <c:v>32.03671869925806</c:v>
                </c:pt>
                <c:pt idx="39">
                  <c:v>30.969424335156624</c:v>
                </c:pt>
                <c:pt idx="40">
                  <c:v>29.902129971051469</c:v>
                </c:pt>
                <c:pt idx="41">
                  <c:v>28.83483560694259</c:v>
                </c:pt>
                <c:pt idx="42">
                  <c:v>27.767541242837428</c:v>
                </c:pt>
                <c:pt idx="43">
                  <c:v>26.700246878732273</c:v>
                </c:pt>
                <c:pt idx="44">
                  <c:v>25.632952514619671</c:v>
                </c:pt>
                <c:pt idx="45">
                  <c:v>24.565658150518232</c:v>
                </c:pt>
                <c:pt idx="46">
                  <c:v>23.498363786409353</c:v>
                </c:pt>
                <c:pt idx="47">
                  <c:v>22.431069422304194</c:v>
                </c:pt>
                <c:pt idx="48">
                  <c:v>21.363775058199039</c:v>
                </c:pt>
                <c:pt idx="49">
                  <c:v>20.29648069409388</c:v>
                </c:pt>
                <c:pt idx="50">
                  <c:v>19.229186329992448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F10B-40E1-A458-CF55F8F74358}"/>
            </c:ext>
          </c:extLst>
        </c:ser>
        <c:ser>
          <c:idx val="11"/>
          <c:order val="11"/>
          <c:tx>
            <c:strRef>
              <c:f>グラフ!$Z$5</c:f>
              <c:strCache>
                <c:ptCount val="1"/>
                <c:pt idx="0">
                  <c:v>半径方向応力:Δ+10℃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グラフ!$Z$6:$Z$56</c:f>
              <c:numCache>
                <c:formatCode>0.0</c:formatCode>
                <c:ptCount val="51"/>
                <c:pt idx="0">
                  <c:v>67.652098480428549</c:v>
                </c:pt>
                <c:pt idx="1">
                  <c:v>66.584804116319674</c:v>
                </c:pt>
                <c:pt idx="2">
                  <c:v>65.517509752214522</c:v>
                </c:pt>
                <c:pt idx="3">
                  <c:v>64.450215388105633</c:v>
                </c:pt>
                <c:pt idx="4">
                  <c:v>63.382921023996751</c:v>
                </c:pt>
                <c:pt idx="5">
                  <c:v>62.315626659895322</c:v>
                </c:pt>
                <c:pt idx="6">
                  <c:v>61.24833229578644</c:v>
                </c:pt>
                <c:pt idx="7">
                  <c:v>60.181037931681281</c:v>
                </c:pt>
                <c:pt idx="8">
                  <c:v>59.11374356757613</c:v>
                </c:pt>
                <c:pt idx="9">
                  <c:v>58.046449203470971</c:v>
                </c:pt>
                <c:pt idx="10">
                  <c:v>56.979154839365805</c:v>
                </c:pt>
                <c:pt idx="11">
                  <c:v>55.91186047525693</c:v>
                </c:pt>
                <c:pt idx="12">
                  <c:v>54.844566111151771</c:v>
                </c:pt>
                <c:pt idx="13">
                  <c:v>53.777271747046612</c:v>
                </c:pt>
                <c:pt idx="14">
                  <c:v>52.709977382937737</c:v>
                </c:pt>
                <c:pt idx="15">
                  <c:v>51.642683018836301</c:v>
                </c:pt>
                <c:pt idx="16">
                  <c:v>50.575388654727412</c:v>
                </c:pt>
                <c:pt idx="17">
                  <c:v>49.508094290618537</c:v>
                </c:pt>
                <c:pt idx="18">
                  <c:v>48.440799926517101</c:v>
                </c:pt>
                <c:pt idx="19">
                  <c:v>47.373505562411943</c:v>
                </c:pt>
                <c:pt idx="20">
                  <c:v>46.306211198303068</c:v>
                </c:pt>
                <c:pt idx="21">
                  <c:v>45.238916834197909</c:v>
                </c:pt>
                <c:pt idx="22">
                  <c:v>44.171622470089027</c:v>
                </c:pt>
                <c:pt idx="23">
                  <c:v>43.104328105987591</c:v>
                </c:pt>
                <c:pt idx="24">
                  <c:v>42.037033741874986</c:v>
                </c:pt>
                <c:pt idx="25">
                  <c:v>40.96973937777355</c:v>
                </c:pt>
                <c:pt idx="26">
                  <c:v>39.902445013668398</c:v>
                </c:pt>
                <c:pt idx="27">
                  <c:v>38.835150649555793</c:v>
                </c:pt>
                <c:pt idx="28">
                  <c:v>37.767856285461811</c:v>
                </c:pt>
                <c:pt idx="29">
                  <c:v>36.700561921349198</c:v>
                </c:pt>
                <c:pt idx="30">
                  <c:v>35.63326755724777</c:v>
                </c:pt>
                <c:pt idx="31">
                  <c:v>34.565973193138881</c:v>
                </c:pt>
                <c:pt idx="32">
                  <c:v>33.498678829033729</c:v>
                </c:pt>
                <c:pt idx="33">
                  <c:v>32.431384464924847</c:v>
                </c:pt>
                <c:pt idx="34">
                  <c:v>31.364090100819688</c:v>
                </c:pt>
                <c:pt idx="35">
                  <c:v>30.296795736710809</c:v>
                </c:pt>
                <c:pt idx="36">
                  <c:v>29.229501372605654</c:v>
                </c:pt>
                <c:pt idx="37">
                  <c:v>28.162207008504218</c:v>
                </c:pt>
                <c:pt idx="38">
                  <c:v>27.094912644399059</c:v>
                </c:pt>
                <c:pt idx="39">
                  <c:v>26.027618280293904</c:v>
                </c:pt>
                <c:pt idx="40">
                  <c:v>24.960323916185022</c:v>
                </c:pt>
                <c:pt idx="41">
                  <c:v>23.893029552079863</c:v>
                </c:pt>
                <c:pt idx="42">
                  <c:v>22.825735187970984</c:v>
                </c:pt>
                <c:pt idx="43">
                  <c:v>21.758440823865826</c:v>
                </c:pt>
                <c:pt idx="44">
                  <c:v>20.691146459756943</c:v>
                </c:pt>
                <c:pt idx="45">
                  <c:v>19.623852095651788</c:v>
                </c:pt>
                <c:pt idx="46">
                  <c:v>18.556557731542906</c:v>
                </c:pt>
                <c:pt idx="47">
                  <c:v>17.489263367441474</c:v>
                </c:pt>
                <c:pt idx="48">
                  <c:v>16.421969003340038</c:v>
                </c:pt>
                <c:pt idx="49">
                  <c:v>15.354674639231158</c:v>
                </c:pt>
                <c:pt idx="50">
                  <c:v>14.287380275125999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F10B-40E1-A458-CF55F8F74358}"/>
            </c:ext>
          </c:extLst>
        </c:ser>
        <c:ser>
          <c:idx val="12"/>
          <c:order val="12"/>
          <c:tx>
            <c:strRef>
              <c:f>グラフ!$AA$5</c:f>
              <c:strCache>
                <c:ptCount val="1"/>
                <c:pt idx="0">
                  <c:v>半径方向応力:Δ+20℃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グラフ!$AA$6:$AA$56</c:f>
              <c:numCache>
                <c:formatCode>0.0</c:formatCode>
                <c:ptCount val="51"/>
                <c:pt idx="0">
                  <c:v>62.710292425562109</c:v>
                </c:pt>
                <c:pt idx="1">
                  <c:v>61.642998061456957</c:v>
                </c:pt>
                <c:pt idx="2">
                  <c:v>60.575703697348068</c:v>
                </c:pt>
                <c:pt idx="3">
                  <c:v>59.508409333242909</c:v>
                </c:pt>
                <c:pt idx="4">
                  <c:v>58.441114969134027</c:v>
                </c:pt>
                <c:pt idx="5">
                  <c:v>57.373820605028875</c:v>
                </c:pt>
                <c:pt idx="6">
                  <c:v>56.306526240923716</c:v>
                </c:pt>
                <c:pt idx="7">
                  <c:v>55.239231876814841</c:v>
                </c:pt>
                <c:pt idx="8">
                  <c:v>54.171937512713406</c:v>
                </c:pt>
                <c:pt idx="9">
                  <c:v>53.10464314860824</c:v>
                </c:pt>
                <c:pt idx="10">
                  <c:v>52.037348784499358</c:v>
                </c:pt>
                <c:pt idx="11">
                  <c:v>50.970054420394206</c:v>
                </c:pt>
                <c:pt idx="12">
                  <c:v>49.902760056285324</c:v>
                </c:pt>
                <c:pt idx="13">
                  <c:v>48.835465692180172</c:v>
                </c:pt>
                <c:pt idx="14">
                  <c:v>47.768171328075013</c:v>
                </c:pt>
                <c:pt idx="15">
                  <c:v>46.700876963969847</c:v>
                </c:pt>
                <c:pt idx="16">
                  <c:v>45.633582599864695</c:v>
                </c:pt>
                <c:pt idx="17">
                  <c:v>44.566288235759536</c:v>
                </c:pt>
                <c:pt idx="18">
                  <c:v>43.498993871654378</c:v>
                </c:pt>
                <c:pt idx="19">
                  <c:v>42.431699507545503</c:v>
                </c:pt>
                <c:pt idx="20">
                  <c:v>41.364405143436613</c:v>
                </c:pt>
                <c:pt idx="21">
                  <c:v>40.297110779335185</c:v>
                </c:pt>
                <c:pt idx="22">
                  <c:v>39.229816415222579</c:v>
                </c:pt>
                <c:pt idx="23">
                  <c:v>38.162522051121144</c:v>
                </c:pt>
                <c:pt idx="24">
                  <c:v>37.095227687012262</c:v>
                </c:pt>
                <c:pt idx="25">
                  <c:v>36.02793332290711</c:v>
                </c:pt>
                <c:pt idx="26">
                  <c:v>34.960638958809398</c:v>
                </c:pt>
                <c:pt idx="27">
                  <c:v>33.893344594696792</c:v>
                </c:pt>
                <c:pt idx="28">
                  <c:v>32.826050230595357</c:v>
                </c:pt>
                <c:pt idx="29">
                  <c:v>31.758755866486478</c:v>
                </c:pt>
                <c:pt idx="30">
                  <c:v>30.691461502381319</c:v>
                </c:pt>
                <c:pt idx="31">
                  <c:v>29.624167138272441</c:v>
                </c:pt>
                <c:pt idx="32">
                  <c:v>28.556872774171005</c:v>
                </c:pt>
                <c:pt idx="33">
                  <c:v>27.4895784100584</c:v>
                </c:pt>
                <c:pt idx="34">
                  <c:v>26.422284045953244</c:v>
                </c:pt>
                <c:pt idx="35">
                  <c:v>25.354989681848085</c:v>
                </c:pt>
                <c:pt idx="36">
                  <c:v>24.28769531774665</c:v>
                </c:pt>
                <c:pt idx="37">
                  <c:v>23.220400953641494</c:v>
                </c:pt>
                <c:pt idx="38">
                  <c:v>22.153106589532612</c:v>
                </c:pt>
                <c:pt idx="39">
                  <c:v>21.085812225431177</c:v>
                </c:pt>
                <c:pt idx="40">
                  <c:v>20.018517861318575</c:v>
                </c:pt>
                <c:pt idx="41">
                  <c:v>18.951223497213416</c:v>
                </c:pt>
                <c:pt idx="42">
                  <c:v>17.883929133108261</c:v>
                </c:pt>
                <c:pt idx="43">
                  <c:v>16.816634768999378</c:v>
                </c:pt>
                <c:pt idx="44">
                  <c:v>15.749340404890496</c:v>
                </c:pt>
                <c:pt idx="45">
                  <c:v>14.682046040789063</c:v>
                </c:pt>
                <c:pt idx="46">
                  <c:v>13.614751676683907</c:v>
                </c:pt>
                <c:pt idx="47">
                  <c:v>12.547457312578748</c:v>
                </c:pt>
                <c:pt idx="48">
                  <c:v>11.480162948473591</c:v>
                </c:pt>
                <c:pt idx="49">
                  <c:v>10.412868584368434</c:v>
                </c:pt>
                <c:pt idx="50">
                  <c:v>9.345574220259552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F10B-40E1-A458-CF55F8F74358}"/>
            </c:ext>
          </c:extLst>
        </c:ser>
        <c:ser>
          <c:idx val="13"/>
          <c:order val="13"/>
          <c:tx>
            <c:strRef>
              <c:f>グラフ!$AB$5</c:f>
              <c:strCache>
                <c:ptCount val="1"/>
                <c:pt idx="0">
                  <c:v>半径方向応力:Δ+30℃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グラフ!$AB$6:$AB$56</c:f>
              <c:numCache>
                <c:formatCode>0.0</c:formatCode>
                <c:ptCount val="51"/>
                <c:pt idx="0">
                  <c:v>57.768486370695655</c:v>
                </c:pt>
                <c:pt idx="1">
                  <c:v>56.701192006594219</c:v>
                </c:pt>
                <c:pt idx="2">
                  <c:v>55.633897642485344</c:v>
                </c:pt>
                <c:pt idx="3">
                  <c:v>54.566603278376462</c:v>
                </c:pt>
                <c:pt idx="4">
                  <c:v>53.49930891427131</c:v>
                </c:pt>
                <c:pt idx="5">
                  <c:v>52.432014550162428</c:v>
                </c:pt>
                <c:pt idx="6">
                  <c:v>51.364720186061</c:v>
                </c:pt>
                <c:pt idx="7">
                  <c:v>50.29742582195211</c:v>
                </c:pt>
                <c:pt idx="8">
                  <c:v>49.230131457846952</c:v>
                </c:pt>
                <c:pt idx="9">
                  <c:v>48.162837093745516</c:v>
                </c:pt>
                <c:pt idx="10">
                  <c:v>47.095542729632918</c:v>
                </c:pt>
                <c:pt idx="11">
                  <c:v>46.028248365527759</c:v>
                </c:pt>
                <c:pt idx="12">
                  <c:v>44.9609540014226</c:v>
                </c:pt>
                <c:pt idx="13">
                  <c:v>43.893659637313718</c:v>
                </c:pt>
                <c:pt idx="14">
                  <c:v>42.826365273212289</c:v>
                </c:pt>
                <c:pt idx="15">
                  <c:v>41.759070909110854</c:v>
                </c:pt>
                <c:pt idx="16">
                  <c:v>40.691776545001971</c:v>
                </c:pt>
                <c:pt idx="17">
                  <c:v>39.624482180893089</c:v>
                </c:pt>
                <c:pt idx="18">
                  <c:v>38.557187816787931</c:v>
                </c:pt>
                <c:pt idx="19">
                  <c:v>37.489893452682772</c:v>
                </c:pt>
                <c:pt idx="20">
                  <c:v>36.422599088570173</c:v>
                </c:pt>
                <c:pt idx="21">
                  <c:v>35.355304724468731</c:v>
                </c:pt>
                <c:pt idx="22">
                  <c:v>34.288010360359856</c:v>
                </c:pt>
                <c:pt idx="23">
                  <c:v>33.220715996254697</c:v>
                </c:pt>
                <c:pt idx="24">
                  <c:v>32.153421632153268</c:v>
                </c:pt>
                <c:pt idx="25">
                  <c:v>31.086127268048106</c:v>
                </c:pt>
                <c:pt idx="26">
                  <c:v>30.018832903942947</c:v>
                </c:pt>
                <c:pt idx="27">
                  <c:v>28.951538539834068</c:v>
                </c:pt>
                <c:pt idx="28">
                  <c:v>27.884244175728909</c:v>
                </c:pt>
                <c:pt idx="29">
                  <c:v>26.816949811620027</c:v>
                </c:pt>
                <c:pt idx="30">
                  <c:v>25.749655447518595</c:v>
                </c:pt>
                <c:pt idx="31">
                  <c:v>24.68236108340599</c:v>
                </c:pt>
                <c:pt idx="32">
                  <c:v>23.615066719304554</c:v>
                </c:pt>
                <c:pt idx="33">
                  <c:v>22.547772355195676</c:v>
                </c:pt>
                <c:pt idx="34">
                  <c:v>21.48047799109424</c:v>
                </c:pt>
                <c:pt idx="35">
                  <c:v>20.413183626985361</c:v>
                </c:pt>
                <c:pt idx="36">
                  <c:v>19.345889262880203</c:v>
                </c:pt>
                <c:pt idx="37">
                  <c:v>18.278594898778771</c:v>
                </c:pt>
                <c:pt idx="38">
                  <c:v>17.211300534666165</c:v>
                </c:pt>
                <c:pt idx="39">
                  <c:v>16.14400617056473</c:v>
                </c:pt>
                <c:pt idx="40">
                  <c:v>15.076711806455849</c:v>
                </c:pt>
                <c:pt idx="41">
                  <c:v>14.009417442346971</c:v>
                </c:pt>
                <c:pt idx="42">
                  <c:v>12.942123078241812</c:v>
                </c:pt>
                <c:pt idx="43">
                  <c:v>11.874828714136653</c:v>
                </c:pt>
                <c:pt idx="44">
                  <c:v>10.807534350031498</c:v>
                </c:pt>
                <c:pt idx="45">
                  <c:v>9.7402399859263404</c:v>
                </c:pt>
                <c:pt idx="46">
                  <c:v>8.6729456218174583</c:v>
                </c:pt>
                <c:pt idx="47">
                  <c:v>7.6056512577160253</c:v>
                </c:pt>
                <c:pt idx="48">
                  <c:v>6.5383568936071432</c:v>
                </c:pt>
                <c:pt idx="49">
                  <c:v>5.4710625295019861</c:v>
                </c:pt>
                <c:pt idx="50">
                  <c:v>4.403768165396829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F10B-40E1-A458-CF55F8F74358}"/>
            </c:ext>
          </c:extLst>
        </c:ser>
        <c:ser>
          <c:idx val="21"/>
          <c:order val="21"/>
          <c:tx>
            <c:strRef>
              <c:f>グラフ!$AJ$5</c:f>
              <c:strCache>
                <c:ptCount val="1"/>
                <c:pt idx="0">
                  <c:v>inner降伏点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グラフ!$AJ$6:$AJ$56</c:f>
              <c:numCache>
                <c:formatCode>0.0</c:formatCode>
                <c:ptCount val="51"/>
                <c:pt idx="0">
                  <c:v>345</c:v>
                </c:pt>
                <c:pt idx="1">
                  <c:v>345</c:v>
                </c:pt>
                <c:pt idx="2">
                  <c:v>345</c:v>
                </c:pt>
                <c:pt idx="3">
                  <c:v>345</c:v>
                </c:pt>
                <c:pt idx="4">
                  <c:v>345</c:v>
                </c:pt>
                <c:pt idx="5">
                  <c:v>345</c:v>
                </c:pt>
                <c:pt idx="6">
                  <c:v>345</c:v>
                </c:pt>
                <c:pt idx="7">
                  <c:v>345</c:v>
                </c:pt>
                <c:pt idx="8">
                  <c:v>345</c:v>
                </c:pt>
                <c:pt idx="9">
                  <c:v>345</c:v>
                </c:pt>
                <c:pt idx="10">
                  <c:v>345</c:v>
                </c:pt>
                <c:pt idx="11">
                  <c:v>345</c:v>
                </c:pt>
                <c:pt idx="12">
                  <c:v>345</c:v>
                </c:pt>
                <c:pt idx="13">
                  <c:v>345</c:v>
                </c:pt>
                <c:pt idx="14">
                  <c:v>345</c:v>
                </c:pt>
                <c:pt idx="15">
                  <c:v>345</c:v>
                </c:pt>
                <c:pt idx="16">
                  <c:v>345</c:v>
                </c:pt>
                <c:pt idx="17">
                  <c:v>345</c:v>
                </c:pt>
                <c:pt idx="18">
                  <c:v>345</c:v>
                </c:pt>
                <c:pt idx="19">
                  <c:v>345</c:v>
                </c:pt>
                <c:pt idx="20">
                  <c:v>345</c:v>
                </c:pt>
                <c:pt idx="21">
                  <c:v>345</c:v>
                </c:pt>
                <c:pt idx="22">
                  <c:v>345</c:v>
                </c:pt>
                <c:pt idx="23">
                  <c:v>345</c:v>
                </c:pt>
                <c:pt idx="24">
                  <c:v>345</c:v>
                </c:pt>
                <c:pt idx="25">
                  <c:v>345</c:v>
                </c:pt>
                <c:pt idx="26">
                  <c:v>345</c:v>
                </c:pt>
                <c:pt idx="27">
                  <c:v>345</c:v>
                </c:pt>
                <c:pt idx="28">
                  <c:v>345</c:v>
                </c:pt>
                <c:pt idx="29">
                  <c:v>345</c:v>
                </c:pt>
                <c:pt idx="30">
                  <c:v>345</c:v>
                </c:pt>
                <c:pt idx="31">
                  <c:v>345</c:v>
                </c:pt>
                <c:pt idx="32">
                  <c:v>345</c:v>
                </c:pt>
                <c:pt idx="33">
                  <c:v>345</c:v>
                </c:pt>
                <c:pt idx="34">
                  <c:v>345</c:v>
                </c:pt>
                <c:pt idx="35">
                  <c:v>345</c:v>
                </c:pt>
                <c:pt idx="36">
                  <c:v>345</c:v>
                </c:pt>
                <c:pt idx="37">
                  <c:v>345</c:v>
                </c:pt>
                <c:pt idx="38">
                  <c:v>345</c:v>
                </c:pt>
                <c:pt idx="39">
                  <c:v>345</c:v>
                </c:pt>
                <c:pt idx="40">
                  <c:v>345</c:v>
                </c:pt>
                <c:pt idx="41">
                  <c:v>345</c:v>
                </c:pt>
                <c:pt idx="42">
                  <c:v>345</c:v>
                </c:pt>
                <c:pt idx="43">
                  <c:v>345</c:v>
                </c:pt>
                <c:pt idx="44">
                  <c:v>345</c:v>
                </c:pt>
                <c:pt idx="45">
                  <c:v>345</c:v>
                </c:pt>
                <c:pt idx="46">
                  <c:v>345</c:v>
                </c:pt>
                <c:pt idx="47">
                  <c:v>345</c:v>
                </c:pt>
                <c:pt idx="48">
                  <c:v>345</c:v>
                </c:pt>
                <c:pt idx="49">
                  <c:v>345</c:v>
                </c:pt>
                <c:pt idx="50">
                  <c:v>345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5-F10B-40E1-A458-CF55F8F74358}"/>
            </c:ext>
          </c:extLst>
        </c:ser>
        <c:ser>
          <c:idx val="29"/>
          <c:order val="29"/>
          <c:tx>
            <c:strRef>
              <c:f>グラフ!$AR$5</c:f>
              <c:strCache>
                <c:ptCount val="1"/>
                <c:pt idx="0">
                  <c:v>outer降伏点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グラフ!$AR$6:$AR$56</c:f>
              <c:numCache>
                <c:formatCode>0.0</c:formatCode>
                <c:ptCount val="51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150</c:v>
                </c:pt>
                <c:pt idx="17">
                  <c:v>150</c:v>
                </c:pt>
                <c:pt idx="18">
                  <c:v>150</c:v>
                </c:pt>
                <c:pt idx="19">
                  <c:v>150</c:v>
                </c:pt>
                <c:pt idx="20">
                  <c:v>150</c:v>
                </c:pt>
                <c:pt idx="21">
                  <c:v>150</c:v>
                </c:pt>
                <c:pt idx="22">
                  <c:v>150</c:v>
                </c:pt>
                <c:pt idx="23">
                  <c:v>150</c:v>
                </c:pt>
                <c:pt idx="24">
                  <c:v>150</c:v>
                </c:pt>
                <c:pt idx="25">
                  <c:v>150</c:v>
                </c:pt>
                <c:pt idx="26">
                  <c:v>150</c:v>
                </c:pt>
                <c:pt idx="27">
                  <c:v>150</c:v>
                </c:pt>
                <c:pt idx="28">
                  <c:v>150</c:v>
                </c:pt>
                <c:pt idx="29">
                  <c:v>150</c:v>
                </c:pt>
                <c:pt idx="30">
                  <c:v>150</c:v>
                </c:pt>
                <c:pt idx="31">
                  <c:v>150</c:v>
                </c:pt>
                <c:pt idx="32">
                  <c:v>150</c:v>
                </c:pt>
                <c:pt idx="33">
                  <c:v>150</c:v>
                </c:pt>
                <c:pt idx="34">
                  <c:v>150</c:v>
                </c:pt>
                <c:pt idx="35">
                  <c:v>150</c:v>
                </c:pt>
                <c:pt idx="36">
                  <c:v>150</c:v>
                </c:pt>
                <c:pt idx="37">
                  <c:v>150</c:v>
                </c:pt>
                <c:pt idx="38">
                  <c:v>150</c:v>
                </c:pt>
                <c:pt idx="39">
                  <c:v>150</c:v>
                </c:pt>
                <c:pt idx="40">
                  <c:v>150</c:v>
                </c:pt>
                <c:pt idx="41">
                  <c:v>150</c:v>
                </c:pt>
                <c:pt idx="42">
                  <c:v>150</c:v>
                </c:pt>
                <c:pt idx="43">
                  <c:v>150</c:v>
                </c:pt>
                <c:pt idx="44">
                  <c:v>150</c:v>
                </c:pt>
                <c:pt idx="45">
                  <c:v>150</c:v>
                </c:pt>
                <c:pt idx="46">
                  <c:v>150</c:v>
                </c:pt>
                <c:pt idx="47">
                  <c:v>150</c:v>
                </c:pt>
                <c:pt idx="48">
                  <c:v>150</c:v>
                </c:pt>
                <c:pt idx="49">
                  <c:v>150</c:v>
                </c:pt>
                <c:pt idx="50">
                  <c:v>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14B-463C-AA48-EB9AD9F03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419104"/>
        <c:axId val="187840121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グラフ!$O$5</c15:sqref>
                        </c15:formulaRef>
                      </c:ext>
                    </c:extLst>
                    <c:strCache>
                      <c:ptCount val="1"/>
                      <c:pt idx="0">
                        <c:v>締め代：Δ-30℃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グラフ!$O$6:$O$56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0.16679667000000364</c:v>
                      </c:pt>
                      <c:pt idx="1">
                        <c:v>0.16476026499999818</c:v>
                      </c:pt>
                      <c:pt idx="2">
                        <c:v>0.16272385999999983</c:v>
                      </c:pt>
                      <c:pt idx="3">
                        <c:v>0.16068745500000148</c:v>
                      </c:pt>
                      <c:pt idx="4">
                        <c:v>0.15865104999999602</c:v>
                      </c:pt>
                      <c:pt idx="5">
                        <c:v>0.15661464499999767</c:v>
                      </c:pt>
                      <c:pt idx="6">
                        <c:v>0.15457823999999931</c:v>
                      </c:pt>
                      <c:pt idx="7">
                        <c:v>0.15254183499999385</c:v>
                      </c:pt>
                      <c:pt idx="8">
                        <c:v>0.1505054300000026</c:v>
                      </c:pt>
                      <c:pt idx="9">
                        <c:v>0.14846902500000425</c:v>
                      </c:pt>
                      <c:pt idx="10">
                        <c:v>0.14643261999999879</c:v>
                      </c:pt>
                      <c:pt idx="11">
                        <c:v>0.14439621500000044</c:v>
                      </c:pt>
                      <c:pt idx="12">
                        <c:v>0.14235980999999498</c:v>
                      </c:pt>
                      <c:pt idx="13">
                        <c:v>0.14032340500000373</c:v>
                      </c:pt>
                      <c:pt idx="14">
                        <c:v>0.13828699999999827</c:v>
                      </c:pt>
                      <c:pt idx="15">
                        <c:v>0.13625059500000702</c:v>
                      </c:pt>
                      <c:pt idx="16">
                        <c:v>0.13421419000000157</c:v>
                      </c:pt>
                      <c:pt idx="17">
                        <c:v>0.13217778499999611</c:v>
                      </c:pt>
                      <c:pt idx="18">
                        <c:v>0.13014138000000486</c:v>
                      </c:pt>
                      <c:pt idx="19">
                        <c:v>0.1281049749999994</c:v>
                      </c:pt>
                      <c:pt idx="20">
                        <c:v>0.12606856999999394</c:v>
                      </c:pt>
                      <c:pt idx="21">
                        <c:v>0.12403216500000269</c:v>
                      </c:pt>
                      <c:pt idx="22">
                        <c:v>0.12199575999999013</c:v>
                      </c:pt>
                      <c:pt idx="23">
                        <c:v>0.11995935499999888</c:v>
                      </c:pt>
                      <c:pt idx="24">
                        <c:v>0.11792294999999342</c:v>
                      </c:pt>
                      <c:pt idx="25">
                        <c:v>0.11588654499999507</c:v>
                      </c:pt>
                      <c:pt idx="26">
                        <c:v>0.11385014000000382</c:v>
                      </c:pt>
                      <c:pt idx="27">
                        <c:v>0.11181373499999836</c:v>
                      </c:pt>
                      <c:pt idx="28">
                        <c:v>0.10977733000000711</c:v>
                      </c:pt>
                      <c:pt idx="29">
                        <c:v>0.10774092499999455</c:v>
                      </c:pt>
                      <c:pt idx="30">
                        <c:v>0.1057045200000033</c:v>
                      </c:pt>
                      <c:pt idx="31">
                        <c:v>0.10366811499999784</c:v>
                      </c:pt>
                      <c:pt idx="32">
                        <c:v>0.10163170999999949</c:v>
                      </c:pt>
                      <c:pt idx="33">
                        <c:v>9.9595304999994028E-2</c:v>
                      </c:pt>
                      <c:pt idx="34">
                        <c:v>9.7558899999995674E-2</c:v>
                      </c:pt>
                      <c:pt idx="35">
                        <c:v>9.5522494999990215E-2</c:v>
                      </c:pt>
                      <c:pt idx="36">
                        <c:v>9.3486090000006072E-2</c:v>
                      </c:pt>
                      <c:pt idx="37">
                        <c:v>9.1449685000007719E-2</c:v>
                      </c:pt>
                      <c:pt idx="38">
                        <c:v>8.941328000000226E-2</c:v>
                      </c:pt>
                      <c:pt idx="39">
                        <c:v>8.7376875000011012E-2</c:v>
                      </c:pt>
                      <c:pt idx="40">
                        <c:v>8.5340469999998447E-2</c:v>
                      </c:pt>
                      <c:pt idx="41">
                        <c:v>8.3304065000000094E-2</c:v>
                      </c:pt>
                      <c:pt idx="42">
                        <c:v>8.126766000000174E-2</c:v>
                      </c:pt>
                      <c:pt idx="43">
                        <c:v>7.9231254999996281E-2</c:v>
                      </c:pt>
                      <c:pt idx="44">
                        <c:v>7.7194849999990822E-2</c:v>
                      </c:pt>
                      <c:pt idx="45">
                        <c:v>7.5158444999999574E-2</c:v>
                      </c:pt>
                      <c:pt idx="46">
                        <c:v>7.3122040000001221E-2</c:v>
                      </c:pt>
                      <c:pt idx="47">
                        <c:v>7.1085635000002867E-2</c:v>
                      </c:pt>
                      <c:pt idx="48">
                        <c:v>6.9049230000004513E-2</c:v>
                      </c:pt>
                      <c:pt idx="49">
                        <c:v>6.701282500000616E-2</c:v>
                      </c:pt>
                      <c:pt idx="50">
                        <c:v>6.4976420000000701E-2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F10B-40E1-A458-CF55F8F74358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グラフ!$P$5</c15:sqref>
                        </c15:formulaRef>
                      </c:ext>
                    </c:extLst>
                    <c:strCache>
                      <c:ptCount val="1"/>
                      <c:pt idx="0">
                        <c:v>締め代：Δ-20℃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グラフ!$P$6:$P$56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0.15736766999999929</c:v>
                      </c:pt>
                      <c:pt idx="1">
                        <c:v>0.15533126500000805</c:v>
                      </c:pt>
                      <c:pt idx="2">
                        <c:v>0.15329486000000259</c:v>
                      </c:pt>
                      <c:pt idx="3">
                        <c:v>0.15125845499999713</c:v>
                      </c:pt>
                      <c:pt idx="4">
                        <c:v>0.14922204999999877</c:v>
                      </c:pt>
                      <c:pt idx="5">
                        <c:v>0.14718564499999331</c:v>
                      </c:pt>
                      <c:pt idx="6">
                        <c:v>0.14514924000000207</c:v>
                      </c:pt>
                      <c:pt idx="7">
                        <c:v>0.14311283499999661</c:v>
                      </c:pt>
                      <c:pt idx="8">
                        <c:v>0.14107642999999825</c:v>
                      </c:pt>
                      <c:pt idx="9">
                        <c:v>0.13904002500000701</c:v>
                      </c:pt>
                      <c:pt idx="10">
                        <c:v>0.13700361999999444</c:v>
                      </c:pt>
                      <c:pt idx="11">
                        <c:v>0.13496721500000319</c:v>
                      </c:pt>
                      <c:pt idx="12">
                        <c:v>0.13293080999999773</c:v>
                      </c:pt>
                      <c:pt idx="13">
                        <c:v>0.13089440499999938</c:v>
                      </c:pt>
                      <c:pt idx="14">
                        <c:v>0.12885800000000103</c:v>
                      </c:pt>
                      <c:pt idx="15">
                        <c:v>0.12682159500000267</c:v>
                      </c:pt>
                      <c:pt idx="16">
                        <c:v>0.12478519000000432</c:v>
                      </c:pt>
                      <c:pt idx="17">
                        <c:v>0.12274878499999886</c:v>
                      </c:pt>
                      <c:pt idx="18">
                        <c:v>0.12071238000000051</c:v>
                      </c:pt>
                      <c:pt idx="19">
                        <c:v>0.11867597500000215</c:v>
                      </c:pt>
                      <c:pt idx="20">
                        <c:v>0.11663956999998959</c:v>
                      </c:pt>
                      <c:pt idx="21">
                        <c:v>0.11460316499999834</c:v>
                      </c:pt>
                      <c:pt idx="22">
                        <c:v>0.11256675999999288</c:v>
                      </c:pt>
                      <c:pt idx="23">
                        <c:v>0.11053035499999453</c:v>
                      </c:pt>
                      <c:pt idx="24">
                        <c:v>0.10849394999999618</c:v>
                      </c:pt>
                      <c:pt idx="25">
                        <c:v>0.10645754500000493</c:v>
                      </c:pt>
                      <c:pt idx="26">
                        <c:v>0.10442114000000657</c:v>
                      </c:pt>
                      <c:pt idx="27">
                        <c:v>0.10238473499999401</c:v>
                      </c:pt>
                      <c:pt idx="28">
                        <c:v>0.10034833000000276</c:v>
                      </c:pt>
                      <c:pt idx="29">
                        <c:v>9.8311924999997302E-2</c:v>
                      </c:pt>
                      <c:pt idx="30">
                        <c:v>9.6275519999998949E-2</c:v>
                      </c:pt>
                      <c:pt idx="31">
                        <c:v>9.423911499999349E-2</c:v>
                      </c:pt>
                      <c:pt idx="32">
                        <c:v>9.2202710000002241E-2</c:v>
                      </c:pt>
                      <c:pt idx="33">
                        <c:v>9.0166304999989677E-2</c:v>
                      </c:pt>
                      <c:pt idx="34">
                        <c:v>8.8129900000005534E-2</c:v>
                      </c:pt>
                      <c:pt idx="35">
                        <c:v>8.6093495000000075E-2</c:v>
                      </c:pt>
                      <c:pt idx="36">
                        <c:v>8.4057090000001722E-2</c:v>
                      </c:pt>
                      <c:pt idx="37">
                        <c:v>8.2020685000010474E-2</c:v>
                      </c:pt>
                      <c:pt idx="38">
                        <c:v>7.9984279999997909E-2</c:v>
                      </c:pt>
                      <c:pt idx="39">
                        <c:v>7.7947875000006661E-2</c:v>
                      </c:pt>
                      <c:pt idx="40">
                        <c:v>7.5911470000001202E-2</c:v>
                      </c:pt>
                      <c:pt idx="41">
                        <c:v>7.3875064999995743E-2</c:v>
                      </c:pt>
                      <c:pt idx="42">
                        <c:v>7.183865999999739E-2</c:v>
                      </c:pt>
                      <c:pt idx="43">
                        <c:v>6.9802254999999036E-2</c:v>
                      </c:pt>
                      <c:pt idx="44">
                        <c:v>6.7765850000000682E-2</c:v>
                      </c:pt>
                      <c:pt idx="45">
                        <c:v>6.5729445000002329E-2</c:v>
                      </c:pt>
                      <c:pt idx="46">
                        <c:v>6.369303999999687E-2</c:v>
                      </c:pt>
                      <c:pt idx="47">
                        <c:v>6.1656635000005622E-2</c:v>
                      </c:pt>
                      <c:pt idx="48">
                        <c:v>5.9620230000000163E-2</c:v>
                      </c:pt>
                      <c:pt idx="49">
                        <c:v>5.7583825000001809E-2</c:v>
                      </c:pt>
                      <c:pt idx="50">
                        <c:v>5.5547420000003456E-2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10B-40E1-A458-CF55F8F74358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グラフ!$Q$5</c15:sqref>
                        </c15:formulaRef>
                      </c:ext>
                    </c:extLst>
                    <c:strCache>
                      <c:ptCount val="1"/>
                      <c:pt idx="0">
                        <c:v>締め代：Δ-10℃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グラフ!$Q$6:$Q$56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0.14793867000000205</c:v>
                      </c:pt>
                      <c:pt idx="1">
                        <c:v>0.14590226500000369</c:v>
                      </c:pt>
                      <c:pt idx="2">
                        <c:v>0.14386586000000534</c:v>
                      </c:pt>
                      <c:pt idx="3">
                        <c:v>0.14182945499999278</c:v>
                      </c:pt>
                      <c:pt idx="4">
                        <c:v>0.13979305000000153</c:v>
                      </c:pt>
                      <c:pt idx="5">
                        <c:v>0.13775664499999607</c:v>
                      </c:pt>
                      <c:pt idx="6">
                        <c:v>0.13572023999999772</c:v>
                      </c:pt>
                      <c:pt idx="7">
                        <c:v>0.13368383499999936</c:v>
                      </c:pt>
                      <c:pt idx="8">
                        <c:v>0.1316474299999939</c:v>
                      </c:pt>
                      <c:pt idx="9">
                        <c:v>0.12961102500000976</c:v>
                      </c:pt>
                      <c:pt idx="10">
                        <c:v>0.1275746199999972</c:v>
                      </c:pt>
                      <c:pt idx="11">
                        <c:v>0.12553821499999884</c:v>
                      </c:pt>
                      <c:pt idx="12">
                        <c:v>0.12350181000000049</c:v>
                      </c:pt>
                      <c:pt idx="13">
                        <c:v>0.12146540499999503</c:v>
                      </c:pt>
                      <c:pt idx="14">
                        <c:v>0.11942900000000378</c:v>
                      </c:pt>
                      <c:pt idx="15">
                        <c:v>0.11739259500000543</c:v>
                      </c:pt>
                      <c:pt idx="16">
                        <c:v>0.11535618999999997</c:v>
                      </c:pt>
                      <c:pt idx="17">
                        <c:v>0.11331978500000162</c:v>
                      </c:pt>
                      <c:pt idx="18">
                        <c:v>0.11128337999999616</c:v>
                      </c:pt>
                      <c:pt idx="19">
                        <c:v>0.1092469749999978</c:v>
                      </c:pt>
                      <c:pt idx="20">
                        <c:v>0.10721056999999234</c:v>
                      </c:pt>
                      <c:pt idx="21">
                        <c:v>0.10517416499999399</c:v>
                      </c:pt>
                      <c:pt idx="22">
                        <c:v>0.10313775999999564</c:v>
                      </c:pt>
                      <c:pt idx="23">
                        <c:v>0.10110135500000439</c:v>
                      </c:pt>
                      <c:pt idx="24">
                        <c:v>9.906494999999893E-2</c:v>
                      </c:pt>
                      <c:pt idx="25">
                        <c:v>9.7028545000000577E-2</c:v>
                      </c:pt>
                      <c:pt idx="26">
                        <c:v>9.4992140000002223E-2</c:v>
                      </c:pt>
                      <c:pt idx="27">
                        <c:v>9.2955734999996764E-2</c:v>
                      </c:pt>
                      <c:pt idx="28">
                        <c:v>9.0919329999998411E-2</c:v>
                      </c:pt>
                      <c:pt idx="29">
                        <c:v>8.8882924999992952E-2</c:v>
                      </c:pt>
                      <c:pt idx="30">
                        <c:v>8.6846520000001703E-2</c:v>
                      </c:pt>
                      <c:pt idx="31">
                        <c:v>8.4810114999989139E-2</c:v>
                      </c:pt>
                      <c:pt idx="32">
                        <c:v>8.2773710000012102E-2</c:v>
                      </c:pt>
                      <c:pt idx="33">
                        <c:v>8.0737304999999537E-2</c:v>
                      </c:pt>
                      <c:pt idx="34">
                        <c:v>7.8700900000001184E-2</c:v>
                      </c:pt>
                      <c:pt idx="35">
                        <c:v>7.666449500000283E-2</c:v>
                      </c:pt>
                      <c:pt idx="36">
                        <c:v>7.4628089999997371E-2</c:v>
                      </c:pt>
                      <c:pt idx="37">
                        <c:v>7.2591685000006123E-2</c:v>
                      </c:pt>
                      <c:pt idx="38">
                        <c:v>7.0555280000000664E-2</c:v>
                      </c:pt>
                      <c:pt idx="39">
                        <c:v>6.8518875000002311E-2</c:v>
                      </c:pt>
                      <c:pt idx="40">
                        <c:v>6.6482469999996852E-2</c:v>
                      </c:pt>
                      <c:pt idx="41">
                        <c:v>6.4446064999998498E-2</c:v>
                      </c:pt>
                      <c:pt idx="42">
                        <c:v>6.240966000000725E-2</c:v>
                      </c:pt>
                      <c:pt idx="43">
                        <c:v>6.0373255000001791E-2</c:v>
                      </c:pt>
                      <c:pt idx="44">
                        <c:v>5.8336849999996332E-2</c:v>
                      </c:pt>
                      <c:pt idx="45">
                        <c:v>5.6300445000005084E-2</c:v>
                      </c:pt>
                      <c:pt idx="46">
                        <c:v>5.4264039999992519E-2</c:v>
                      </c:pt>
                      <c:pt idx="47">
                        <c:v>5.2227635000001271E-2</c:v>
                      </c:pt>
                      <c:pt idx="48">
                        <c:v>5.0191230000002918E-2</c:v>
                      </c:pt>
                      <c:pt idx="49">
                        <c:v>4.8154824999997459E-2</c:v>
                      </c:pt>
                      <c:pt idx="50">
                        <c:v>4.6118419999999105E-2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10B-40E1-A458-CF55F8F74358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グラフ!$R$5</c15:sqref>
                        </c15:formulaRef>
                      </c:ext>
                    </c:extLst>
                    <c:strCache>
                      <c:ptCount val="1"/>
                      <c:pt idx="0">
                        <c:v>締め代：Δ0℃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グラフ!$R$6:$R$56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0.1385096700000048</c:v>
                      </c:pt>
                      <c:pt idx="1">
                        <c:v>0.13647326499999934</c:v>
                      </c:pt>
                      <c:pt idx="2">
                        <c:v>0.1344368600000081</c:v>
                      </c:pt>
                      <c:pt idx="3">
                        <c:v>0.13240045499999553</c:v>
                      </c:pt>
                      <c:pt idx="4">
                        <c:v>0.13036404999999718</c:v>
                      </c:pt>
                      <c:pt idx="5">
                        <c:v>0.12832764499999882</c:v>
                      </c:pt>
                      <c:pt idx="6">
                        <c:v>0.12629123999999337</c:v>
                      </c:pt>
                      <c:pt idx="7">
                        <c:v>0.12425483500000212</c:v>
                      </c:pt>
                      <c:pt idx="8">
                        <c:v>0.12221842999999666</c:v>
                      </c:pt>
                      <c:pt idx="9">
                        <c:v>0.12018202500000541</c:v>
                      </c:pt>
                      <c:pt idx="10">
                        <c:v>0.11814561999999995</c:v>
                      </c:pt>
                      <c:pt idx="11">
                        <c:v>0.11610921499999449</c:v>
                      </c:pt>
                      <c:pt idx="12">
                        <c:v>0.11407281000000324</c:v>
                      </c:pt>
                      <c:pt idx="13">
                        <c:v>0.11203640499999779</c:v>
                      </c:pt>
                      <c:pt idx="14">
                        <c:v>0.10999999999999943</c:v>
                      </c:pt>
                      <c:pt idx="15">
                        <c:v>0.10796359500000818</c:v>
                      </c:pt>
                      <c:pt idx="16">
                        <c:v>0.10592718999999562</c:v>
                      </c:pt>
                      <c:pt idx="17">
                        <c:v>0.10389078499999727</c:v>
                      </c:pt>
                      <c:pt idx="18">
                        <c:v>0.10185437999999891</c:v>
                      </c:pt>
                      <c:pt idx="19">
                        <c:v>9.9817974999993453E-2</c:v>
                      </c:pt>
                      <c:pt idx="20">
                        <c:v>9.7781569999995099E-2</c:v>
                      </c:pt>
                      <c:pt idx="21">
                        <c:v>9.5745165000003851E-2</c:v>
                      </c:pt>
                      <c:pt idx="22">
                        <c:v>9.3708759999998392E-2</c:v>
                      </c:pt>
                      <c:pt idx="23">
                        <c:v>9.1672355000000039E-2</c:v>
                      </c:pt>
                      <c:pt idx="24">
                        <c:v>8.963594999999458E-2</c:v>
                      </c:pt>
                      <c:pt idx="25">
                        <c:v>8.7599545000003332E-2</c:v>
                      </c:pt>
                      <c:pt idx="26">
                        <c:v>8.5563139999997873E-2</c:v>
                      </c:pt>
                      <c:pt idx="27">
                        <c:v>8.3526734999992414E-2</c:v>
                      </c:pt>
                      <c:pt idx="28">
                        <c:v>8.1490330000001165E-2</c:v>
                      </c:pt>
                      <c:pt idx="29">
                        <c:v>7.9453924999988601E-2</c:v>
                      </c:pt>
                      <c:pt idx="30">
                        <c:v>7.7417520000011564E-2</c:v>
                      </c:pt>
                      <c:pt idx="31">
                        <c:v>7.5381114999998999E-2</c:v>
                      </c:pt>
                      <c:pt idx="32">
                        <c:v>7.3344710000007751E-2</c:v>
                      </c:pt>
                      <c:pt idx="33">
                        <c:v>7.1308305000002292E-2</c:v>
                      </c:pt>
                      <c:pt idx="34">
                        <c:v>6.9271899999996833E-2</c:v>
                      </c:pt>
                      <c:pt idx="35">
                        <c:v>6.723549499999848E-2</c:v>
                      </c:pt>
                      <c:pt idx="36">
                        <c:v>6.5199090000000126E-2</c:v>
                      </c:pt>
                      <c:pt idx="37">
                        <c:v>6.3162685000001773E-2</c:v>
                      </c:pt>
                      <c:pt idx="38">
                        <c:v>6.1126279999996314E-2</c:v>
                      </c:pt>
                      <c:pt idx="39">
                        <c:v>5.9089875000005065E-2</c:v>
                      </c:pt>
                      <c:pt idx="40">
                        <c:v>5.7053470000006712E-2</c:v>
                      </c:pt>
                      <c:pt idx="41">
                        <c:v>5.5017065000001253E-2</c:v>
                      </c:pt>
                      <c:pt idx="42">
                        <c:v>5.2980660000002899E-2</c:v>
                      </c:pt>
                      <c:pt idx="43">
                        <c:v>5.0944255000004546E-2</c:v>
                      </c:pt>
                      <c:pt idx="44">
                        <c:v>4.8907849999991981E-2</c:v>
                      </c:pt>
                      <c:pt idx="45">
                        <c:v>4.6871445000000733E-2</c:v>
                      </c:pt>
                      <c:pt idx="46">
                        <c:v>4.4835039999995274E-2</c:v>
                      </c:pt>
                      <c:pt idx="47">
                        <c:v>4.2798634999996921E-2</c:v>
                      </c:pt>
                      <c:pt idx="48">
                        <c:v>4.0762229999998567E-2</c:v>
                      </c:pt>
                      <c:pt idx="49">
                        <c:v>3.8725825000000214E-2</c:v>
                      </c:pt>
                      <c:pt idx="50">
                        <c:v>3.6689420000008965E-2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10B-40E1-A458-CF55F8F74358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グラフ!$S$5</c15:sqref>
                        </c15:formulaRef>
                      </c:ext>
                    </c:extLst>
                    <c:strCache>
                      <c:ptCount val="1"/>
                      <c:pt idx="0">
                        <c:v>締め代：Δ+10℃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グラフ!$S$6:$S$56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0.12908067000000756</c:v>
                      </c:pt>
                      <c:pt idx="1">
                        <c:v>0.1270442650000021</c:v>
                      </c:pt>
                      <c:pt idx="2">
                        <c:v>0.12500786000000375</c:v>
                      </c:pt>
                      <c:pt idx="3">
                        <c:v>0.12297145499999829</c:v>
                      </c:pt>
                      <c:pt idx="4">
                        <c:v>0.12093504999999283</c:v>
                      </c:pt>
                      <c:pt idx="5">
                        <c:v>0.11889864500000158</c:v>
                      </c:pt>
                      <c:pt idx="6">
                        <c:v>0.11686223999999612</c:v>
                      </c:pt>
                      <c:pt idx="7">
                        <c:v>0.11482583499999777</c:v>
                      </c:pt>
                      <c:pt idx="8">
                        <c:v>0.11278942999999941</c:v>
                      </c:pt>
                      <c:pt idx="9">
                        <c:v>0.11075302500000106</c:v>
                      </c:pt>
                      <c:pt idx="10">
                        <c:v>0.10871662000000271</c:v>
                      </c:pt>
                      <c:pt idx="11">
                        <c:v>0.10668021499999725</c:v>
                      </c:pt>
                      <c:pt idx="12">
                        <c:v>0.10464380999999889</c:v>
                      </c:pt>
                      <c:pt idx="13">
                        <c:v>0.10260740500000054</c:v>
                      </c:pt>
                      <c:pt idx="14">
                        <c:v>0.10057099999999508</c:v>
                      </c:pt>
                      <c:pt idx="15">
                        <c:v>9.8534595000003833E-2</c:v>
                      </c:pt>
                      <c:pt idx="16">
                        <c:v>9.6498189999998374E-2</c:v>
                      </c:pt>
                      <c:pt idx="17">
                        <c:v>9.4461784999992915E-2</c:v>
                      </c:pt>
                      <c:pt idx="18">
                        <c:v>9.2425380000001667E-2</c:v>
                      </c:pt>
                      <c:pt idx="19">
                        <c:v>9.0388975000003313E-2</c:v>
                      </c:pt>
                      <c:pt idx="20">
                        <c:v>8.8352569999997854E-2</c:v>
                      </c:pt>
                      <c:pt idx="21">
                        <c:v>8.6316164999999501E-2</c:v>
                      </c:pt>
                      <c:pt idx="22">
                        <c:v>8.4279759999994042E-2</c:v>
                      </c:pt>
                      <c:pt idx="23">
                        <c:v>8.2243355000002794E-2</c:v>
                      </c:pt>
                      <c:pt idx="24">
                        <c:v>8.0206949999990229E-2</c:v>
                      </c:pt>
                      <c:pt idx="25">
                        <c:v>7.8170544999998981E-2</c:v>
                      </c:pt>
                      <c:pt idx="26">
                        <c:v>7.6134140000000627E-2</c:v>
                      </c:pt>
                      <c:pt idx="27">
                        <c:v>7.4097734999988063E-2</c:v>
                      </c:pt>
                      <c:pt idx="28">
                        <c:v>7.2061330000011026E-2</c:v>
                      </c:pt>
                      <c:pt idx="29">
                        <c:v>7.0024924999998461E-2</c:v>
                      </c:pt>
                      <c:pt idx="30">
                        <c:v>6.7988520000007213E-2</c:v>
                      </c:pt>
                      <c:pt idx="31">
                        <c:v>6.5952115000001754E-2</c:v>
                      </c:pt>
                      <c:pt idx="32">
                        <c:v>6.3915710000003401E-2</c:v>
                      </c:pt>
                      <c:pt idx="33">
                        <c:v>6.1879304999997942E-2</c:v>
                      </c:pt>
                      <c:pt idx="34">
                        <c:v>5.9842899999999588E-2</c:v>
                      </c:pt>
                      <c:pt idx="35">
                        <c:v>5.7806494999994129E-2</c:v>
                      </c:pt>
                      <c:pt idx="36">
                        <c:v>5.5770089999995776E-2</c:v>
                      </c:pt>
                      <c:pt idx="37">
                        <c:v>5.3733685000004527E-2</c:v>
                      </c:pt>
                      <c:pt idx="38">
                        <c:v>5.1697280000006174E-2</c:v>
                      </c:pt>
                      <c:pt idx="39">
                        <c:v>4.966087500000782E-2</c:v>
                      </c:pt>
                      <c:pt idx="40">
                        <c:v>4.7624470000002361E-2</c:v>
                      </c:pt>
                      <c:pt idx="41">
                        <c:v>4.5588065000004008E-2</c:v>
                      </c:pt>
                      <c:pt idx="42">
                        <c:v>4.3551659999998549E-2</c:v>
                      </c:pt>
                      <c:pt idx="43">
                        <c:v>4.1515255000000195E-2</c:v>
                      </c:pt>
                      <c:pt idx="44">
                        <c:v>3.9478849999994736E-2</c:v>
                      </c:pt>
                      <c:pt idx="45">
                        <c:v>3.7442444999996383E-2</c:v>
                      </c:pt>
                      <c:pt idx="46">
                        <c:v>3.5406039999990924E-2</c:v>
                      </c:pt>
                      <c:pt idx="47">
                        <c:v>3.3369634999999676E-2</c:v>
                      </c:pt>
                      <c:pt idx="48">
                        <c:v>3.1333230000008427E-2</c:v>
                      </c:pt>
                      <c:pt idx="49">
                        <c:v>2.9296825000002968E-2</c:v>
                      </c:pt>
                      <c:pt idx="50">
                        <c:v>2.7260420000004615E-2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10B-40E1-A458-CF55F8F74358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グラフ!$T$5</c15:sqref>
                        </c15:formulaRef>
                      </c:ext>
                    </c:extLst>
                    <c:strCache>
                      <c:ptCount val="1"/>
                      <c:pt idx="0">
                        <c:v>締め代：Δ+20℃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グラフ!$T$6:$T$56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0.11965167000000321</c:v>
                      </c:pt>
                      <c:pt idx="1">
                        <c:v>0.11761526500000485</c:v>
                      </c:pt>
                      <c:pt idx="2">
                        <c:v>0.11557885999999939</c:v>
                      </c:pt>
                      <c:pt idx="3">
                        <c:v>0.11354245500000104</c:v>
                      </c:pt>
                      <c:pt idx="4">
                        <c:v>0.11150604999999558</c:v>
                      </c:pt>
                      <c:pt idx="5">
                        <c:v>0.10946964499999723</c:v>
                      </c:pt>
                      <c:pt idx="6">
                        <c:v>0.10743323999999888</c:v>
                      </c:pt>
                      <c:pt idx="7">
                        <c:v>0.10539683499999342</c:v>
                      </c:pt>
                      <c:pt idx="8">
                        <c:v>0.10336043000000217</c:v>
                      </c:pt>
                      <c:pt idx="9">
                        <c:v>0.10132402500000381</c:v>
                      </c:pt>
                      <c:pt idx="10">
                        <c:v>9.9287619999998356E-2</c:v>
                      </c:pt>
                      <c:pt idx="11">
                        <c:v>9.7251215000000002E-2</c:v>
                      </c:pt>
                      <c:pt idx="12">
                        <c:v>9.5214809999994543E-2</c:v>
                      </c:pt>
                      <c:pt idx="13">
                        <c:v>9.3178404999996189E-2</c:v>
                      </c:pt>
                      <c:pt idx="14">
                        <c:v>9.1141999999997836E-2</c:v>
                      </c:pt>
                      <c:pt idx="15">
                        <c:v>8.9105594999999482E-2</c:v>
                      </c:pt>
                      <c:pt idx="16">
                        <c:v>8.7069190000001129E-2</c:v>
                      </c:pt>
                      <c:pt idx="17">
                        <c:v>8.5032785000002775E-2</c:v>
                      </c:pt>
                      <c:pt idx="18">
                        <c:v>8.2996380000004422E-2</c:v>
                      </c:pt>
                      <c:pt idx="19">
                        <c:v>8.0959974999998963E-2</c:v>
                      </c:pt>
                      <c:pt idx="20">
                        <c:v>7.8923569999993504E-2</c:v>
                      </c:pt>
                      <c:pt idx="21">
                        <c:v>7.6887165000002256E-2</c:v>
                      </c:pt>
                      <c:pt idx="22">
                        <c:v>7.4850759999989691E-2</c:v>
                      </c:pt>
                      <c:pt idx="23">
                        <c:v>7.2814354999998443E-2</c:v>
                      </c:pt>
                      <c:pt idx="24">
                        <c:v>7.0777949999992984E-2</c:v>
                      </c:pt>
                      <c:pt idx="25">
                        <c:v>6.874154499999463E-2</c:v>
                      </c:pt>
                      <c:pt idx="26">
                        <c:v>6.6705140000010488E-2</c:v>
                      </c:pt>
                      <c:pt idx="27">
                        <c:v>6.4668734999997923E-2</c:v>
                      </c:pt>
                      <c:pt idx="28">
                        <c:v>6.2632330000006675E-2</c:v>
                      </c:pt>
                      <c:pt idx="29">
                        <c:v>6.0595925000001216E-2</c:v>
                      </c:pt>
                      <c:pt idx="30">
                        <c:v>5.8559520000002863E-2</c:v>
                      </c:pt>
                      <c:pt idx="31">
                        <c:v>5.6523114999997404E-2</c:v>
                      </c:pt>
                      <c:pt idx="32">
                        <c:v>5.4486710000006155E-2</c:v>
                      </c:pt>
                      <c:pt idx="33">
                        <c:v>5.2450304999993591E-2</c:v>
                      </c:pt>
                      <c:pt idx="34">
                        <c:v>5.0413899999995238E-2</c:v>
                      </c:pt>
                      <c:pt idx="35">
                        <c:v>4.8377494999996884E-2</c:v>
                      </c:pt>
                      <c:pt idx="36">
                        <c:v>4.6341090000005636E-2</c:v>
                      </c:pt>
                      <c:pt idx="37">
                        <c:v>4.4304685000007282E-2</c:v>
                      </c:pt>
                      <c:pt idx="38">
                        <c:v>4.2268280000001823E-2</c:v>
                      </c:pt>
                      <c:pt idx="39">
                        <c:v>4.0231875000010575E-2</c:v>
                      </c:pt>
                      <c:pt idx="40">
                        <c:v>3.8195469999998011E-2</c:v>
                      </c:pt>
                      <c:pt idx="41">
                        <c:v>3.6159064999999657E-2</c:v>
                      </c:pt>
                      <c:pt idx="42">
                        <c:v>3.4122660000001304E-2</c:v>
                      </c:pt>
                      <c:pt idx="43">
                        <c:v>3.2086254999995845E-2</c:v>
                      </c:pt>
                      <c:pt idx="44">
                        <c:v>3.0049849999990386E-2</c:v>
                      </c:pt>
                      <c:pt idx="45">
                        <c:v>2.8013444999999138E-2</c:v>
                      </c:pt>
                      <c:pt idx="46">
                        <c:v>2.5977040000000784E-2</c:v>
                      </c:pt>
                      <c:pt idx="47">
                        <c:v>2.394063500000243E-2</c:v>
                      </c:pt>
                      <c:pt idx="48">
                        <c:v>2.1904230000004077E-2</c:v>
                      </c:pt>
                      <c:pt idx="49">
                        <c:v>1.9867825000005723E-2</c:v>
                      </c:pt>
                      <c:pt idx="50">
                        <c:v>1.7831420000000264E-2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10B-40E1-A458-CF55F8F74358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グラフ!$U$5</c15:sqref>
                        </c15:formulaRef>
                      </c:ext>
                    </c:extLst>
                    <c:strCache>
                      <c:ptCount val="1"/>
                      <c:pt idx="0">
                        <c:v>締め代：Δ+30℃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グラフ!$U$6:$U$56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0.11022266999999886</c:v>
                      </c:pt>
                      <c:pt idx="1">
                        <c:v>0.10818626500000761</c:v>
                      </c:pt>
                      <c:pt idx="2">
                        <c:v>0.10614986000000215</c:v>
                      </c:pt>
                      <c:pt idx="3">
                        <c:v>0.10411345499999669</c:v>
                      </c:pt>
                      <c:pt idx="4">
                        <c:v>0.10207704999999834</c:v>
                      </c:pt>
                      <c:pt idx="5">
                        <c:v>0.10004064499999288</c:v>
                      </c:pt>
                      <c:pt idx="6">
                        <c:v>9.800424000000163E-2</c:v>
                      </c:pt>
                      <c:pt idx="7">
                        <c:v>9.5967834999996171E-2</c:v>
                      </c:pt>
                      <c:pt idx="8">
                        <c:v>9.3931429999997818E-2</c:v>
                      </c:pt>
                      <c:pt idx="9">
                        <c:v>9.1895025000006569E-2</c:v>
                      </c:pt>
                      <c:pt idx="10">
                        <c:v>8.9858619999994005E-2</c:v>
                      </c:pt>
                      <c:pt idx="11">
                        <c:v>8.7822214999995651E-2</c:v>
                      </c:pt>
                      <c:pt idx="12">
                        <c:v>8.5785809999997298E-2</c:v>
                      </c:pt>
                      <c:pt idx="13">
                        <c:v>8.3749404999991839E-2</c:v>
                      </c:pt>
                      <c:pt idx="14">
                        <c:v>8.1713000000000591E-2</c:v>
                      </c:pt>
                      <c:pt idx="15">
                        <c:v>7.9676595000009343E-2</c:v>
                      </c:pt>
                      <c:pt idx="16">
                        <c:v>7.7640190000003884E-2</c:v>
                      </c:pt>
                      <c:pt idx="17">
                        <c:v>7.5603784999998425E-2</c:v>
                      </c:pt>
                      <c:pt idx="18">
                        <c:v>7.3567380000000071E-2</c:v>
                      </c:pt>
                      <c:pt idx="19">
                        <c:v>7.1530975000001717E-2</c:v>
                      </c:pt>
                      <c:pt idx="20">
                        <c:v>6.9494569999989153E-2</c:v>
                      </c:pt>
                      <c:pt idx="21">
                        <c:v>6.7458164999997905E-2</c:v>
                      </c:pt>
                      <c:pt idx="22">
                        <c:v>6.5421759999992446E-2</c:v>
                      </c:pt>
                      <c:pt idx="23">
                        <c:v>6.3385354999994092E-2</c:v>
                      </c:pt>
                      <c:pt idx="24">
                        <c:v>6.1348950000002844E-2</c:v>
                      </c:pt>
                      <c:pt idx="25">
                        <c:v>5.9312545000004491E-2</c:v>
                      </c:pt>
                      <c:pt idx="26">
                        <c:v>5.7276140000006137E-2</c:v>
                      </c:pt>
                      <c:pt idx="27">
                        <c:v>5.5239735000000678E-2</c:v>
                      </c:pt>
                      <c:pt idx="28">
                        <c:v>5.3203330000002325E-2</c:v>
                      </c:pt>
                      <c:pt idx="29">
                        <c:v>5.1166924999996866E-2</c:v>
                      </c:pt>
                      <c:pt idx="30">
                        <c:v>4.9130520000005617E-2</c:v>
                      </c:pt>
                      <c:pt idx="31">
                        <c:v>4.7094114999993053E-2</c:v>
                      </c:pt>
                      <c:pt idx="32">
                        <c:v>4.5057710000001805E-2</c:v>
                      </c:pt>
                      <c:pt idx="33">
                        <c:v>4.3021304999996346E-2</c:v>
                      </c:pt>
                      <c:pt idx="34">
                        <c:v>4.0984900000005098E-2</c:v>
                      </c:pt>
                      <c:pt idx="35">
                        <c:v>3.8948494999999639E-2</c:v>
                      </c:pt>
                      <c:pt idx="36">
                        <c:v>3.6912090000001285E-2</c:v>
                      </c:pt>
                      <c:pt idx="37">
                        <c:v>3.4875685000010037E-2</c:v>
                      </c:pt>
                      <c:pt idx="38">
                        <c:v>3.2839279999997473E-2</c:v>
                      </c:pt>
                      <c:pt idx="39">
                        <c:v>3.0802875000006225E-2</c:v>
                      </c:pt>
                      <c:pt idx="40">
                        <c:v>2.8766470000000766E-2</c:v>
                      </c:pt>
                      <c:pt idx="41">
                        <c:v>2.6730064999995307E-2</c:v>
                      </c:pt>
                      <c:pt idx="42">
                        <c:v>2.4693659999996953E-2</c:v>
                      </c:pt>
                      <c:pt idx="43">
                        <c:v>2.2657254999998599E-2</c:v>
                      </c:pt>
                      <c:pt idx="44">
                        <c:v>2.0620850000000246E-2</c:v>
                      </c:pt>
                      <c:pt idx="45">
                        <c:v>1.8584445000001892E-2</c:v>
                      </c:pt>
                      <c:pt idx="46">
                        <c:v>1.6548039999996433E-2</c:v>
                      </c:pt>
                      <c:pt idx="47">
                        <c:v>1.4511635000005185E-2</c:v>
                      </c:pt>
                      <c:pt idx="48">
                        <c:v>1.2475229999999726E-2</c:v>
                      </c:pt>
                      <c:pt idx="49">
                        <c:v>1.0438825000001373E-2</c:v>
                      </c:pt>
                      <c:pt idx="50">
                        <c:v>8.4024200000030191E-3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10B-40E1-A458-CF55F8F74358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グラフ!$AC$5</c15:sqref>
                        </c15:formulaRef>
                      </c:ext>
                    </c:extLst>
                    <c:strCache>
                      <c:ptCount val="1"/>
                      <c:pt idx="0">
                        <c:v>inner応力:Δ-30℃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グラフ!$AC$6:$AC$56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316.39983997580583</c:v>
                      </c:pt>
                      <c:pt idx="1">
                        <c:v>312.536943815303</c:v>
                      </c:pt>
                      <c:pt idx="2">
                        <c:v>308.67404765481371</c:v>
                      </c:pt>
                      <c:pt idx="3">
                        <c:v>304.81115149432452</c:v>
                      </c:pt>
                      <c:pt idx="4">
                        <c:v>300.94825533382181</c:v>
                      </c:pt>
                      <c:pt idx="5">
                        <c:v>297.08535917333245</c:v>
                      </c:pt>
                      <c:pt idx="6">
                        <c:v>293.22246301284321</c:v>
                      </c:pt>
                      <c:pt idx="7">
                        <c:v>289.35956685234049</c:v>
                      </c:pt>
                      <c:pt idx="8">
                        <c:v>285.49667069186472</c:v>
                      </c:pt>
                      <c:pt idx="9">
                        <c:v>281.63377453137542</c:v>
                      </c:pt>
                      <c:pt idx="10">
                        <c:v>277.77087837087265</c:v>
                      </c:pt>
                      <c:pt idx="11">
                        <c:v>273.90798221038341</c:v>
                      </c:pt>
                      <c:pt idx="12">
                        <c:v>270.04508604988069</c:v>
                      </c:pt>
                      <c:pt idx="13">
                        <c:v>266.18218988940487</c:v>
                      </c:pt>
                      <c:pt idx="14">
                        <c:v>262.3192937289021</c:v>
                      </c:pt>
                      <c:pt idx="15">
                        <c:v>258.45639756842633</c:v>
                      </c:pt>
                      <c:pt idx="16">
                        <c:v>254.59350140792358</c:v>
                      </c:pt>
                      <c:pt idx="17">
                        <c:v>250.73060524742075</c:v>
                      </c:pt>
                      <c:pt idx="18">
                        <c:v>246.86770908694498</c:v>
                      </c:pt>
                      <c:pt idx="19">
                        <c:v>243.0048129264423</c:v>
                      </c:pt>
                      <c:pt idx="20">
                        <c:v>239.14191676593958</c:v>
                      </c:pt>
                      <c:pt idx="21">
                        <c:v>235.27902060546376</c:v>
                      </c:pt>
                      <c:pt idx="22">
                        <c:v>231.41612444494749</c:v>
                      </c:pt>
                      <c:pt idx="23">
                        <c:v>227.55322828447171</c:v>
                      </c:pt>
                      <c:pt idx="24">
                        <c:v>223.69033212396894</c:v>
                      </c:pt>
                      <c:pt idx="25">
                        <c:v>219.8274359634797</c:v>
                      </c:pt>
                      <c:pt idx="26">
                        <c:v>215.96453980300393</c:v>
                      </c:pt>
                      <c:pt idx="27">
                        <c:v>212.10164364250119</c:v>
                      </c:pt>
                      <c:pt idx="28">
                        <c:v>208.23874748202539</c:v>
                      </c:pt>
                      <c:pt idx="29">
                        <c:v>204.37585132150912</c:v>
                      </c:pt>
                      <c:pt idx="30">
                        <c:v>200.51295516103335</c:v>
                      </c:pt>
                      <c:pt idx="31">
                        <c:v>196.6500590005306</c:v>
                      </c:pt>
                      <c:pt idx="32">
                        <c:v>192.78716284004133</c:v>
                      </c:pt>
                      <c:pt idx="33">
                        <c:v>188.92426667953862</c:v>
                      </c:pt>
                      <c:pt idx="34">
                        <c:v>185.06137051904932</c:v>
                      </c:pt>
                      <c:pt idx="35">
                        <c:v>181.19847435854655</c:v>
                      </c:pt>
                      <c:pt idx="36">
                        <c:v>177.33557819808425</c:v>
                      </c:pt>
                      <c:pt idx="37">
                        <c:v>173.47268203759498</c:v>
                      </c:pt>
                      <c:pt idx="38">
                        <c:v>169.60978587709224</c:v>
                      </c:pt>
                      <c:pt idx="39">
                        <c:v>165.74688971661644</c:v>
                      </c:pt>
                      <c:pt idx="40">
                        <c:v>161.88399355610022</c:v>
                      </c:pt>
                      <c:pt idx="41">
                        <c:v>158.02109739561095</c:v>
                      </c:pt>
                      <c:pt idx="42">
                        <c:v>154.15820123512168</c:v>
                      </c:pt>
                      <c:pt idx="43">
                        <c:v>150.29530507461894</c:v>
                      </c:pt>
                      <c:pt idx="44">
                        <c:v>146.43240891411619</c:v>
                      </c:pt>
                      <c:pt idx="45">
                        <c:v>142.5695127536404</c:v>
                      </c:pt>
                      <c:pt idx="46">
                        <c:v>138.7066165931511</c:v>
                      </c:pt>
                      <c:pt idx="47">
                        <c:v>134.84372043266185</c:v>
                      </c:pt>
                      <c:pt idx="48">
                        <c:v>130.98082427217258</c:v>
                      </c:pt>
                      <c:pt idx="49">
                        <c:v>127.11792811168331</c:v>
                      </c:pt>
                      <c:pt idx="50">
                        <c:v>123.25503195118056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10B-40E1-A458-CF55F8F74358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グラフ!$AD$5</c15:sqref>
                        </c15:formulaRef>
                      </c:ext>
                    </c:extLst>
                    <c:strCache>
                      <c:ptCount val="1"/>
                      <c:pt idx="0">
                        <c:v>inner応力:Δ-20℃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グラフ!$AD$6:$AD$56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298.51378690812061</c:v>
                      </c:pt>
                      <c:pt idx="1">
                        <c:v>294.65089074764478</c:v>
                      </c:pt>
                      <c:pt idx="2">
                        <c:v>290.78799458714195</c:v>
                      </c:pt>
                      <c:pt idx="3">
                        <c:v>286.92509842663924</c:v>
                      </c:pt>
                      <c:pt idx="4">
                        <c:v>283.06220226615</c:v>
                      </c:pt>
                      <c:pt idx="5">
                        <c:v>279.19930610564722</c:v>
                      </c:pt>
                      <c:pt idx="6">
                        <c:v>275.33640994517145</c:v>
                      </c:pt>
                      <c:pt idx="7">
                        <c:v>271.47351378466868</c:v>
                      </c:pt>
                      <c:pt idx="8">
                        <c:v>267.61061762417944</c:v>
                      </c:pt>
                      <c:pt idx="9">
                        <c:v>263.74772146370367</c:v>
                      </c:pt>
                      <c:pt idx="10">
                        <c:v>259.88482530318737</c:v>
                      </c:pt>
                      <c:pt idx="11">
                        <c:v>256.0219291427116</c:v>
                      </c:pt>
                      <c:pt idx="12">
                        <c:v>252.15903298220891</c:v>
                      </c:pt>
                      <c:pt idx="13">
                        <c:v>248.29613682171961</c:v>
                      </c:pt>
                      <c:pt idx="14">
                        <c:v>244.43324066123029</c:v>
                      </c:pt>
                      <c:pt idx="15">
                        <c:v>240.57034450074104</c:v>
                      </c:pt>
                      <c:pt idx="16">
                        <c:v>236.7074483402518</c:v>
                      </c:pt>
                      <c:pt idx="17">
                        <c:v>232.84455217974906</c:v>
                      </c:pt>
                      <c:pt idx="18">
                        <c:v>228.98165601925979</c:v>
                      </c:pt>
                      <c:pt idx="19">
                        <c:v>225.11875985877052</c:v>
                      </c:pt>
                      <c:pt idx="20">
                        <c:v>221.25586369825425</c:v>
                      </c:pt>
                      <c:pt idx="21">
                        <c:v>217.39296753777845</c:v>
                      </c:pt>
                      <c:pt idx="22">
                        <c:v>213.53007137727576</c:v>
                      </c:pt>
                      <c:pt idx="23">
                        <c:v>209.66717521678646</c:v>
                      </c:pt>
                      <c:pt idx="24">
                        <c:v>205.80427905629722</c:v>
                      </c:pt>
                      <c:pt idx="25">
                        <c:v>201.94138289582142</c:v>
                      </c:pt>
                      <c:pt idx="26">
                        <c:v>198.07848673533215</c:v>
                      </c:pt>
                      <c:pt idx="27">
                        <c:v>194.21559057481588</c:v>
                      </c:pt>
                      <c:pt idx="28">
                        <c:v>190.35269441434011</c:v>
                      </c:pt>
                      <c:pt idx="29">
                        <c:v>186.48979825383736</c:v>
                      </c:pt>
                      <c:pt idx="30">
                        <c:v>182.62690209334812</c:v>
                      </c:pt>
                      <c:pt idx="31">
                        <c:v>178.76400593284535</c:v>
                      </c:pt>
                      <c:pt idx="32">
                        <c:v>174.90110977236958</c:v>
                      </c:pt>
                      <c:pt idx="33">
                        <c:v>171.03821361185331</c:v>
                      </c:pt>
                      <c:pt idx="34">
                        <c:v>167.17531745139101</c:v>
                      </c:pt>
                      <c:pt idx="35">
                        <c:v>163.31242129088824</c:v>
                      </c:pt>
                      <c:pt idx="36">
                        <c:v>159.44952513039902</c:v>
                      </c:pt>
                      <c:pt idx="37">
                        <c:v>155.5866289699232</c:v>
                      </c:pt>
                      <c:pt idx="38">
                        <c:v>151.72373280940698</c:v>
                      </c:pt>
                      <c:pt idx="39">
                        <c:v>147.86083664893118</c:v>
                      </c:pt>
                      <c:pt idx="40">
                        <c:v>143.99794048842847</c:v>
                      </c:pt>
                      <c:pt idx="41">
                        <c:v>140.13504432792567</c:v>
                      </c:pt>
                      <c:pt idx="42">
                        <c:v>136.27214816743643</c:v>
                      </c:pt>
                      <c:pt idx="43">
                        <c:v>132.40925200694716</c:v>
                      </c:pt>
                      <c:pt idx="44">
                        <c:v>128.54635584645791</c:v>
                      </c:pt>
                      <c:pt idx="45">
                        <c:v>124.6834596859686</c:v>
                      </c:pt>
                      <c:pt idx="46">
                        <c:v>120.82056352546589</c:v>
                      </c:pt>
                      <c:pt idx="47">
                        <c:v>116.95766736499009</c:v>
                      </c:pt>
                      <c:pt idx="48">
                        <c:v>113.09477120448732</c:v>
                      </c:pt>
                      <c:pt idx="49">
                        <c:v>109.23187504399806</c:v>
                      </c:pt>
                      <c:pt idx="50">
                        <c:v>105.36897888350879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10B-40E1-A458-CF55F8F74358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グラフ!$AE$5</c15:sqref>
                        </c15:formulaRef>
                      </c:ext>
                    </c:extLst>
                    <c:strCache>
                      <c:ptCount val="1"/>
                      <c:pt idx="0">
                        <c:v>inner応力:Δ-10℃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グラフ!$AE$6:$AE$56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280.62773384044874</c:v>
                      </c:pt>
                      <c:pt idx="1">
                        <c:v>276.7648376799595</c:v>
                      </c:pt>
                      <c:pt idx="2">
                        <c:v>272.90194151947026</c:v>
                      </c:pt>
                      <c:pt idx="3">
                        <c:v>269.03904535895401</c:v>
                      </c:pt>
                      <c:pt idx="4">
                        <c:v>265.17614919847824</c:v>
                      </c:pt>
                      <c:pt idx="5">
                        <c:v>261.31325303797553</c:v>
                      </c:pt>
                      <c:pt idx="6">
                        <c:v>257.45035687748617</c:v>
                      </c:pt>
                      <c:pt idx="7">
                        <c:v>253.5874607169969</c:v>
                      </c:pt>
                      <c:pt idx="8">
                        <c:v>249.72456455649419</c:v>
                      </c:pt>
                      <c:pt idx="9">
                        <c:v>245.86166839603189</c:v>
                      </c:pt>
                      <c:pt idx="10">
                        <c:v>241.99877223551564</c:v>
                      </c:pt>
                      <c:pt idx="11">
                        <c:v>238.13587607502637</c:v>
                      </c:pt>
                      <c:pt idx="12">
                        <c:v>234.27297991453713</c:v>
                      </c:pt>
                      <c:pt idx="13">
                        <c:v>230.41008375403433</c:v>
                      </c:pt>
                      <c:pt idx="14">
                        <c:v>226.54718759355856</c:v>
                      </c:pt>
                      <c:pt idx="15">
                        <c:v>222.68429143306929</c:v>
                      </c:pt>
                      <c:pt idx="16">
                        <c:v>218.82139527256655</c:v>
                      </c:pt>
                      <c:pt idx="17">
                        <c:v>214.95849911207725</c:v>
                      </c:pt>
                      <c:pt idx="18">
                        <c:v>211.09560295157456</c:v>
                      </c:pt>
                      <c:pt idx="19">
                        <c:v>207.23270679108523</c:v>
                      </c:pt>
                      <c:pt idx="20">
                        <c:v>203.36981063058249</c:v>
                      </c:pt>
                      <c:pt idx="21">
                        <c:v>199.50691447009325</c:v>
                      </c:pt>
                      <c:pt idx="22">
                        <c:v>195.64401830960398</c:v>
                      </c:pt>
                      <c:pt idx="23">
                        <c:v>191.78112214912815</c:v>
                      </c:pt>
                      <c:pt idx="24">
                        <c:v>187.91822598862544</c:v>
                      </c:pt>
                      <c:pt idx="25">
                        <c:v>184.05532982813617</c:v>
                      </c:pt>
                      <c:pt idx="26">
                        <c:v>180.19243366764687</c:v>
                      </c:pt>
                      <c:pt idx="27">
                        <c:v>176.32953750714412</c:v>
                      </c:pt>
                      <c:pt idx="28">
                        <c:v>172.46664134665488</c:v>
                      </c:pt>
                      <c:pt idx="29">
                        <c:v>168.60374518615214</c:v>
                      </c:pt>
                      <c:pt idx="30">
                        <c:v>164.74084902567634</c:v>
                      </c:pt>
                      <c:pt idx="31">
                        <c:v>160.8779528651601</c:v>
                      </c:pt>
                      <c:pt idx="32">
                        <c:v>157.01505670471127</c:v>
                      </c:pt>
                      <c:pt idx="33">
                        <c:v>153.15216054419503</c:v>
                      </c:pt>
                      <c:pt idx="34">
                        <c:v>149.28926438370576</c:v>
                      </c:pt>
                      <c:pt idx="35">
                        <c:v>145.42636822321651</c:v>
                      </c:pt>
                      <c:pt idx="36">
                        <c:v>141.56347206271377</c:v>
                      </c:pt>
                      <c:pt idx="37">
                        <c:v>137.70057590223794</c:v>
                      </c:pt>
                      <c:pt idx="38">
                        <c:v>133.8376797417352</c:v>
                      </c:pt>
                      <c:pt idx="39">
                        <c:v>129.97478358124593</c:v>
                      </c:pt>
                      <c:pt idx="40">
                        <c:v>126.11188742074319</c:v>
                      </c:pt>
                      <c:pt idx="41">
                        <c:v>122.24899126025393</c:v>
                      </c:pt>
                      <c:pt idx="42">
                        <c:v>118.38609509977813</c:v>
                      </c:pt>
                      <c:pt idx="43">
                        <c:v>114.5231989392754</c:v>
                      </c:pt>
                      <c:pt idx="44">
                        <c:v>110.66030277877263</c:v>
                      </c:pt>
                      <c:pt idx="45">
                        <c:v>106.79740661829685</c:v>
                      </c:pt>
                      <c:pt idx="46">
                        <c:v>102.9345104577806</c:v>
                      </c:pt>
                      <c:pt idx="47">
                        <c:v>99.071614297304819</c:v>
                      </c:pt>
                      <c:pt idx="48">
                        <c:v>95.208718136815563</c:v>
                      </c:pt>
                      <c:pt idx="49">
                        <c:v>91.34582197631282</c:v>
                      </c:pt>
                      <c:pt idx="50">
                        <c:v>87.482925815823535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0B-40E1-A458-CF55F8F74358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グラフ!$AF$5</c15:sqref>
                        </c15:formulaRef>
                      </c:ext>
                    </c:extLst>
                    <c:strCache>
                      <c:ptCount val="1"/>
                      <c:pt idx="0">
                        <c:v>inner応力:Δ0℃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グラフ!$AF$6:$AF$56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262.74168077277699</c:v>
                      </c:pt>
                      <c:pt idx="1">
                        <c:v>258.87878461227427</c:v>
                      </c:pt>
                      <c:pt idx="2">
                        <c:v>255.01588845179845</c:v>
                      </c:pt>
                      <c:pt idx="3">
                        <c:v>251.15299229128223</c:v>
                      </c:pt>
                      <c:pt idx="4">
                        <c:v>247.29009613079293</c:v>
                      </c:pt>
                      <c:pt idx="5">
                        <c:v>243.42719997030369</c:v>
                      </c:pt>
                      <c:pt idx="6">
                        <c:v>239.56430380980095</c:v>
                      </c:pt>
                      <c:pt idx="7">
                        <c:v>235.70140764932518</c:v>
                      </c:pt>
                      <c:pt idx="8">
                        <c:v>231.83851148882241</c:v>
                      </c:pt>
                      <c:pt idx="9">
                        <c:v>227.97561532834661</c:v>
                      </c:pt>
                      <c:pt idx="10">
                        <c:v>224.11271916784389</c:v>
                      </c:pt>
                      <c:pt idx="11">
                        <c:v>220.24982300734109</c:v>
                      </c:pt>
                      <c:pt idx="12">
                        <c:v>216.38692684686532</c:v>
                      </c:pt>
                      <c:pt idx="13">
                        <c:v>212.52403068636258</c:v>
                      </c:pt>
                      <c:pt idx="14">
                        <c:v>208.66113452587334</c:v>
                      </c:pt>
                      <c:pt idx="15">
                        <c:v>204.79823836539751</c:v>
                      </c:pt>
                      <c:pt idx="16">
                        <c:v>200.93534220488129</c:v>
                      </c:pt>
                      <c:pt idx="17">
                        <c:v>197.072446044392</c:v>
                      </c:pt>
                      <c:pt idx="18">
                        <c:v>193.20954988390275</c:v>
                      </c:pt>
                      <c:pt idx="19">
                        <c:v>189.34665372339998</c:v>
                      </c:pt>
                      <c:pt idx="20">
                        <c:v>185.48375756291074</c:v>
                      </c:pt>
                      <c:pt idx="21">
                        <c:v>181.62086140243494</c:v>
                      </c:pt>
                      <c:pt idx="22">
                        <c:v>177.7579652419322</c:v>
                      </c:pt>
                      <c:pt idx="23">
                        <c:v>173.89506908144293</c:v>
                      </c:pt>
                      <c:pt idx="24">
                        <c:v>170.03217292094018</c:v>
                      </c:pt>
                      <c:pt idx="25">
                        <c:v>166.16927676046438</c:v>
                      </c:pt>
                      <c:pt idx="26">
                        <c:v>162.30638059996164</c:v>
                      </c:pt>
                      <c:pt idx="27">
                        <c:v>158.4434844394589</c:v>
                      </c:pt>
                      <c:pt idx="28">
                        <c:v>154.5805882789831</c:v>
                      </c:pt>
                      <c:pt idx="29">
                        <c:v>150.71769211846686</c:v>
                      </c:pt>
                      <c:pt idx="30">
                        <c:v>146.854795958018</c:v>
                      </c:pt>
                      <c:pt idx="31">
                        <c:v>142.99189979750182</c:v>
                      </c:pt>
                      <c:pt idx="32">
                        <c:v>139.12900363702602</c:v>
                      </c:pt>
                      <c:pt idx="33">
                        <c:v>135.26610747652325</c:v>
                      </c:pt>
                      <c:pt idx="34">
                        <c:v>131.40321131602053</c:v>
                      </c:pt>
                      <c:pt idx="35">
                        <c:v>127.54031515553123</c:v>
                      </c:pt>
                      <c:pt idx="36">
                        <c:v>123.67741899504199</c:v>
                      </c:pt>
                      <c:pt idx="37">
                        <c:v>119.8145228345527</c:v>
                      </c:pt>
                      <c:pt idx="38">
                        <c:v>115.95162667404996</c:v>
                      </c:pt>
                      <c:pt idx="39">
                        <c:v>112.08873051357416</c:v>
                      </c:pt>
                      <c:pt idx="40">
                        <c:v>108.22583435308491</c:v>
                      </c:pt>
                      <c:pt idx="41">
                        <c:v>104.36293819258216</c:v>
                      </c:pt>
                      <c:pt idx="42">
                        <c:v>100.50004203209288</c:v>
                      </c:pt>
                      <c:pt idx="43">
                        <c:v>96.637145871603607</c:v>
                      </c:pt>
                      <c:pt idx="44">
                        <c:v>92.774249711087407</c:v>
                      </c:pt>
                      <c:pt idx="45">
                        <c:v>88.91135355061158</c:v>
                      </c:pt>
                      <c:pt idx="46">
                        <c:v>85.048457390108851</c:v>
                      </c:pt>
                      <c:pt idx="47">
                        <c:v>81.18556122961958</c:v>
                      </c:pt>
                      <c:pt idx="48">
                        <c:v>77.322665069130309</c:v>
                      </c:pt>
                      <c:pt idx="49">
                        <c:v>73.459768908641038</c:v>
                      </c:pt>
                      <c:pt idx="50">
                        <c:v>69.596872748165239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0B-40E1-A458-CF55F8F74358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グラフ!$AG$5</c15:sqref>
                        </c15:formulaRef>
                      </c:ext>
                    </c:extLst>
                    <c:strCache>
                      <c:ptCount val="1"/>
                      <c:pt idx="0">
                        <c:v>inner応力:Δ+10℃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グラフ!$AG$6:$AG$56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244.85562770510521</c:v>
                      </c:pt>
                      <c:pt idx="1">
                        <c:v>240.99273154460249</c:v>
                      </c:pt>
                      <c:pt idx="2">
                        <c:v>237.12983538411322</c:v>
                      </c:pt>
                      <c:pt idx="3">
                        <c:v>233.26693922361045</c:v>
                      </c:pt>
                      <c:pt idx="4">
                        <c:v>229.40404306310771</c:v>
                      </c:pt>
                      <c:pt idx="5">
                        <c:v>225.54114690263191</c:v>
                      </c:pt>
                      <c:pt idx="6">
                        <c:v>221.67825074212919</c:v>
                      </c:pt>
                      <c:pt idx="7">
                        <c:v>217.81535458163989</c:v>
                      </c:pt>
                      <c:pt idx="8">
                        <c:v>213.95245842115065</c:v>
                      </c:pt>
                      <c:pt idx="9">
                        <c:v>210.08956226066138</c:v>
                      </c:pt>
                      <c:pt idx="10">
                        <c:v>206.22666610017208</c:v>
                      </c:pt>
                      <c:pt idx="11">
                        <c:v>202.36376993966934</c:v>
                      </c:pt>
                      <c:pt idx="12">
                        <c:v>198.50087377918007</c:v>
                      </c:pt>
                      <c:pt idx="13">
                        <c:v>194.6379776186908</c:v>
                      </c:pt>
                      <c:pt idx="14">
                        <c:v>190.77508145818808</c:v>
                      </c:pt>
                      <c:pt idx="15">
                        <c:v>186.91218529771228</c:v>
                      </c:pt>
                      <c:pt idx="16">
                        <c:v>183.04928913720951</c:v>
                      </c:pt>
                      <c:pt idx="17">
                        <c:v>179.18639297670677</c:v>
                      </c:pt>
                      <c:pt idx="18">
                        <c:v>175.32349681623097</c:v>
                      </c:pt>
                      <c:pt idx="19">
                        <c:v>171.4606006557417</c:v>
                      </c:pt>
                      <c:pt idx="20">
                        <c:v>167.59770449523899</c:v>
                      </c:pt>
                      <c:pt idx="21">
                        <c:v>163.73480833474969</c:v>
                      </c:pt>
                      <c:pt idx="22">
                        <c:v>159.87191217424694</c:v>
                      </c:pt>
                      <c:pt idx="23">
                        <c:v>156.00901601377117</c:v>
                      </c:pt>
                      <c:pt idx="24">
                        <c:v>152.14611985325493</c:v>
                      </c:pt>
                      <c:pt idx="25">
                        <c:v>148.2832236927791</c:v>
                      </c:pt>
                      <c:pt idx="26">
                        <c:v>144.42032753228986</c:v>
                      </c:pt>
                      <c:pt idx="27">
                        <c:v>140.55743137177365</c:v>
                      </c:pt>
                      <c:pt idx="28">
                        <c:v>136.69453521132482</c:v>
                      </c:pt>
                      <c:pt idx="29">
                        <c:v>132.83163905080855</c:v>
                      </c:pt>
                      <c:pt idx="30">
                        <c:v>128.96874289033281</c:v>
                      </c:pt>
                      <c:pt idx="31">
                        <c:v>125.10584672983003</c:v>
                      </c:pt>
                      <c:pt idx="32">
                        <c:v>121.24295056934076</c:v>
                      </c:pt>
                      <c:pt idx="33">
                        <c:v>117.38005440883801</c:v>
                      </c:pt>
                      <c:pt idx="34">
                        <c:v>113.51715824834875</c:v>
                      </c:pt>
                      <c:pt idx="35">
                        <c:v>109.65426208784601</c:v>
                      </c:pt>
                      <c:pt idx="36">
                        <c:v>105.79136592735675</c:v>
                      </c:pt>
                      <c:pt idx="37">
                        <c:v>101.92846976688094</c:v>
                      </c:pt>
                      <c:pt idx="38">
                        <c:v>98.065573606391666</c:v>
                      </c:pt>
                      <c:pt idx="39">
                        <c:v>94.202677445902395</c:v>
                      </c:pt>
                      <c:pt idx="40">
                        <c:v>90.339781285399653</c:v>
                      </c:pt>
                      <c:pt idx="41">
                        <c:v>86.476885124910382</c:v>
                      </c:pt>
                      <c:pt idx="42">
                        <c:v>82.613988964407639</c:v>
                      </c:pt>
                      <c:pt idx="43">
                        <c:v>78.751092803918368</c:v>
                      </c:pt>
                      <c:pt idx="44">
                        <c:v>74.888196643415611</c:v>
                      </c:pt>
                      <c:pt idx="45">
                        <c:v>71.025300482926355</c:v>
                      </c:pt>
                      <c:pt idx="46">
                        <c:v>67.162404322423598</c:v>
                      </c:pt>
                      <c:pt idx="47">
                        <c:v>63.299508161947813</c:v>
                      </c:pt>
                      <c:pt idx="48">
                        <c:v>59.436612001472007</c:v>
                      </c:pt>
                      <c:pt idx="49">
                        <c:v>55.573715840969264</c:v>
                      </c:pt>
                      <c:pt idx="50">
                        <c:v>51.710819680479993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0B-40E1-A458-CF55F8F74358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グラフ!$AH$5</c15:sqref>
                        </c15:formulaRef>
                      </c:ext>
                    </c:extLst>
                    <c:strCache>
                      <c:ptCount val="1"/>
                      <c:pt idx="0">
                        <c:v>inner応力:Δ+20℃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グラフ!$AH$6:$AH$56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226.96957463741998</c:v>
                      </c:pt>
                      <c:pt idx="1">
                        <c:v>223.10667847693074</c:v>
                      </c:pt>
                      <c:pt idx="2">
                        <c:v>219.24378231642797</c:v>
                      </c:pt>
                      <c:pt idx="3">
                        <c:v>215.3808861559387</c:v>
                      </c:pt>
                      <c:pt idx="4">
                        <c:v>211.51798999543593</c:v>
                      </c:pt>
                      <c:pt idx="5">
                        <c:v>207.65509383494668</c:v>
                      </c:pt>
                      <c:pt idx="6">
                        <c:v>203.79219767445741</c:v>
                      </c:pt>
                      <c:pt idx="7">
                        <c:v>199.92930151395467</c:v>
                      </c:pt>
                      <c:pt idx="8">
                        <c:v>196.06640535347887</c:v>
                      </c:pt>
                      <c:pt idx="9">
                        <c:v>192.2035091929896</c:v>
                      </c:pt>
                      <c:pt idx="10">
                        <c:v>188.34061303248683</c:v>
                      </c:pt>
                      <c:pt idx="11">
                        <c:v>184.47771687199759</c:v>
                      </c:pt>
                      <c:pt idx="12">
                        <c:v>180.61482071149484</c:v>
                      </c:pt>
                      <c:pt idx="13">
                        <c:v>176.75192455100557</c:v>
                      </c:pt>
                      <c:pt idx="14">
                        <c:v>172.8890283905163</c:v>
                      </c:pt>
                      <c:pt idx="15">
                        <c:v>169.026132230027</c:v>
                      </c:pt>
                      <c:pt idx="16">
                        <c:v>165.16323606953776</c:v>
                      </c:pt>
                      <c:pt idx="17">
                        <c:v>161.30033990904849</c:v>
                      </c:pt>
                      <c:pt idx="18">
                        <c:v>157.43744374855919</c:v>
                      </c:pt>
                      <c:pt idx="19">
                        <c:v>153.5745475880565</c:v>
                      </c:pt>
                      <c:pt idx="20">
                        <c:v>149.7116514275537</c:v>
                      </c:pt>
                      <c:pt idx="21">
                        <c:v>145.84875526707793</c:v>
                      </c:pt>
                      <c:pt idx="22">
                        <c:v>141.98585910656169</c:v>
                      </c:pt>
                      <c:pt idx="23">
                        <c:v>138.12296294608592</c:v>
                      </c:pt>
                      <c:pt idx="24">
                        <c:v>134.26006678558315</c:v>
                      </c:pt>
                      <c:pt idx="25">
                        <c:v>130.39717062509388</c:v>
                      </c:pt>
                      <c:pt idx="26">
                        <c:v>126.53427446463157</c:v>
                      </c:pt>
                      <c:pt idx="27">
                        <c:v>122.67137830411536</c:v>
                      </c:pt>
                      <c:pt idx="28">
                        <c:v>118.80848214363955</c:v>
                      </c:pt>
                      <c:pt idx="29">
                        <c:v>114.94558598313681</c:v>
                      </c:pt>
                      <c:pt idx="30">
                        <c:v>111.08268982264754</c:v>
                      </c:pt>
                      <c:pt idx="31">
                        <c:v>107.2197936621448</c:v>
                      </c:pt>
                      <c:pt idx="32">
                        <c:v>103.356897501669</c:v>
                      </c:pt>
                      <c:pt idx="33">
                        <c:v>99.494001341152767</c:v>
                      </c:pt>
                      <c:pt idx="34">
                        <c:v>95.631105180663511</c:v>
                      </c:pt>
                      <c:pt idx="35">
                        <c:v>91.768209020174226</c:v>
                      </c:pt>
                      <c:pt idx="36">
                        <c:v>87.905312859698427</c:v>
                      </c:pt>
                      <c:pt idx="37">
                        <c:v>84.04241669920917</c:v>
                      </c:pt>
                      <c:pt idx="38">
                        <c:v>80.179520538706413</c:v>
                      </c:pt>
                      <c:pt idx="39">
                        <c:v>76.316624378230628</c:v>
                      </c:pt>
                      <c:pt idx="40">
                        <c:v>72.453728217714399</c:v>
                      </c:pt>
                      <c:pt idx="41">
                        <c:v>68.590832057225128</c:v>
                      </c:pt>
                      <c:pt idx="42">
                        <c:v>64.727935896735858</c:v>
                      </c:pt>
                      <c:pt idx="43">
                        <c:v>60.865039736233115</c:v>
                      </c:pt>
                      <c:pt idx="44">
                        <c:v>57.002143575730365</c:v>
                      </c:pt>
                      <c:pt idx="45">
                        <c:v>53.139247415254573</c:v>
                      </c:pt>
                      <c:pt idx="46">
                        <c:v>49.276351254765309</c:v>
                      </c:pt>
                      <c:pt idx="47">
                        <c:v>45.413455094276038</c:v>
                      </c:pt>
                      <c:pt idx="48">
                        <c:v>41.550558933786768</c:v>
                      </c:pt>
                      <c:pt idx="49">
                        <c:v>37.687662773297497</c:v>
                      </c:pt>
                      <c:pt idx="50">
                        <c:v>33.824766612794747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0B-40E1-A458-CF55F8F74358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グラフ!$AI$5</c15:sqref>
                        </c15:formulaRef>
                      </c:ext>
                    </c:extLst>
                    <c:strCache>
                      <c:ptCount val="1"/>
                      <c:pt idx="0">
                        <c:v>inner応力:Δ+30℃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グラフ!$AI$6:$AI$56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209.0835215697347</c:v>
                      </c:pt>
                      <c:pt idx="1">
                        <c:v>205.22062540925893</c:v>
                      </c:pt>
                      <c:pt idx="2">
                        <c:v>201.35772924875619</c:v>
                      </c:pt>
                      <c:pt idx="3">
                        <c:v>197.49483308825344</c:v>
                      </c:pt>
                      <c:pt idx="4">
                        <c:v>193.63193692776417</c:v>
                      </c:pt>
                      <c:pt idx="5">
                        <c:v>189.76904076726143</c:v>
                      </c:pt>
                      <c:pt idx="6">
                        <c:v>185.90614460678566</c:v>
                      </c:pt>
                      <c:pt idx="7">
                        <c:v>182.04324844628289</c:v>
                      </c:pt>
                      <c:pt idx="8">
                        <c:v>178.18035228579362</c:v>
                      </c:pt>
                      <c:pt idx="9">
                        <c:v>174.31745612531782</c:v>
                      </c:pt>
                      <c:pt idx="10">
                        <c:v>170.4545599648016</c:v>
                      </c:pt>
                      <c:pt idx="11">
                        <c:v>166.59166380431233</c:v>
                      </c:pt>
                      <c:pt idx="12">
                        <c:v>162.72876764382306</c:v>
                      </c:pt>
                      <c:pt idx="13">
                        <c:v>158.86587148332032</c:v>
                      </c:pt>
                      <c:pt idx="14">
                        <c:v>155.00297532284452</c:v>
                      </c:pt>
                      <c:pt idx="15">
                        <c:v>151.14007916236875</c:v>
                      </c:pt>
                      <c:pt idx="16">
                        <c:v>147.27718300186598</c:v>
                      </c:pt>
                      <c:pt idx="17">
                        <c:v>143.41428684136324</c:v>
                      </c:pt>
                      <c:pt idx="18">
                        <c:v>139.55139068087396</c:v>
                      </c:pt>
                      <c:pt idx="19">
                        <c:v>135.68849452038469</c:v>
                      </c:pt>
                      <c:pt idx="20">
                        <c:v>131.82559835986848</c:v>
                      </c:pt>
                      <c:pt idx="21">
                        <c:v>127.96270219939267</c:v>
                      </c:pt>
                      <c:pt idx="22">
                        <c:v>124.09980603888992</c:v>
                      </c:pt>
                      <c:pt idx="23">
                        <c:v>120.23690987840067</c:v>
                      </c:pt>
                      <c:pt idx="24">
                        <c:v>116.37401371792487</c:v>
                      </c:pt>
                      <c:pt idx="25">
                        <c:v>112.5111175574356</c:v>
                      </c:pt>
                      <c:pt idx="26">
                        <c:v>108.64822139694633</c:v>
                      </c:pt>
                      <c:pt idx="27">
                        <c:v>104.78532523644357</c:v>
                      </c:pt>
                      <c:pt idx="28">
                        <c:v>100.9224290759543</c:v>
                      </c:pt>
                      <c:pt idx="29">
                        <c:v>97.059532915451541</c:v>
                      </c:pt>
                      <c:pt idx="30">
                        <c:v>93.196636754975771</c:v>
                      </c:pt>
                      <c:pt idx="31">
                        <c:v>89.333740594459542</c:v>
                      </c:pt>
                      <c:pt idx="32">
                        <c:v>85.470844433983729</c:v>
                      </c:pt>
                      <c:pt idx="33">
                        <c:v>81.607948273481</c:v>
                      </c:pt>
                      <c:pt idx="34">
                        <c:v>77.745052113005201</c:v>
                      </c:pt>
                      <c:pt idx="35">
                        <c:v>73.882155952502458</c:v>
                      </c:pt>
                      <c:pt idx="36">
                        <c:v>70.019259792013173</c:v>
                      </c:pt>
                      <c:pt idx="37">
                        <c:v>66.156363631537403</c:v>
                      </c:pt>
                      <c:pt idx="38">
                        <c:v>62.293467471021167</c:v>
                      </c:pt>
                      <c:pt idx="39">
                        <c:v>58.430571310545368</c:v>
                      </c:pt>
                      <c:pt idx="40">
                        <c:v>54.567675150042632</c:v>
                      </c:pt>
                      <c:pt idx="41">
                        <c:v>50.704778989539889</c:v>
                      </c:pt>
                      <c:pt idx="42">
                        <c:v>46.841882829050618</c:v>
                      </c:pt>
                      <c:pt idx="43">
                        <c:v>42.97898666856134</c:v>
                      </c:pt>
                      <c:pt idx="44">
                        <c:v>39.116090508072077</c:v>
                      </c:pt>
                      <c:pt idx="45">
                        <c:v>35.253194347582806</c:v>
                      </c:pt>
                      <c:pt idx="46">
                        <c:v>31.390298187080059</c:v>
                      </c:pt>
                      <c:pt idx="47">
                        <c:v>27.527402026604268</c:v>
                      </c:pt>
                      <c:pt idx="48">
                        <c:v>23.664505866101514</c:v>
                      </c:pt>
                      <c:pt idx="49">
                        <c:v>19.801609705612247</c:v>
                      </c:pt>
                      <c:pt idx="50">
                        <c:v>15.93871354512298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0B-40E1-A458-CF55F8F74358}"/>
                  </c:ext>
                </c:extLst>
              </c15:ser>
            </c15:filteredScatterSeries>
            <c15:filteredScatter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グラフ!$AK$5</c15:sqref>
                        </c15:formulaRef>
                      </c:ext>
                    </c:extLst>
                    <c:strCache>
                      <c:ptCount val="1"/>
                      <c:pt idx="0">
                        <c:v>outer応力:Δ-30℃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グラフ!$AK$6:$AK$56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171.1208105284725</c:v>
                      </c:pt>
                      <c:pt idx="1">
                        <c:v>169.03161249972788</c:v>
                      </c:pt>
                      <c:pt idx="2">
                        <c:v>166.94241447099057</c:v>
                      </c:pt>
                      <c:pt idx="3">
                        <c:v>164.85321644225331</c:v>
                      </c:pt>
                      <c:pt idx="4">
                        <c:v>162.76401841350875</c:v>
                      </c:pt>
                      <c:pt idx="5">
                        <c:v>160.67482038477144</c:v>
                      </c:pt>
                      <c:pt idx="6">
                        <c:v>158.58562235603415</c:v>
                      </c:pt>
                      <c:pt idx="7">
                        <c:v>156.49642432728959</c:v>
                      </c:pt>
                      <c:pt idx="8">
                        <c:v>154.40722629855961</c:v>
                      </c:pt>
                      <c:pt idx="9">
                        <c:v>152.31802826982229</c:v>
                      </c:pt>
                      <c:pt idx="10">
                        <c:v>150.22883024107767</c:v>
                      </c:pt>
                      <c:pt idx="11">
                        <c:v>148.13963221234039</c:v>
                      </c:pt>
                      <c:pt idx="12">
                        <c:v>146.05043418359583</c:v>
                      </c:pt>
                      <c:pt idx="13">
                        <c:v>143.96123615486582</c:v>
                      </c:pt>
                      <c:pt idx="14">
                        <c:v>141.87203812612123</c:v>
                      </c:pt>
                      <c:pt idx="15">
                        <c:v>139.78284009739124</c:v>
                      </c:pt>
                      <c:pt idx="16">
                        <c:v>137.69364206864662</c:v>
                      </c:pt>
                      <c:pt idx="17">
                        <c:v>135.60444403990206</c:v>
                      </c:pt>
                      <c:pt idx="18">
                        <c:v>133.51524601117205</c:v>
                      </c:pt>
                      <c:pt idx="19">
                        <c:v>131.42604798242749</c:v>
                      </c:pt>
                      <c:pt idx="20">
                        <c:v>129.33684995368293</c:v>
                      </c:pt>
                      <c:pt idx="21">
                        <c:v>127.2476519249529</c:v>
                      </c:pt>
                      <c:pt idx="22">
                        <c:v>125.15845389620104</c:v>
                      </c:pt>
                      <c:pt idx="23">
                        <c:v>123.06925586747101</c:v>
                      </c:pt>
                      <c:pt idx="24">
                        <c:v>120.98005783872644</c:v>
                      </c:pt>
                      <c:pt idx="25">
                        <c:v>118.89085980998915</c:v>
                      </c:pt>
                      <c:pt idx="26">
                        <c:v>116.80166178125914</c:v>
                      </c:pt>
                      <c:pt idx="27">
                        <c:v>114.71246375251458</c:v>
                      </c:pt>
                      <c:pt idx="28">
                        <c:v>112.62326572378457</c:v>
                      </c:pt>
                      <c:pt idx="29">
                        <c:v>110.53406769503268</c:v>
                      </c:pt>
                      <c:pt idx="30">
                        <c:v>108.44486966630268</c:v>
                      </c:pt>
                      <c:pt idx="31">
                        <c:v>106.3556716375581</c:v>
                      </c:pt>
                      <c:pt idx="32">
                        <c:v>104.2664736088208</c:v>
                      </c:pt>
                      <c:pt idx="33">
                        <c:v>102.17727558007624</c:v>
                      </c:pt>
                      <c:pt idx="34">
                        <c:v>100.08807755133894</c:v>
                      </c:pt>
                      <c:pt idx="35">
                        <c:v>97.998879522594351</c:v>
                      </c:pt>
                      <c:pt idx="36">
                        <c:v>95.909681493871631</c:v>
                      </c:pt>
                      <c:pt idx="37">
                        <c:v>93.820483465134345</c:v>
                      </c:pt>
                      <c:pt idx="38">
                        <c:v>91.731285436389769</c:v>
                      </c:pt>
                      <c:pt idx="39">
                        <c:v>89.642087407659773</c:v>
                      </c:pt>
                      <c:pt idx="40">
                        <c:v>87.552889378907892</c:v>
                      </c:pt>
                      <c:pt idx="41">
                        <c:v>85.46369135017062</c:v>
                      </c:pt>
                      <c:pt idx="42">
                        <c:v>83.37449332143332</c:v>
                      </c:pt>
                      <c:pt idx="43">
                        <c:v>81.28529529268873</c:v>
                      </c:pt>
                      <c:pt idx="44">
                        <c:v>79.196097263944139</c:v>
                      </c:pt>
                      <c:pt idx="45">
                        <c:v>77.106899235214144</c:v>
                      </c:pt>
                      <c:pt idx="46">
                        <c:v>75.017701206476843</c:v>
                      </c:pt>
                      <c:pt idx="47">
                        <c:v>72.928503177739557</c:v>
                      </c:pt>
                      <c:pt idx="48">
                        <c:v>70.839305149002257</c:v>
                      </c:pt>
                      <c:pt idx="49">
                        <c:v>68.750107120264985</c:v>
                      </c:pt>
                      <c:pt idx="50">
                        <c:v>66.660909091520395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F10B-40E1-A458-CF55F8F74358}"/>
                  </c:ext>
                </c:extLst>
              </c15:ser>
            </c15:filteredScatterSeries>
            <c15:filteredScatterSeries>
              <c15:ser>
                <c:idx val="23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グラフ!$AL$5</c15:sqref>
                        </c15:formulaRef>
                      </c:ext>
                    </c:extLst>
                    <c:strCache>
                      <c:ptCount val="1"/>
                      <c:pt idx="0">
                        <c:v>outer応力:Δ-20℃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グラフ!$AL$6:$AL$56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161.4473672728387</c:v>
                      </c:pt>
                      <c:pt idx="1">
                        <c:v>159.35816924410867</c:v>
                      </c:pt>
                      <c:pt idx="2">
                        <c:v>157.2689712153641</c:v>
                      </c:pt>
                      <c:pt idx="3">
                        <c:v>155.17977318661951</c:v>
                      </c:pt>
                      <c:pt idx="4">
                        <c:v>153.09057515788223</c:v>
                      </c:pt>
                      <c:pt idx="5">
                        <c:v>151.00137712913764</c:v>
                      </c:pt>
                      <c:pt idx="6">
                        <c:v>148.91217910040763</c:v>
                      </c:pt>
                      <c:pt idx="7">
                        <c:v>146.82298107166304</c:v>
                      </c:pt>
                      <c:pt idx="8">
                        <c:v>144.73378304292575</c:v>
                      </c:pt>
                      <c:pt idx="9">
                        <c:v>142.64458501419577</c:v>
                      </c:pt>
                      <c:pt idx="10">
                        <c:v>140.5553869854439</c:v>
                      </c:pt>
                      <c:pt idx="11">
                        <c:v>138.46618895671389</c:v>
                      </c:pt>
                      <c:pt idx="12">
                        <c:v>136.37699092796933</c:v>
                      </c:pt>
                      <c:pt idx="13">
                        <c:v>134.28779289923202</c:v>
                      </c:pt>
                      <c:pt idx="14">
                        <c:v>132.1985948704947</c:v>
                      </c:pt>
                      <c:pt idx="15">
                        <c:v>130.10939684175744</c:v>
                      </c:pt>
                      <c:pt idx="16">
                        <c:v>128.02019881302016</c:v>
                      </c:pt>
                      <c:pt idx="17">
                        <c:v>125.93100078427557</c:v>
                      </c:pt>
                      <c:pt idx="18">
                        <c:v>123.84180275553828</c:v>
                      </c:pt>
                      <c:pt idx="19">
                        <c:v>121.75260472680098</c:v>
                      </c:pt>
                      <c:pt idx="20">
                        <c:v>119.66340669804909</c:v>
                      </c:pt>
                      <c:pt idx="21">
                        <c:v>117.57420866931909</c:v>
                      </c:pt>
                      <c:pt idx="22">
                        <c:v>115.48501064057452</c:v>
                      </c:pt>
                      <c:pt idx="23">
                        <c:v>113.39581261183721</c:v>
                      </c:pt>
                      <c:pt idx="24">
                        <c:v>111.30661458309994</c:v>
                      </c:pt>
                      <c:pt idx="25">
                        <c:v>109.21741655436993</c:v>
                      </c:pt>
                      <c:pt idx="26">
                        <c:v>107.12821852563263</c:v>
                      </c:pt>
                      <c:pt idx="27">
                        <c:v>105.03902049688075</c:v>
                      </c:pt>
                      <c:pt idx="28">
                        <c:v>102.94982246815076</c:v>
                      </c:pt>
                      <c:pt idx="29">
                        <c:v>100.86062443940618</c:v>
                      </c:pt>
                      <c:pt idx="30">
                        <c:v>98.771426410668894</c:v>
                      </c:pt>
                      <c:pt idx="31">
                        <c:v>96.682228381924318</c:v>
                      </c:pt>
                      <c:pt idx="32">
                        <c:v>94.593030353194308</c:v>
                      </c:pt>
                      <c:pt idx="33">
                        <c:v>92.503832324442413</c:v>
                      </c:pt>
                      <c:pt idx="34">
                        <c:v>90.414634295719722</c:v>
                      </c:pt>
                      <c:pt idx="35">
                        <c:v>88.325436266975132</c:v>
                      </c:pt>
                      <c:pt idx="36">
                        <c:v>86.23623823823786</c:v>
                      </c:pt>
                      <c:pt idx="37">
                        <c:v>84.14704020950785</c:v>
                      </c:pt>
                      <c:pt idx="38">
                        <c:v>82.057842180755969</c:v>
                      </c:pt>
                      <c:pt idx="39">
                        <c:v>79.968644152025959</c:v>
                      </c:pt>
                      <c:pt idx="40">
                        <c:v>77.879446123281397</c:v>
                      </c:pt>
                      <c:pt idx="41">
                        <c:v>75.790248094536793</c:v>
                      </c:pt>
                      <c:pt idx="42">
                        <c:v>73.701050065799521</c:v>
                      </c:pt>
                      <c:pt idx="43">
                        <c:v>71.611852037062221</c:v>
                      </c:pt>
                      <c:pt idx="44">
                        <c:v>69.522654008324935</c:v>
                      </c:pt>
                      <c:pt idx="45">
                        <c:v>67.433455979587634</c:v>
                      </c:pt>
                      <c:pt idx="46">
                        <c:v>65.344257950843073</c:v>
                      </c:pt>
                      <c:pt idx="47">
                        <c:v>63.255059922113062</c:v>
                      </c:pt>
                      <c:pt idx="48">
                        <c:v>61.165861893368465</c:v>
                      </c:pt>
                      <c:pt idx="49">
                        <c:v>59.076663864631172</c:v>
                      </c:pt>
                      <c:pt idx="50">
                        <c:v>56.987465835893886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10B-40E1-A458-CF55F8F74358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グラフ!$AM$5</c15:sqref>
                        </c15:formulaRef>
                      </c:ext>
                    </c:extLst>
                    <c:strCache>
                      <c:ptCount val="1"/>
                      <c:pt idx="0">
                        <c:v>outer応力:Δ-10℃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グラフ!$AM$6:$AM$56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151.77392401721215</c:v>
                      </c:pt>
                      <c:pt idx="1">
                        <c:v>149.6847259884749</c:v>
                      </c:pt>
                      <c:pt idx="2">
                        <c:v>147.59552795973761</c:v>
                      </c:pt>
                      <c:pt idx="3">
                        <c:v>145.50632993098571</c:v>
                      </c:pt>
                      <c:pt idx="4">
                        <c:v>143.4171319022557</c:v>
                      </c:pt>
                      <c:pt idx="5">
                        <c:v>141.32793387351117</c:v>
                      </c:pt>
                      <c:pt idx="6">
                        <c:v>139.23873584477386</c:v>
                      </c:pt>
                      <c:pt idx="7">
                        <c:v>137.14953781603654</c:v>
                      </c:pt>
                      <c:pt idx="8">
                        <c:v>135.06033978729195</c:v>
                      </c:pt>
                      <c:pt idx="9">
                        <c:v>132.97114175856925</c:v>
                      </c:pt>
                      <c:pt idx="10">
                        <c:v>130.88194372981741</c:v>
                      </c:pt>
                      <c:pt idx="11">
                        <c:v>128.79274570108009</c:v>
                      </c:pt>
                      <c:pt idx="12">
                        <c:v>126.70354767234281</c:v>
                      </c:pt>
                      <c:pt idx="13">
                        <c:v>124.61434964359823</c:v>
                      </c:pt>
                      <c:pt idx="14">
                        <c:v>122.52515161486821</c:v>
                      </c:pt>
                      <c:pt idx="15">
                        <c:v>120.43595358613092</c:v>
                      </c:pt>
                      <c:pt idx="16">
                        <c:v>118.34675555738635</c:v>
                      </c:pt>
                      <c:pt idx="17">
                        <c:v>116.25755752864906</c:v>
                      </c:pt>
                      <c:pt idx="18">
                        <c:v>114.16835949990447</c:v>
                      </c:pt>
                      <c:pt idx="19">
                        <c:v>112.07916147116717</c:v>
                      </c:pt>
                      <c:pt idx="20">
                        <c:v>109.98996344242258</c:v>
                      </c:pt>
                      <c:pt idx="21">
                        <c:v>107.90076541368531</c:v>
                      </c:pt>
                      <c:pt idx="22">
                        <c:v>105.81156738494801</c:v>
                      </c:pt>
                      <c:pt idx="23">
                        <c:v>103.722369356218</c:v>
                      </c:pt>
                      <c:pt idx="24">
                        <c:v>101.63317132747343</c:v>
                      </c:pt>
                      <c:pt idx="25">
                        <c:v>99.543973298736134</c:v>
                      </c:pt>
                      <c:pt idx="26">
                        <c:v>97.454775269998834</c:v>
                      </c:pt>
                      <c:pt idx="27">
                        <c:v>95.365577241254258</c:v>
                      </c:pt>
                      <c:pt idx="28">
                        <c:v>93.276379212516972</c:v>
                      </c:pt>
                      <c:pt idx="29">
                        <c:v>91.187181183772395</c:v>
                      </c:pt>
                      <c:pt idx="30">
                        <c:v>89.097983155042385</c:v>
                      </c:pt>
                      <c:pt idx="31">
                        <c:v>87.008785126290519</c:v>
                      </c:pt>
                      <c:pt idx="32">
                        <c:v>84.919587097575089</c:v>
                      </c:pt>
                      <c:pt idx="33">
                        <c:v>82.830389068823209</c:v>
                      </c:pt>
                      <c:pt idx="34">
                        <c:v>80.741191040085909</c:v>
                      </c:pt>
                      <c:pt idx="35">
                        <c:v>78.651993011348637</c:v>
                      </c:pt>
                      <c:pt idx="36">
                        <c:v>76.562794982604061</c:v>
                      </c:pt>
                      <c:pt idx="37">
                        <c:v>74.473596953874051</c:v>
                      </c:pt>
                      <c:pt idx="38">
                        <c:v>72.38439892512946</c:v>
                      </c:pt>
                      <c:pt idx="39">
                        <c:v>70.295200896392174</c:v>
                      </c:pt>
                      <c:pt idx="40">
                        <c:v>68.206002867647584</c:v>
                      </c:pt>
                      <c:pt idx="41">
                        <c:v>66.116804838910312</c:v>
                      </c:pt>
                      <c:pt idx="42">
                        <c:v>64.027606810180302</c:v>
                      </c:pt>
                      <c:pt idx="43">
                        <c:v>61.938408781435719</c:v>
                      </c:pt>
                      <c:pt idx="44">
                        <c:v>59.849210752691128</c:v>
                      </c:pt>
                      <c:pt idx="45">
                        <c:v>57.760012723961125</c:v>
                      </c:pt>
                      <c:pt idx="46">
                        <c:v>55.670814695209252</c:v>
                      </c:pt>
                      <c:pt idx="47">
                        <c:v>53.581616666479249</c:v>
                      </c:pt>
                      <c:pt idx="48">
                        <c:v>51.492418637741956</c:v>
                      </c:pt>
                      <c:pt idx="49">
                        <c:v>49.403220608997387</c:v>
                      </c:pt>
                      <c:pt idx="50">
                        <c:v>47.314022580260087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10B-40E1-A458-CF55F8F74358}"/>
                  </c:ext>
                </c:extLst>
              </c15:ser>
            </c15:filteredScatterSeries>
            <c15:filteredScatterSeries>
              <c15:ser>
                <c:idx val="25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グラフ!$AN$5</c15:sqref>
                        </c15:formulaRef>
                      </c:ext>
                    </c:extLst>
                    <c:strCache>
                      <c:ptCount val="1"/>
                      <c:pt idx="0">
                        <c:v>outer応力:Δ0℃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グラフ!$AN$6:$AN$56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142.10048076158566</c:v>
                      </c:pt>
                      <c:pt idx="1">
                        <c:v>140.0112827328411</c:v>
                      </c:pt>
                      <c:pt idx="2">
                        <c:v>137.92208470411109</c:v>
                      </c:pt>
                      <c:pt idx="3">
                        <c:v>135.83288667535922</c:v>
                      </c:pt>
                      <c:pt idx="4">
                        <c:v>133.74368864662191</c:v>
                      </c:pt>
                      <c:pt idx="5">
                        <c:v>131.65449061788462</c:v>
                      </c:pt>
                      <c:pt idx="6">
                        <c:v>129.56529258914003</c:v>
                      </c:pt>
                      <c:pt idx="7">
                        <c:v>127.47609456041005</c:v>
                      </c:pt>
                      <c:pt idx="8">
                        <c:v>125.38689653166547</c:v>
                      </c:pt>
                      <c:pt idx="9">
                        <c:v>123.29769850293548</c:v>
                      </c:pt>
                      <c:pt idx="10">
                        <c:v>121.20850047419088</c:v>
                      </c:pt>
                      <c:pt idx="11">
                        <c:v>119.11930244544628</c:v>
                      </c:pt>
                      <c:pt idx="12">
                        <c:v>117.03010441671628</c:v>
                      </c:pt>
                      <c:pt idx="13">
                        <c:v>114.94090638797171</c:v>
                      </c:pt>
                      <c:pt idx="14">
                        <c:v>112.85170835923442</c:v>
                      </c:pt>
                      <c:pt idx="15">
                        <c:v>110.76251033050441</c:v>
                      </c:pt>
                      <c:pt idx="16">
                        <c:v>108.67331230175255</c:v>
                      </c:pt>
                      <c:pt idx="17">
                        <c:v>106.58411427301523</c:v>
                      </c:pt>
                      <c:pt idx="18">
                        <c:v>104.49491624427796</c:v>
                      </c:pt>
                      <c:pt idx="19">
                        <c:v>102.40571821553337</c:v>
                      </c:pt>
                      <c:pt idx="20">
                        <c:v>100.3165201867961</c:v>
                      </c:pt>
                      <c:pt idx="21">
                        <c:v>98.227322158066087</c:v>
                      </c:pt>
                      <c:pt idx="22">
                        <c:v>96.138124129321511</c:v>
                      </c:pt>
                      <c:pt idx="23">
                        <c:v>94.048926100584211</c:v>
                      </c:pt>
                      <c:pt idx="24">
                        <c:v>91.959728071839621</c:v>
                      </c:pt>
                      <c:pt idx="25">
                        <c:v>89.870530043109625</c:v>
                      </c:pt>
                      <c:pt idx="26">
                        <c:v>87.781332014365034</c:v>
                      </c:pt>
                      <c:pt idx="27">
                        <c:v>85.692133985620458</c:v>
                      </c:pt>
                      <c:pt idx="28">
                        <c:v>83.602935956890448</c:v>
                      </c:pt>
                      <c:pt idx="29">
                        <c:v>81.513737928138582</c:v>
                      </c:pt>
                      <c:pt idx="30">
                        <c:v>79.424539899423152</c:v>
                      </c:pt>
                      <c:pt idx="31">
                        <c:v>77.3353418706713</c:v>
                      </c:pt>
                      <c:pt idx="32">
                        <c:v>75.24614384194129</c:v>
                      </c:pt>
                      <c:pt idx="33">
                        <c:v>73.1569458131967</c:v>
                      </c:pt>
                      <c:pt idx="34">
                        <c:v>71.067747784452123</c:v>
                      </c:pt>
                      <c:pt idx="35">
                        <c:v>68.978549755714837</c:v>
                      </c:pt>
                      <c:pt idx="36">
                        <c:v>66.889351726977537</c:v>
                      </c:pt>
                      <c:pt idx="37">
                        <c:v>64.800153698240237</c:v>
                      </c:pt>
                      <c:pt idx="38">
                        <c:v>62.710955669495661</c:v>
                      </c:pt>
                      <c:pt idx="39">
                        <c:v>60.621757640765658</c:v>
                      </c:pt>
                      <c:pt idx="40">
                        <c:v>58.532559612028372</c:v>
                      </c:pt>
                      <c:pt idx="41">
                        <c:v>56.443361583283789</c:v>
                      </c:pt>
                      <c:pt idx="42">
                        <c:v>54.354163554546489</c:v>
                      </c:pt>
                      <c:pt idx="43">
                        <c:v>52.264965525809203</c:v>
                      </c:pt>
                      <c:pt idx="44">
                        <c:v>50.175767497057336</c:v>
                      </c:pt>
                      <c:pt idx="45">
                        <c:v>48.086569468327326</c:v>
                      </c:pt>
                      <c:pt idx="46">
                        <c:v>45.99737143958275</c:v>
                      </c:pt>
                      <c:pt idx="47">
                        <c:v>43.90817341084545</c:v>
                      </c:pt>
                      <c:pt idx="48">
                        <c:v>41.818975382108164</c:v>
                      </c:pt>
                      <c:pt idx="49">
                        <c:v>39.729777353370871</c:v>
                      </c:pt>
                      <c:pt idx="50">
                        <c:v>37.640579324640868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10B-40E1-A458-CF55F8F74358}"/>
                  </c:ext>
                </c:extLst>
              </c15:ser>
            </c15:filteredScatterSeries>
            <c15:filteredScatterSeries>
              <c15:ser>
                <c:idx val="26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グラフ!$AO$5</c15:sqref>
                        </c15:formulaRef>
                      </c:ext>
                    </c:extLst>
                    <c:strCache>
                      <c:ptCount val="1"/>
                      <c:pt idx="0">
                        <c:v>outer応力:Δ+10℃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グラフ!$AO$6:$AO$56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132.42703750595916</c:v>
                      </c:pt>
                      <c:pt idx="1">
                        <c:v>130.33783947721457</c:v>
                      </c:pt>
                      <c:pt idx="2">
                        <c:v>128.24864144847729</c:v>
                      </c:pt>
                      <c:pt idx="3">
                        <c:v>126.15944341973271</c:v>
                      </c:pt>
                      <c:pt idx="4">
                        <c:v>124.07024539098812</c:v>
                      </c:pt>
                      <c:pt idx="5">
                        <c:v>121.98104736225811</c:v>
                      </c:pt>
                      <c:pt idx="6">
                        <c:v>119.89184933351353</c:v>
                      </c:pt>
                      <c:pt idx="7">
                        <c:v>117.80265130477623</c:v>
                      </c:pt>
                      <c:pt idx="8">
                        <c:v>115.71345327603896</c:v>
                      </c:pt>
                      <c:pt idx="9">
                        <c:v>113.62425524730166</c:v>
                      </c:pt>
                      <c:pt idx="10">
                        <c:v>111.53505721856435</c:v>
                      </c:pt>
                      <c:pt idx="11">
                        <c:v>109.44585918981979</c:v>
                      </c:pt>
                      <c:pt idx="12">
                        <c:v>107.3566611610825</c:v>
                      </c:pt>
                      <c:pt idx="13">
                        <c:v>105.2674631323452</c:v>
                      </c:pt>
                      <c:pt idx="14">
                        <c:v>103.17826510360064</c:v>
                      </c:pt>
                      <c:pt idx="15">
                        <c:v>101.08906707487063</c:v>
                      </c:pt>
                      <c:pt idx="16">
                        <c:v>98.999869046126022</c:v>
                      </c:pt>
                      <c:pt idx="17">
                        <c:v>96.910671017381446</c:v>
                      </c:pt>
                      <c:pt idx="18">
                        <c:v>94.821472988651436</c:v>
                      </c:pt>
                      <c:pt idx="19">
                        <c:v>92.73227495991415</c:v>
                      </c:pt>
                      <c:pt idx="20">
                        <c:v>90.643076931169574</c:v>
                      </c:pt>
                      <c:pt idx="21">
                        <c:v>88.553878902432288</c:v>
                      </c:pt>
                      <c:pt idx="22">
                        <c:v>86.464680873687698</c:v>
                      </c:pt>
                      <c:pt idx="23">
                        <c:v>84.375482844957688</c:v>
                      </c:pt>
                      <c:pt idx="24">
                        <c:v>82.286284816205836</c:v>
                      </c:pt>
                      <c:pt idx="25">
                        <c:v>80.197086787475826</c:v>
                      </c:pt>
                      <c:pt idx="26">
                        <c:v>78.10788875873854</c:v>
                      </c:pt>
                      <c:pt idx="27">
                        <c:v>76.018690729986659</c:v>
                      </c:pt>
                      <c:pt idx="28">
                        <c:v>73.929492701271244</c:v>
                      </c:pt>
                      <c:pt idx="29">
                        <c:v>71.840294672519363</c:v>
                      </c:pt>
                      <c:pt idx="30">
                        <c:v>69.751096643789367</c:v>
                      </c:pt>
                      <c:pt idx="31">
                        <c:v>67.661898615044763</c:v>
                      </c:pt>
                      <c:pt idx="32">
                        <c:v>65.572700586307491</c:v>
                      </c:pt>
                      <c:pt idx="33">
                        <c:v>63.4835025575629</c:v>
                      </c:pt>
                      <c:pt idx="34">
                        <c:v>61.394304528825614</c:v>
                      </c:pt>
                      <c:pt idx="35">
                        <c:v>59.305106500081038</c:v>
                      </c:pt>
                      <c:pt idx="36">
                        <c:v>57.215908471343752</c:v>
                      </c:pt>
                      <c:pt idx="37">
                        <c:v>55.126710442613742</c:v>
                      </c:pt>
                      <c:pt idx="38">
                        <c:v>53.037512413876442</c:v>
                      </c:pt>
                      <c:pt idx="39">
                        <c:v>50.948314385139156</c:v>
                      </c:pt>
                      <c:pt idx="40">
                        <c:v>48.859116356394573</c:v>
                      </c:pt>
                      <c:pt idx="41">
                        <c:v>46.769918327657273</c:v>
                      </c:pt>
                      <c:pt idx="42">
                        <c:v>44.680720298912703</c:v>
                      </c:pt>
                      <c:pt idx="43">
                        <c:v>42.591522270175403</c:v>
                      </c:pt>
                      <c:pt idx="44">
                        <c:v>40.50232424143082</c:v>
                      </c:pt>
                      <c:pt idx="45">
                        <c:v>38.413126212693534</c:v>
                      </c:pt>
                      <c:pt idx="46">
                        <c:v>36.323928183948951</c:v>
                      </c:pt>
                      <c:pt idx="47">
                        <c:v>34.234730155218948</c:v>
                      </c:pt>
                      <c:pt idx="48">
                        <c:v>32.145532126488945</c:v>
                      </c:pt>
                      <c:pt idx="49">
                        <c:v>30.056334097744362</c:v>
                      </c:pt>
                      <c:pt idx="50">
                        <c:v>27.967136069007068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10B-40E1-A458-CF55F8F74358}"/>
                  </c:ext>
                </c:extLst>
              </c15:ser>
            </c15:filteredScatterSeries>
            <c15:filteredScatterSeries>
              <c15:ser>
                <c:idx val="27"/>
                <c:order val="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グラフ!$AP$5</c15:sqref>
                        </c15:formulaRef>
                      </c:ext>
                    </c:extLst>
                    <c:strCache>
                      <c:ptCount val="1"/>
                      <c:pt idx="0">
                        <c:v>outer応力:Δ+20℃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グラフ!$AP$6:$AP$56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122.75359425032536</c:v>
                      </c:pt>
                      <c:pt idx="1">
                        <c:v>120.66439622158808</c:v>
                      </c:pt>
                      <c:pt idx="2">
                        <c:v>118.57519819284349</c:v>
                      </c:pt>
                      <c:pt idx="3">
                        <c:v>116.48600016410619</c:v>
                      </c:pt>
                      <c:pt idx="4">
                        <c:v>114.39680213536161</c:v>
                      </c:pt>
                      <c:pt idx="5">
                        <c:v>112.30760410662432</c:v>
                      </c:pt>
                      <c:pt idx="6">
                        <c:v>110.21840607788702</c:v>
                      </c:pt>
                      <c:pt idx="7">
                        <c:v>108.12920804914246</c:v>
                      </c:pt>
                      <c:pt idx="8">
                        <c:v>106.04001002041245</c:v>
                      </c:pt>
                      <c:pt idx="9">
                        <c:v>103.95081199167515</c:v>
                      </c:pt>
                      <c:pt idx="10">
                        <c:v>101.86161396293056</c:v>
                      </c:pt>
                      <c:pt idx="11">
                        <c:v>99.772415934193276</c:v>
                      </c:pt>
                      <c:pt idx="12">
                        <c:v>97.683217905448686</c:v>
                      </c:pt>
                      <c:pt idx="13">
                        <c:v>95.594019876711414</c:v>
                      </c:pt>
                      <c:pt idx="14">
                        <c:v>93.504821847974114</c:v>
                      </c:pt>
                      <c:pt idx="15">
                        <c:v>91.415623819236814</c:v>
                      </c:pt>
                      <c:pt idx="16">
                        <c:v>89.326425790499528</c:v>
                      </c:pt>
                      <c:pt idx="17">
                        <c:v>87.237227761762227</c:v>
                      </c:pt>
                      <c:pt idx="18">
                        <c:v>85.148029733024941</c:v>
                      </c:pt>
                      <c:pt idx="19">
                        <c:v>83.058831704280365</c:v>
                      </c:pt>
                      <c:pt idx="20">
                        <c:v>80.969633675535775</c:v>
                      </c:pt>
                      <c:pt idx="21">
                        <c:v>78.880435646805779</c:v>
                      </c:pt>
                      <c:pt idx="22">
                        <c:v>76.791237618053898</c:v>
                      </c:pt>
                      <c:pt idx="23">
                        <c:v>74.702039589323888</c:v>
                      </c:pt>
                      <c:pt idx="24">
                        <c:v>72.612841560579312</c:v>
                      </c:pt>
                      <c:pt idx="25">
                        <c:v>70.523643531842026</c:v>
                      </c:pt>
                      <c:pt idx="26">
                        <c:v>68.434445503119321</c:v>
                      </c:pt>
                      <c:pt idx="27">
                        <c:v>66.34524747436744</c:v>
                      </c:pt>
                      <c:pt idx="28">
                        <c:v>64.25604944563743</c:v>
                      </c:pt>
                      <c:pt idx="29">
                        <c:v>62.166851416892854</c:v>
                      </c:pt>
                      <c:pt idx="30">
                        <c:v>60.077653388155561</c:v>
                      </c:pt>
                      <c:pt idx="31">
                        <c:v>57.988455359410992</c:v>
                      </c:pt>
                      <c:pt idx="32">
                        <c:v>55.899257330680982</c:v>
                      </c:pt>
                      <c:pt idx="33">
                        <c:v>53.810059301929108</c:v>
                      </c:pt>
                      <c:pt idx="34">
                        <c:v>51.720861273191822</c:v>
                      </c:pt>
                      <c:pt idx="35">
                        <c:v>49.631663244454529</c:v>
                      </c:pt>
                      <c:pt idx="36">
                        <c:v>47.542465215724519</c:v>
                      </c:pt>
                      <c:pt idx="37">
                        <c:v>45.453267186987226</c:v>
                      </c:pt>
                      <c:pt idx="38">
                        <c:v>43.36406915824265</c:v>
                      </c:pt>
                      <c:pt idx="39">
                        <c:v>41.27487112951264</c:v>
                      </c:pt>
                      <c:pt idx="40">
                        <c:v>39.185673100760773</c:v>
                      </c:pt>
                      <c:pt idx="41">
                        <c:v>37.09647507202348</c:v>
                      </c:pt>
                      <c:pt idx="42">
                        <c:v>35.007277043286194</c:v>
                      </c:pt>
                      <c:pt idx="43">
                        <c:v>32.918079014541611</c:v>
                      </c:pt>
                      <c:pt idx="44">
                        <c:v>30.828880985797028</c:v>
                      </c:pt>
                      <c:pt idx="45">
                        <c:v>28.739682957067021</c:v>
                      </c:pt>
                      <c:pt idx="46">
                        <c:v>26.650484928329735</c:v>
                      </c:pt>
                      <c:pt idx="47">
                        <c:v>24.561286899592439</c:v>
                      </c:pt>
                      <c:pt idx="48">
                        <c:v>22.472088870855149</c:v>
                      </c:pt>
                      <c:pt idx="49">
                        <c:v>20.382890842117856</c:v>
                      </c:pt>
                      <c:pt idx="50">
                        <c:v>18.293692813373273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10B-40E1-A458-CF55F8F74358}"/>
                  </c:ext>
                </c:extLst>
              </c15:ser>
            </c15:filteredScatterSeries>
            <c15:filteredScatterSeries>
              <c15:ser>
                <c:idx val="28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グラフ!$AQ$5</c15:sqref>
                        </c15:formulaRef>
                      </c:ext>
                    </c:extLst>
                    <c:strCache>
                      <c:ptCount val="1"/>
                      <c:pt idx="0">
                        <c:v>outer応力:Δ+30℃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グラフ!$AQ$6:$AQ$56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113.08015099469155</c:v>
                      </c:pt>
                      <c:pt idx="1">
                        <c:v>110.99095296596154</c:v>
                      </c:pt>
                      <c:pt idx="2">
                        <c:v>108.90175493721698</c:v>
                      </c:pt>
                      <c:pt idx="3">
                        <c:v>106.81255690847239</c:v>
                      </c:pt>
                      <c:pt idx="4">
                        <c:v>104.7233588797351</c:v>
                      </c:pt>
                      <c:pt idx="5">
                        <c:v>102.63416085099053</c:v>
                      </c:pt>
                      <c:pt idx="6">
                        <c:v>100.54496282226053</c:v>
                      </c:pt>
                      <c:pt idx="7">
                        <c:v>98.455764793515939</c:v>
                      </c:pt>
                      <c:pt idx="8">
                        <c:v>96.366566764778639</c:v>
                      </c:pt>
                      <c:pt idx="9">
                        <c:v>94.277368736048629</c:v>
                      </c:pt>
                      <c:pt idx="10">
                        <c:v>92.188170707296777</c:v>
                      </c:pt>
                      <c:pt idx="11">
                        <c:v>90.098972678559477</c:v>
                      </c:pt>
                      <c:pt idx="12">
                        <c:v>88.009774649822191</c:v>
                      </c:pt>
                      <c:pt idx="13">
                        <c:v>85.920576621077615</c:v>
                      </c:pt>
                      <c:pt idx="14">
                        <c:v>83.831378592347619</c:v>
                      </c:pt>
                      <c:pt idx="15">
                        <c:v>81.742180563617609</c:v>
                      </c:pt>
                      <c:pt idx="16">
                        <c:v>79.652982534873018</c:v>
                      </c:pt>
                      <c:pt idx="17">
                        <c:v>77.563784506128428</c:v>
                      </c:pt>
                      <c:pt idx="18">
                        <c:v>75.474586477391128</c:v>
                      </c:pt>
                      <c:pt idx="19">
                        <c:v>73.385388448653842</c:v>
                      </c:pt>
                      <c:pt idx="20">
                        <c:v>71.29619041990199</c:v>
                      </c:pt>
                      <c:pt idx="21">
                        <c:v>69.206992391171966</c:v>
                      </c:pt>
                      <c:pt idx="22">
                        <c:v>67.117794362427404</c:v>
                      </c:pt>
                      <c:pt idx="23">
                        <c:v>65.028596333690103</c:v>
                      </c:pt>
                      <c:pt idx="24">
                        <c:v>62.939398304960108</c:v>
                      </c:pt>
                      <c:pt idx="25">
                        <c:v>60.850200276222807</c:v>
                      </c:pt>
                      <c:pt idx="26">
                        <c:v>58.761002247485514</c:v>
                      </c:pt>
                      <c:pt idx="27">
                        <c:v>56.671804218740931</c:v>
                      </c:pt>
                      <c:pt idx="28">
                        <c:v>54.582606190003638</c:v>
                      </c:pt>
                      <c:pt idx="29">
                        <c:v>52.493408161259055</c:v>
                      </c:pt>
                      <c:pt idx="30">
                        <c:v>50.404210132529052</c:v>
                      </c:pt>
                      <c:pt idx="31">
                        <c:v>48.315012103777185</c:v>
                      </c:pt>
                      <c:pt idx="32">
                        <c:v>46.225814075047182</c:v>
                      </c:pt>
                      <c:pt idx="33">
                        <c:v>44.136616046302599</c:v>
                      </c:pt>
                      <c:pt idx="34">
                        <c:v>42.047418017572596</c:v>
                      </c:pt>
                      <c:pt idx="35">
                        <c:v>39.95821998882802</c:v>
                      </c:pt>
                      <c:pt idx="36">
                        <c:v>37.86902196009072</c:v>
                      </c:pt>
                      <c:pt idx="37">
                        <c:v>35.779823931360717</c:v>
                      </c:pt>
                      <c:pt idx="38">
                        <c:v>33.690625902608851</c:v>
                      </c:pt>
                      <c:pt idx="39">
                        <c:v>31.601427873878841</c:v>
                      </c:pt>
                      <c:pt idx="40">
                        <c:v>29.512229845134264</c:v>
                      </c:pt>
                      <c:pt idx="41">
                        <c:v>27.423031816389688</c:v>
                      </c:pt>
                      <c:pt idx="42">
                        <c:v>25.333833787652392</c:v>
                      </c:pt>
                      <c:pt idx="43">
                        <c:v>23.244635758915098</c:v>
                      </c:pt>
                      <c:pt idx="44">
                        <c:v>21.155437730177809</c:v>
                      </c:pt>
                      <c:pt idx="45">
                        <c:v>19.066239701440516</c:v>
                      </c:pt>
                      <c:pt idx="46">
                        <c:v>16.977041672695933</c:v>
                      </c:pt>
                      <c:pt idx="47">
                        <c:v>14.887843643965931</c:v>
                      </c:pt>
                      <c:pt idx="48">
                        <c:v>12.798645615221348</c:v>
                      </c:pt>
                      <c:pt idx="49">
                        <c:v>10.709447586484057</c:v>
                      </c:pt>
                      <c:pt idx="50">
                        <c:v>8.6202495577467655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14B-463C-AA48-EB9AD9F039DE}"/>
                  </c:ext>
                </c:extLst>
              </c15:ser>
            </c15:filteredScatterSeries>
          </c:ext>
        </c:extLst>
      </c:scatterChart>
      <c:valAx>
        <c:axId val="1878419104"/>
        <c:scaling>
          <c:orientation val="minMax"/>
          <c:max val="200"/>
          <c:min val="-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グラフ!$N$5</c:f>
              <c:strCache>
                <c:ptCount val="1"/>
                <c:pt idx="0">
                  <c:v>inner温度[℃]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8401216"/>
        <c:crosses val="autoZero"/>
        <c:crossBetween val="midCat"/>
      </c:valAx>
      <c:valAx>
        <c:axId val="1878401216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グラフ!$V$4</c:f>
              <c:strCache>
                <c:ptCount val="1"/>
                <c:pt idx="0">
                  <c:v>半径方向応力[MPa]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8419104"/>
        <c:crossesAt val="-100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温度 </a:t>
            </a:r>
            <a:r>
              <a:rPr lang="en-US" altLang="ja-JP"/>
              <a:t>vs Outer</a:t>
            </a:r>
            <a:r>
              <a:rPr lang="ja-JP" altLang="en-US"/>
              <a:t>応力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22"/>
          <c:order val="22"/>
          <c:tx>
            <c:strRef>
              <c:f>グラフ!$AK$5</c:f>
              <c:strCache>
                <c:ptCount val="1"/>
                <c:pt idx="0">
                  <c:v>outer応力:Δ-30℃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グラフ!$AK$6:$AK$56</c:f>
              <c:numCache>
                <c:formatCode>0.0</c:formatCode>
                <c:ptCount val="51"/>
                <c:pt idx="0">
                  <c:v>171.1208105284725</c:v>
                </c:pt>
                <c:pt idx="1">
                  <c:v>169.03161249972788</c:v>
                </c:pt>
                <c:pt idx="2">
                  <c:v>166.94241447099057</c:v>
                </c:pt>
                <c:pt idx="3">
                  <c:v>164.85321644225331</c:v>
                </c:pt>
                <c:pt idx="4">
                  <c:v>162.76401841350875</c:v>
                </c:pt>
                <c:pt idx="5">
                  <c:v>160.67482038477144</c:v>
                </c:pt>
                <c:pt idx="6">
                  <c:v>158.58562235603415</c:v>
                </c:pt>
                <c:pt idx="7">
                  <c:v>156.49642432728959</c:v>
                </c:pt>
                <c:pt idx="8">
                  <c:v>154.40722629855961</c:v>
                </c:pt>
                <c:pt idx="9">
                  <c:v>152.31802826982229</c:v>
                </c:pt>
                <c:pt idx="10">
                  <c:v>150.22883024107767</c:v>
                </c:pt>
                <c:pt idx="11">
                  <c:v>148.13963221234039</c:v>
                </c:pt>
                <c:pt idx="12">
                  <c:v>146.05043418359583</c:v>
                </c:pt>
                <c:pt idx="13">
                  <c:v>143.96123615486582</c:v>
                </c:pt>
                <c:pt idx="14">
                  <c:v>141.87203812612123</c:v>
                </c:pt>
                <c:pt idx="15">
                  <c:v>139.78284009739124</c:v>
                </c:pt>
                <c:pt idx="16">
                  <c:v>137.69364206864662</c:v>
                </c:pt>
                <c:pt idx="17">
                  <c:v>135.60444403990206</c:v>
                </c:pt>
                <c:pt idx="18">
                  <c:v>133.51524601117205</c:v>
                </c:pt>
                <c:pt idx="19">
                  <c:v>131.42604798242749</c:v>
                </c:pt>
                <c:pt idx="20">
                  <c:v>129.33684995368293</c:v>
                </c:pt>
                <c:pt idx="21">
                  <c:v>127.2476519249529</c:v>
                </c:pt>
                <c:pt idx="22">
                  <c:v>125.15845389620104</c:v>
                </c:pt>
                <c:pt idx="23">
                  <c:v>123.06925586747101</c:v>
                </c:pt>
                <c:pt idx="24">
                  <c:v>120.98005783872644</c:v>
                </c:pt>
                <c:pt idx="25">
                  <c:v>118.89085980998915</c:v>
                </c:pt>
                <c:pt idx="26">
                  <c:v>116.80166178125914</c:v>
                </c:pt>
                <c:pt idx="27">
                  <c:v>114.71246375251458</c:v>
                </c:pt>
                <c:pt idx="28">
                  <c:v>112.62326572378457</c:v>
                </c:pt>
                <c:pt idx="29">
                  <c:v>110.53406769503268</c:v>
                </c:pt>
                <c:pt idx="30">
                  <c:v>108.44486966630268</c:v>
                </c:pt>
                <c:pt idx="31">
                  <c:v>106.3556716375581</c:v>
                </c:pt>
                <c:pt idx="32">
                  <c:v>104.2664736088208</c:v>
                </c:pt>
                <c:pt idx="33">
                  <c:v>102.17727558007624</c:v>
                </c:pt>
                <c:pt idx="34">
                  <c:v>100.08807755133894</c:v>
                </c:pt>
                <c:pt idx="35">
                  <c:v>97.998879522594351</c:v>
                </c:pt>
                <c:pt idx="36">
                  <c:v>95.909681493871631</c:v>
                </c:pt>
                <c:pt idx="37">
                  <c:v>93.820483465134345</c:v>
                </c:pt>
                <c:pt idx="38">
                  <c:v>91.731285436389769</c:v>
                </c:pt>
                <c:pt idx="39">
                  <c:v>89.642087407659773</c:v>
                </c:pt>
                <c:pt idx="40">
                  <c:v>87.552889378907892</c:v>
                </c:pt>
                <c:pt idx="41">
                  <c:v>85.46369135017062</c:v>
                </c:pt>
                <c:pt idx="42">
                  <c:v>83.37449332143332</c:v>
                </c:pt>
                <c:pt idx="43">
                  <c:v>81.28529529268873</c:v>
                </c:pt>
                <c:pt idx="44">
                  <c:v>79.196097263944139</c:v>
                </c:pt>
                <c:pt idx="45">
                  <c:v>77.106899235214144</c:v>
                </c:pt>
                <c:pt idx="46">
                  <c:v>75.017701206476843</c:v>
                </c:pt>
                <c:pt idx="47">
                  <c:v>72.928503177739557</c:v>
                </c:pt>
                <c:pt idx="48">
                  <c:v>70.839305149002257</c:v>
                </c:pt>
                <c:pt idx="49">
                  <c:v>68.750107120264985</c:v>
                </c:pt>
                <c:pt idx="50">
                  <c:v>66.660909091520395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3BCD-4AB3-8607-1A42AE26C775}"/>
            </c:ext>
          </c:extLst>
        </c:ser>
        <c:ser>
          <c:idx val="23"/>
          <c:order val="23"/>
          <c:tx>
            <c:strRef>
              <c:f>グラフ!$AL$5</c:f>
              <c:strCache>
                <c:ptCount val="1"/>
                <c:pt idx="0">
                  <c:v>outer応力:Δ-20℃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グラフ!$AL$6:$AL$56</c:f>
              <c:numCache>
                <c:formatCode>0.0</c:formatCode>
                <c:ptCount val="51"/>
                <c:pt idx="0">
                  <c:v>161.4473672728387</c:v>
                </c:pt>
                <c:pt idx="1">
                  <c:v>159.35816924410867</c:v>
                </c:pt>
                <c:pt idx="2">
                  <c:v>157.2689712153641</c:v>
                </c:pt>
                <c:pt idx="3">
                  <c:v>155.17977318661951</c:v>
                </c:pt>
                <c:pt idx="4">
                  <c:v>153.09057515788223</c:v>
                </c:pt>
                <c:pt idx="5">
                  <c:v>151.00137712913764</c:v>
                </c:pt>
                <c:pt idx="6">
                  <c:v>148.91217910040763</c:v>
                </c:pt>
                <c:pt idx="7">
                  <c:v>146.82298107166304</c:v>
                </c:pt>
                <c:pt idx="8">
                  <c:v>144.73378304292575</c:v>
                </c:pt>
                <c:pt idx="9">
                  <c:v>142.64458501419577</c:v>
                </c:pt>
                <c:pt idx="10">
                  <c:v>140.5553869854439</c:v>
                </c:pt>
                <c:pt idx="11">
                  <c:v>138.46618895671389</c:v>
                </c:pt>
                <c:pt idx="12">
                  <c:v>136.37699092796933</c:v>
                </c:pt>
                <c:pt idx="13">
                  <c:v>134.28779289923202</c:v>
                </c:pt>
                <c:pt idx="14">
                  <c:v>132.1985948704947</c:v>
                </c:pt>
                <c:pt idx="15">
                  <c:v>130.10939684175744</c:v>
                </c:pt>
                <c:pt idx="16">
                  <c:v>128.02019881302016</c:v>
                </c:pt>
                <c:pt idx="17">
                  <c:v>125.93100078427557</c:v>
                </c:pt>
                <c:pt idx="18">
                  <c:v>123.84180275553828</c:v>
                </c:pt>
                <c:pt idx="19">
                  <c:v>121.75260472680098</c:v>
                </c:pt>
                <c:pt idx="20">
                  <c:v>119.66340669804909</c:v>
                </c:pt>
                <c:pt idx="21">
                  <c:v>117.57420866931909</c:v>
                </c:pt>
                <c:pt idx="22">
                  <c:v>115.48501064057452</c:v>
                </c:pt>
                <c:pt idx="23">
                  <c:v>113.39581261183721</c:v>
                </c:pt>
                <c:pt idx="24">
                  <c:v>111.30661458309994</c:v>
                </c:pt>
                <c:pt idx="25">
                  <c:v>109.21741655436993</c:v>
                </c:pt>
                <c:pt idx="26">
                  <c:v>107.12821852563263</c:v>
                </c:pt>
                <c:pt idx="27">
                  <c:v>105.03902049688075</c:v>
                </c:pt>
                <c:pt idx="28">
                  <c:v>102.94982246815076</c:v>
                </c:pt>
                <c:pt idx="29">
                  <c:v>100.86062443940618</c:v>
                </c:pt>
                <c:pt idx="30">
                  <c:v>98.771426410668894</c:v>
                </c:pt>
                <c:pt idx="31">
                  <c:v>96.682228381924318</c:v>
                </c:pt>
                <c:pt idx="32">
                  <c:v>94.593030353194308</c:v>
                </c:pt>
                <c:pt idx="33">
                  <c:v>92.503832324442413</c:v>
                </c:pt>
                <c:pt idx="34">
                  <c:v>90.414634295719722</c:v>
                </c:pt>
                <c:pt idx="35">
                  <c:v>88.325436266975132</c:v>
                </c:pt>
                <c:pt idx="36">
                  <c:v>86.23623823823786</c:v>
                </c:pt>
                <c:pt idx="37">
                  <c:v>84.14704020950785</c:v>
                </c:pt>
                <c:pt idx="38">
                  <c:v>82.057842180755969</c:v>
                </c:pt>
                <c:pt idx="39">
                  <c:v>79.968644152025959</c:v>
                </c:pt>
                <c:pt idx="40">
                  <c:v>77.879446123281397</c:v>
                </c:pt>
                <c:pt idx="41">
                  <c:v>75.790248094536793</c:v>
                </c:pt>
                <c:pt idx="42">
                  <c:v>73.701050065799521</c:v>
                </c:pt>
                <c:pt idx="43">
                  <c:v>71.611852037062221</c:v>
                </c:pt>
                <c:pt idx="44">
                  <c:v>69.522654008324935</c:v>
                </c:pt>
                <c:pt idx="45">
                  <c:v>67.433455979587634</c:v>
                </c:pt>
                <c:pt idx="46">
                  <c:v>65.344257950843073</c:v>
                </c:pt>
                <c:pt idx="47">
                  <c:v>63.255059922113062</c:v>
                </c:pt>
                <c:pt idx="48">
                  <c:v>61.165861893368465</c:v>
                </c:pt>
                <c:pt idx="49">
                  <c:v>59.076663864631172</c:v>
                </c:pt>
                <c:pt idx="50">
                  <c:v>56.987465835893886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3BCD-4AB3-8607-1A42AE26C775}"/>
            </c:ext>
          </c:extLst>
        </c:ser>
        <c:ser>
          <c:idx val="24"/>
          <c:order val="24"/>
          <c:tx>
            <c:strRef>
              <c:f>グラフ!$AM$5</c:f>
              <c:strCache>
                <c:ptCount val="1"/>
                <c:pt idx="0">
                  <c:v>outer応力:Δ-10℃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グラフ!$AM$6:$AM$56</c:f>
              <c:numCache>
                <c:formatCode>0.0</c:formatCode>
                <c:ptCount val="51"/>
                <c:pt idx="0">
                  <c:v>151.77392401721215</c:v>
                </c:pt>
                <c:pt idx="1">
                  <c:v>149.6847259884749</c:v>
                </c:pt>
                <c:pt idx="2">
                  <c:v>147.59552795973761</c:v>
                </c:pt>
                <c:pt idx="3">
                  <c:v>145.50632993098571</c:v>
                </c:pt>
                <c:pt idx="4">
                  <c:v>143.4171319022557</c:v>
                </c:pt>
                <c:pt idx="5">
                  <c:v>141.32793387351117</c:v>
                </c:pt>
                <c:pt idx="6">
                  <c:v>139.23873584477386</c:v>
                </c:pt>
                <c:pt idx="7">
                  <c:v>137.14953781603654</c:v>
                </c:pt>
                <c:pt idx="8">
                  <c:v>135.06033978729195</c:v>
                </c:pt>
                <c:pt idx="9">
                  <c:v>132.97114175856925</c:v>
                </c:pt>
                <c:pt idx="10">
                  <c:v>130.88194372981741</c:v>
                </c:pt>
                <c:pt idx="11">
                  <c:v>128.79274570108009</c:v>
                </c:pt>
                <c:pt idx="12">
                  <c:v>126.70354767234281</c:v>
                </c:pt>
                <c:pt idx="13">
                  <c:v>124.61434964359823</c:v>
                </c:pt>
                <c:pt idx="14">
                  <c:v>122.52515161486821</c:v>
                </c:pt>
                <c:pt idx="15">
                  <c:v>120.43595358613092</c:v>
                </c:pt>
                <c:pt idx="16">
                  <c:v>118.34675555738635</c:v>
                </c:pt>
                <c:pt idx="17">
                  <c:v>116.25755752864906</c:v>
                </c:pt>
                <c:pt idx="18">
                  <c:v>114.16835949990447</c:v>
                </c:pt>
                <c:pt idx="19">
                  <c:v>112.07916147116717</c:v>
                </c:pt>
                <c:pt idx="20">
                  <c:v>109.98996344242258</c:v>
                </c:pt>
                <c:pt idx="21">
                  <c:v>107.90076541368531</c:v>
                </c:pt>
                <c:pt idx="22">
                  <c:v>105.81156738494801</c:v>
                </c:pt>
                <c:pt idx="23">
                  <c:v>103.722369356218</c:v>
                </c:pt>
                <c:pt idx="24">
                  <c:v>101.63317132747343</c:v>
                </c:pt>
                <c:pt idx="25">
                  <c:v>99.543973298736134</c:v>
                </c:pt>
                <c:pt idx="26">
                  <c:v>97.454775269998834</c:v>
                </c:pt>
                <c:pt idx="27">
                  <c:v>95.365577241254258</c:v>
                </c:pt>
                <c:pt idx="28">
                  <c:v>93.276379212516972</c:v>
                </c:pt>
                <c:pt idx="29">
                  <c:v>91.187181183772395</c:v>
                </c:pt>
                <c:pt idx="30">
                  <c:v>89.097983155042385</c:v>
                </c:pt>
                <c:pt idx="31">
                  <c:v>87.008785126290519</c:v>
                </c:pt>
                <c:pt idx="32">
                  <c:v>84.919587097575089</c:v>
                </c:pt>
                <c:pt idx="33">
                  <c:v>82.830389068823209</c:v>
                </c:pt>
                <c:pt idx="34">
                  <c:v>80.741191040085909</c:v>
                </c:pt>
                <c:pt idx="35">
                  <c:v>78.651993011348637</c:v>
                </c:pt>
                <c:pt idx="36">
                  <c:v>76.562794982604061</c:v>
                </c:pt>
                <c:pt idx="37">
                  <c:v>74.473596953874051</c:v>
                </c:pt>
                <c:pt idx="38">
                  <c:v>72.38439892512946</c:v>
                </c:pt>
                <c:pt idx="39">
                  <c:v>70.295200896392174</c:v>
                </c:pt>
                <c:pt idx="40">
                  <c:v>68.206002867647584</c:v>
                </c:pt>
                <c:pt idx="41">
                  <c:v>66.116804838910312</c:v>
                </c:pt>
                <c:pt idx="42">
                  <c:v>64.027606810180302</c:v>
                </c:pt>
                <c:pt idx="43">
                  <c:v>61.938408781435719</c:v>
                </c:pt>
                <c:pt idx="44">
                  <c:v>59.849210752691128</c:v>
                </c:pt>
                <c:pt idx="45">
                  <c:v>57.760012723961125</c:v>
                </c:pt>
                <c:pt idx="46">
                  <c:v>55.670814695209252</c:v>
                </c:pt>
                <c:pt idx="47">
                  <c:v>53.581616666479249</c:v>
                </c:pt>
                <c:pt idx="48">
                  <c:v>51.492418637741956</c:v>
                </c:pt>
                <c:pt idx="49">
                  <c:v>49.403220608997387</c:v>
                </c:pt>
                <c:pt idx="50">
                  <c:v>47.314022580260087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3BCD-4AB3-8607-1A42AE26C775}"/>
            </c:ext>
          </c:extLst>
        </c:ser>
        <c:ser>
          <c:idx val="25"/>
          <c:order val="25"/>
          <c:tx>
            <c:strRef>
              <c:f>グラフ!$AN$5</c:f>
              <c:strCache>
                <c:ptCount val="1"/>
                <c:pt idx="0">
                  <c:v>outer応力:Δ0℃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グラフ!$AN$6:$AN$56</c:f>
              <c:numCache>
                <c:formatCode>0.0</c:formatCode>
                <c:ptCount val="51"/>
                <c:pt idx="0">
                  <c:v>142.10048076158566</c:v>
                </c:pt>
                <c:pt idx="1">
                  <c:v>140.0112827328411</c:v>
                </c:pt>
                <c:pt idx="2">
                  <c:v>137.92208470411109</c:v>
                </c:pt>
                <c:pt idx="3">
                  <c:v>135.83288667535922</c:v>
                </c:pt>
                <c:pt idx="4">
                  <c:v>133.74368864662191</c:v>
                </c:pt>
                <c:pt idx="5">
                  <c:v>131.65449061788462</c:v>
                </c:pt>
                <c:pt idx="6">
                  <c:v>129.56529258914003</c:v>
                </c:pt>
                <c:pt idx="7">
                  <c:v>127.47609456041005</c:v>
                </c:pt>
                <c:pt idx="8">
                  <c:v>125.38689653166547</c:v>
                </c:pt>
                <c:pt idx="9">
                  <c:v>123.29769850293548</c:v>
                </c:pt>
                <c:pt idx="10">
                  <c:v>121.20850047419088</c:v>
                </c:pt>
                <c:pt idx="11">
                  <c:v>119.11930244544628</c:v>
                </c:pt>
                <c:pt idx="12">
                  <c:v>117.03010441671628</c:v>
                </c:pt>
                <c:pt idx="13">
                  <c:v>114.94090638797171</c:v>
                </c:pt>
                <c:pt idx="14">
                  <c:v>112.85170835923442</c:v>
                </c:pt>
                <c:pt idx="15">
                  <c:v>110.76251033050441</c:v>
                </c:pt>
                <c:pt idx="16">
                  <c:v>108.67331230175255</c:v>
                </c:pt>
                <c:pt idx="17">
                  <c:v>106.58411427301523</c:v>
                </c:pt>
                <c:pt idx="18">
                  <c:v>104.49491624427796</c:v>
                </c:pt>
                <c:pt idx="19">
                  <c:v>102.40571821553337</c:v>
                </c:pt>
                <c:pt idx="20">
                  <c:v>100.3165201867961</c:v>
                </c:pt>
                <c:pt idx="21">
                  <c:v>98.227322158066087</c:v>
                </c:pt>
                <c:pt idx="22">
                  <c:v>96.138124129321511</c:v>
                </c:pt>
                <c:pt idx="23">
                  <c:v>94.048926100584211</c:v>
                </c:pt>
                <c:pt idx="24">
                  <c:v>91.959728071839621</c:v>
                </c:pt>
                <c:pt idx="25">
                  <c:v>89.870530043109625</c:v>
                </c:pt>
                <c:pt idx="26">
                  <c:v>87.781332014365034</c:v>
                </c:pt>
                <c:pt idx="27">
                  <c:v>85.692133985620458</c:v>
                </c:pt>
                <c:pt idx="28">
                  <c:v>83.602935956890448</c:v>
                </c:pt>
                <c:pt idx="29">
                  <c:v>81.513737928138582</c:v>
                </c:pt>
                <c:pt idx="30">
                  <c:v>79.424539899423152</c:v>
                </c:pt>
                <c:pt idx="31">
                  <c:v>77.3353418706713</c:v>
                </c:pt>
                <c:pt idx="32">
                  <c:v>75.24614384194129</c:v>
                </c:pt>
                <c:pt idx="33">
                  <c:v>73.1569458131967</c:v>
                </c:pt>
                <c:pt idx="34">
                  <c:v>71.067747784452123</c:v>
                </c:pt>
                <c:pt idx="35">
                  <c:v>68.978549755714837</c:v>
                </c:pt>
                <c:pt idx="36">
                  <c:v>66.889351726977537</c:v>
                </c:pt>
                <c:pt idx="37">
                  <c:v>64.800153698240237</c:v>
                </c:pt>
                <c:pt idx="38">
                  <c:v>62.710955669495661</c:v>
                </c:pt>
                <c:pt idx="39">
                  <c:v>60.621757640765658</c:v>
                </c:pt>
                <c:pt idx="40">
                  <c:v>58.532559612028372</c:v>
                </c:pt>
                <c:pt idx="41">
                  <c:v>56.443361583283789</c:v>
                </c:pt>
                <c:pt idx="42">
                  <c:v>54.354163554546489</c:v>
                </c:pt>
                <c:pt idx="43">
                  <c:v>52.264965525809203</c:v>
                </c:pt>
                <c:pt idx="44">
                  <c:v>50.175767497057336</c:v>
                </c:pt>
                <c:pt idx="45">
                  <c:v>48.086569468327326</c:v>
                </c:pt>
                <c:pt idx="46">
                  <c:v>45.99737143958275</c:v>
                </c:pt>
                <c:pt idx="47">
                  <c:v>43.90817341084545</c:v>
                </c:pt>
                <c:pt idx="48">
                  <c:v>41.818975382108164</c:v>
                </c:pt>
                <c:pt idx="49">
                  <c:v>39.729777353370871</c:v>
                </c:pt>
                <c:pt idx="50">
                  <c:v>37.640579324640868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3BCD-4AB3-8607-1A42AE26C775}"/>
            </c:ext>
          </c:extLst>
        </c:ser>
        <c:ser>
          <c:idx val="26"/>
          <c:order val="26"/>
          <c:tx>
            <c:strRef>
              <c:f>グラフ!$AO$5</c:f>
              <c:strCache>
                <c:ptCount val="1"/>
                <c:pt idx="0">
                  <c:v>outer応力:Δ+10℃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グラフ!$AO$6:$AO$56</c:f>
              <c:numCache>
                <c:formatCode>0.0</c:formatCode>
                <c:ptCount val="51"/>
                <c:pt idx="0">
                  <c:v>132.42703750595916</c:v>
                </c:pt>
                <c:pt idx="1">
                  <c:v>130.33783947721457</c:v>
                </c:pt>
                <c:pt idx="2">
                  <c:v>128.24864144847729</c:v>
                </c:pt>
                <c:pt idx="3">
                  <c:v>126.15944341973271</c:v>
                </c:pt>
                <c:pt idx="4">
                  <c:v>124.07024539098812</c:v>
                </c:pt>
                <c:pt idx="5">
                  <c:v>121.98104736225811</c:v>
                </c:pt>
                <c:pt idx="6">
                  <c:v>119.89184933351353</c:v>
                </c:pt>
                <c:pt idx="7">
                  <c:v>117.80265130477623</c:v>
                </c:pt>
                <c:pt idx="8">
                  <c:v>115.71345327603896</c:v>
                </c:pt>
                <c:pt idx="9">
                  <c:v>113.62425524730166</c:v>
                </c:pt>
                <c:pt idx="10">
                  <c:v>111.53505721856435</c:v>
                </c:pt>
                <c:pt idx="11">
                  <c:v>109.44585918981979</c:v>
                </c:pt>
                <c:pt idx="12">
                  <c:v>107.3566611610825</c:v>
                </c:pt>
                <c:pt idx="13">
                  <c:v>105.2674631323452</c:v>
                </c:pt>
                <c:pt idx="14">
                  <c:v>103.17826510360064</c:v>
                </c:pt>
                <c:pt idx="15">
                  <c:v>101.08906707487063</c:v>
                </c:pt>
                <c:pt idx="16">
                  <c:v>98.999869046126022</c:v>
                </c:pt>
                <c:pt idx="17">
                  <c:v>96.910671017381446</c:v>
                </c:pt>
                <c:pt idx="18">
                  <c:v>94.821472988651436</c:v>
                </c:pt>
                <c:pt idx="19">
                  <c:v>92.73227495991415</c:v>
                </c:pt>
                <c:pt idx="20">
                  <c:v>90.643076931169574</c:v>
                </c:pt>
                <c:pt idx="21">
                  <c:v>88.553878902432288</c:v>
                </c:pt>
                <c:pt idx="22">
                  <c:v>86.464680873687698</c:v>
                </c:pt>
                <c:pt idx="23">
                  <c:v>84.375482844957688</c:v>
                </c:pt>
                <c:pt idx="24">
                  <c:v>82.286284816205836</c:v>
                </c:pt>
                <c:pt idx="25">
                  <c:v>80.197086787475826</c:v>
                </c:pt>
                <c:pt idx="26">
                  <c:v>78.10788875873854</c:v>
                </c:pt>
                <c:pt idx="27">
                  <c:v>76.018690729986659</c:v>
                </c:pt>
                <c:pt idx="28">
                  <c:v>73.929492701271244</c:v>
                </c:pt>
                <c:pt idx="29">
                  <c:v>71.840294672519363</c:v>
                </c:pt>
                <c:pt idx="30">
                  <c:v>69.751096643789367</c:v>
                </c:pt>
                <c:pt idx="31">
                  <c:v>67.661898615044763</c:v>
                </c:pt>
                <c:pt idx="32">
                  <c:v>65.572700586307491</c:v>
                </c:pt>
                <c:pt idx="33">
                  <c:v>63.4835025575629</c:v>
                </c:pt>
                <c:pt idx="34">
                  <c:v>61.394304528825614</c:v>
                </c:pt>
                <c:pt idx="35">
                  <c:v>59.305106500081038</c:v>
                </c:pt>
                <c:pt idx="36">
                  <c:v>57.215908471343752</c:v>
                </c:pt>
                <c:pt idx="37">
                  <c:v>55.126710442613742</c:v>
                </c:pt>
                <c:pt idx="38">
                  <c:v>53.037512413876442</c:v>
                </c:pt>
                <c:pt idx="39">
                  <c:v>50.948314385139156</c:v>
                </c:pt>
                <c:pt idx="40">
                  <c:v>48.859116356394573</c:v>
                </c:pt>
                <c:pt idx="41">
                  <c:v>46.769918327657273</c:v>
                </c:pt>
                <c:pt idx="42">
                  <c:v>44.680720298912703</c:v>
                </c:pt>
                <c:pt idx="43">
                  <c:v>42.591522270175403</c:v>
                </c:pt>
                <c:pt idx="44">
                  <c:v>40.50232424143082</c:v>
                </c:pt>
                <c:pt idx="45">
                  <c:v>38.413126212693534</c:v>
                </c:pt>
                <c:pt idx="46">
                  <c:v>36.323928183948951</c:v>
                </c:pt>
                <c:pt idx="47">
                  <c:v>34.234730155218948</c:v>
                </c:pt>
                <c:pt idx="48">
                  <c:v>32.145532126488945</c:v>
                </c:pt>
                <c:pt idx="49">
                  <c:v>30.056334097744362</c:v>
                </c:pt>
                <c:pt idx="50">
                  <c:v>27.967136069007068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3BCD-4AB3-8607-1A42AE26C775}"/>
            </c:ext>
          </c:extLst>
        </c:ser>
        <c:ser>
          <c:idx val="27"/>
          <c:order val="27"/>
          <c:tx>
            <c:strRef>
              <c:f>グラフ!$AP$5</c:f>
              <c:strCache>
                <c:ptCount val="1"/>
                <c:pt idx="0">
                  <c:v>outer応力:Δ+20℃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グラフ!$AP$6:$AP$56</c:f>
              <c:numCache>
                <c:formatCode>0.0</c:formatCode>
                <c:ptCount val="51"/>
                <c:pt idx="0">
                  <c:v>122.75359425032536</c:v>
                </c:pt>
                <c:pt idx="1">
                  <c:v>120.66439622158808</c:v>
                </c:pt>
                <c:pt idx="2">
                  <c:v>118.57519819284349</c:v>
                </c:pt>
                <c:pt idx="3">
                  <c:v>116.48600016410619</c:v>
                </c:pt>
                <c:pt idx="4">
                  <c:v>114.39680213536161</c:v>
                </c:pt>
                <c:pt idx="5">
                  <c:v>112.30760410662432</c:v>
                </c:pt>
                <c:pt idx="6">
                  <c:v>110.21840607788702</c:v>
                </c:pt>
                <c:pt idx="7">
                  <c:v>108.12920804914246</c:v>
                </c:pt>
                <c:pt idx="8">
                  <c:v>106.04001002041245</c:v>
                </c:pt>
                <c:pt idx="9">
                  <c:v>103.95081199167515</c:v>
                </c:pt>
                <c:pt idx="10">
                  <c:v>101.86161396293056</c:v>
                </c:pt>
                <c:pt idx="11">
                  <c:v>99.772415934193276</c:v>
                </c:pt>
                <c:pt idx="12">
                  <c:v>97.683217905448686</c:v>
                </c:pt>
                <c:pt idx="13">
                  <c:v>95.594019876711414</c:v>
                </c:pt>
                <c:pt idx="14">
                  <c:v>93.504821847974114</c:v>
                </c:pt>
                <c:pt idx="15">
                  <c:v>91.415623819236814</c:v>
                </c:pt>
                <c:pt idx="16">
                  <c:v>89.326425790499528</c:v>
                </c:pt>
                <c:pt idx="17">
                  <c:v>87.237227761762227</c:v>
                </c:pt>
                <c:pt idx="18">
                  <c:v>85.148029733024941</c:v>
                </c:pt>
                <c:pt idx="19">
                  <c:v>83.058831704280365</c:v>
                </c:pt>
                <c:pt idx="20">
                  <c:v>80.969633675535775</c:v>
                </c:pt>
                <c:pt idx="21">
                  <c:v>78.880435646805779</c:v>
                </c:pt>
                <c:pt idx="22">
                  <c:v>76.791237618053898</c:v>
                </c:pt>
                <c:pt idx="23">
                  <c:v>74.702039589323888</c:v>
                </c:pt>
                <c:pt idx="24">
                  <c:v>72.612841560579312</c:v>
                </c:pt>
                <c:pt idx="25">
                  <c:v>70.523643531842026</c:v>
                </c:pt>
                <c:pt idx="26">
                  <c:v>68.434445503119321</c:v>
                </c:pt>
                <c:pt idx="27">
                  <c:v>66.34524747436744</c:v>
                </c:pt>
                <c:pt idx="28">
                  <c:v>64.25604944563743</c:v>
                </c:pt>
                <c:pt idx="29">
                  <c:v>62.166851416892854</c:v>
                </c:pt>
                <c:pt idx="30">
                  <c:v>60.077653388155561</c:v>
                </c:pt>
                <c:pt idx="31">
                  <c:v>57.988455359410992</c:v>
                </c:pt>
                <c:pt idx="32">
                  <c:v>55.899257330680982</c:v>
                </c:pt>
                <c:pt idx="33">
                  <c:v>53.810059301929108</c:v>
                </c:pt>
                <c:pt idx="34">
                  <c:v>51.720861273191822</c:v>
                </c:pt>
                <c:pt idx="35">
                  <c:v>49.631663244454529</c:v>
                </c:pt>
                <c:pt idx="36">
                  <c:v>47.542465215724519</c:v>
                </c:pt>
                <c:pt idx="37">
                  <c:v>45.453267186987226</c:v>
                </c:pt>
                <c:pt idx="38">
                  <c:v>43.36406915824265</c:v>
                </c:pt>
                <c:pt idx="39">
                  <c:v>41.27487112951264</c:v>
                </c:pt>
                <c:pt idx="40">
                  <c:v>39.185673100760773</c:v>
                </c:pt>
                <c:pt idx="41">
                  <c:v>37.09647507202348</c:v>
                </c:pt>
                <c:pt idx="42">
                  <c:v>35.007277043286194</c:v>
                </c:pt>
                <c:pt idx="43">
                  <c:v>32.918079014541611</c:v>
                </c:pt>
                <c:pt idx="44">
                  <c:v>30.828880985797028</c:v>
                </c:pt>
                <c:pt idx="45">
                  <c:v>28.739682957067021</c:v>
                </c:pt>
                <c:pt idx="46">
                  <c:v>26.650484928329735</c:v>
                </c:pt>
                <c:pt idx="47">
                  <c:v>24.561286899592439</c:v>
                </c:pt>
                <c:pt idx="48">
                  <c:v>22.472088870855149</c:v>
                </c:pt>
                <c:pt idx="49">
                  <c:v>20.382890842117856</c:v>
                </c:pt>
                <c:pt idx="50">
                  <c:v>18.293692813373273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3BCD-4AB3-8607-1A42AE26C775}"/>
            </c:ext>
          </c:extLst>
        </c:ser>
        <c:ser>
          <c:idx val="28"/>
          <c:order val="28"/>
          <c:tx>
            <c:strRef>
              <c:f>グラフ!$AQ$5</c:f>
              <c:strCache>
                <c:ptCount val="1"/>
                <c:pt idx="0">
                  <c:v>outer応力:Δ+30℃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グラフ!$AQ$6:$AQ$56</c:f>
              <c:numCache>
                <c:formatCode>0.0</c:formatCode>
                <c:ptCount val="51"/>
                <c:pt idx="0">
                  <c:v>113.08015099469155</c:v>
                </c:pt>
                <c:pt idx="1">
                  <c:v>110.99095296596154</c:v>
                </c:pt>
                <c:pt idx="2">
                  <c:v>108.90175493721698</c:v>
                </c:pt>
                <c:pt idx="3">
                  <c:v>106.81255690847239</c:v>
                </c:pt>
                <c:pt idx="4">
                  <c:v>104.7233588797351</c:v>
                </c:pt>
                <c:pt idx="5">
                  <c:v>102.63416085099053</c:v>
                </c:pt>
                <c:pt idx="6">
                  <c:v>100.54496282226053</c:v>
                </c:pt>
                <c:pt idx="7">
                  <c:v>98.455764793515939</c:v>
                </c:pt>
                <c:pt idx="8">
                  <c:v>96.366566764778639</c:v>
                </c:pt>
                <c:pt idx="9">
                  <c:v>94.277368736048629</c:v>
                </c:pt>
                <c:pt idx="10">
                  <c:v>92.188170707296777</c:v>
                </c:pt>
                <c:pt idx="11">
                  <c:v>90.098972678559477</c:v>
                </c:pt>
                <c:pt idx="12">
                  <c:v>88.009774649822191</c:v>
                </c:pt>
                <c:pt idx="13">
                  <c:v>85.920576621077615</c:v>
                </c:pt>
                <c:pt idx="14">
                  <c:v>83.831378592347619</c:v>
                </c:pt>
                <c:pt idx="15">
                  <c:v>81.742180563617609</c:v>
                </c:pt>
                <c:pt idx="16">
                  <c:v>79.652982534873018</c:v>
                </c:pt>
                <c:pt idx="17">
                  <c:v>77.563784506128428</c:v>
                </c:pt>
                <c:pt idx="18">
                  <c:v>75.474586477391128</c:v>
                </c:pt>
                <c:pt idx="19">
                  <c:v>73.385388448653842</c:v>
                </c:pt>
                <c:pt idx="20">
                  <c:v>71.29619041990199</c:v>
                </c:pt>
                <c:pt idx="21">
                  <c:v>69.206992391171966</c:v>
                </c:pt>
                <c:pt idx="22">
                  <c:v>67.117794362427404</c:v>
                </c:pt>
                <c:pt idx="23">
                  <c:v>65.028596333690103</c:v>
                </c:pt>
                <c:pt idx="24">
                  <c:v>62.939398304960108</c:v>
                </c:pt>
                <c:pt idx="25">
                  <c:v>60.850200276222807</c:v>
                </c:pt>
                <c:pt idx="26">
                  <c:v>58.761002247485514</c:v>
                </c:pt>
                <c:pt idx="27">
                  <c:v>56.671804218740931</c:v>
                </c:pt>
                <c:pt idx="28">
                  <c:v>54.582606190003638</c:v>
                </c:pt>
                <c:pt idx="29">
                  <c:v>52.493408161259055</c:v>
                </c:pt>
                <c:pt idx="30">
                  <c:v>50.404210132529052</c:v>
                </c:pt>
                <c:pt idx="31">
                  <c:v>48.315012103777185</c:v>
                </c:pt>
                <c:pt idx="32">
                  <c:v>46.225814075047182</c:v>
                </c:pt>
                <c:pt idx="33">
                  <c:v>44.136616046302599</c:v>
                </c:pt>
                <c:pt idx="34">
                  <c:v>42.047418017572596</c:v>
                </c:pt>
                <c:pt idx="35">
                  <c:v>39.95821998882802</c:v>
                </c:pt>
                <c:pt idx="36">
                  <c:v>37.86902196009072</c:v>
                </c:pt>
                <c:pt idx="37">
                  <c:v>35.779823931360717</c:v>
                </c:pt>
                <c:pt idx="38">
                  <c:v>33.690625902608851</c:v>
                </c:pt>
                <c:pt idx="39">
                  <c:v>31.601427873878841</c:v>
                </c:pt>
                <c:pt idx="40">
                  <c:v>29.512229845134264</c:v>
                </c:pt>
                <c:pt idx="41">
                  <c:v>27.423031816389688</c:v>
                </c:pt>
                <c:pt idx="42">
                  <c:v>25.333833787652392</c:v>
                </c:pt>
                <c:pt idx="43">
                  <c:v>23.244635758915098</c:v>
                </c:pt>
                <c:pt idx="44">
                  <c:v>21.155437730177809</c:v>
                </c:pt>
                <c:pt idx="45">
                  <c:v>19.066239701440516</c:v>
                </c:pt>
                <c:pt idx="46">
                  <c:v>16.977041672695933</c:v>
                </c:pt>
                <c:pt idx="47">
                  <c:v>14.887843643965931</c:v>
                </c:pt>
                <c:pt idx="48">
                  <c:v>12.798645615221348</c:v>
                </c:pt>
                <c:pt idx="49">
                  <c:v>10.709447586484057</c:v>
                </c:pt>
                <c:pt idx="50">
                  <c:v>8.6202495577467655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46-4D2A-9109-89209D590241}"/>
            </c:ext>
          </c:extLst>
        </c:ser>
        <c:ser>
          <c:idx val="29"/>
          <c:order val="29"/>
          <c:tx>
            <c:strRef>
              <c:f>グラフ!$AR$5</c:f>
              <c:strCache>
                <c:ptCount val="1"/>
                <c:pt idx="0">
                  <c:v>outer降伏点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グラフ!$AR$6:$AR$56</c:f>
              <c:numCache>
                <c:formatCode>0.0</c:formatCode>
                <c:ptCount val="51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150</c:v>
                </c:pt>
                <c:pt idx="17">
                  <c:v>150</c:v>
                </c:pt>
                <c:pt idx="18">
                  <c:v>150</c:v>
                </c:pt>
                <c:pt idx="19">
                  <c:v>150</c:v>
                </c:pt>
                <c:pt idx="20">
                  <c:v>150</c:v>
                </c:pt>
                <c:pt idx="21">
                  <c:v>150</c:v>
                </c:pt>
                <c:pt idx="22">
                  <c:v>150</c:v>
                </c:pt>
                <c:pt idx="23">
                  <c:v>150</c:v>
                </c:pt>
                <c:pt idx="24">
                  <c:v>150</c:v>
                </c:pt>
                <c:pt idx="25">
                  <c:v>150</c:v>
                </c:pt>
                <c:pt idx="26">
                  <c:v>150</c:v>
                </c:pt>
                <c:pt idx="27">
                  <c:v>150</c:v>
                </c:pt>
                <c:pt idx="28">
                  <c:v>150</c:v>
                </c:pt>
                <c:pt idx="29">
                  <c:v>150</c:v>
                </c:pt>
                <c:pt idx="30">
                  <c:v>150</c:v>
                </c:pt>
                <c:pt idx="31">
                  <c:v>150</c:v>
                </c:pt>
                <c:pt idx="32">
                  <c:v>150</c:v>
                </c:pt>
                <c:pt idx="33">
                  <c:v>150</c:v>
                </c:pt>
                <c:pt idx="34">
                  <c:v>150</c:v>
                </c:pt>
                <c:pt idx="35">
                  <c:v>150</c:v>
                </c:pt>
                <c:pt idx="36">
                  <c:v>150</c:v>
                </c:pt>
                <c:pt idx="37">
                  <c:v>150</c:v>
                </c:pt>
                <c:pt idx="38">
                  <c:v>150</c:v>
                </c:pt>
                <c:pt idx="39">
                  <c:v>150</c:v>
                </c:pt>
                <c:pt idx="40">
                  <c:v>150</c:v>
                </c:pt>
                <c:pt idx="41">
                  <c:v>150</c:v>
                </c:pt>
                <c:pt idx="42">
                  <c:v>150</c:v>
                </c:pt>
                <c:pt idx="43">
                  <c:v>150</c:v>
                </c:pt>
                <c:pt idx="44">
                  <c:v>150</c:v>
                </c:pt>
                <c:pt idx="45">
                  <c:v>150</c:v>
                </c:pt>
                <c:pt idx="46">
                  <c:v>150</c:v>
                </c:pt>
                <c:pt idx="47">
                  <c:v>150</c:v>
                </c:pt>
                <c:pt idx="48">
                  <c:v>150</c:v>
                </c:pt>
                <c:pt idx="49">
                  <c:v>150</c:v>
                </c:pt>
                <c:pt idx="50">
                  <c:v>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46-4D2A-9109-89209D590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419104"/>
        <c:axId val="187840121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グラフ!$O$5</c15:sqref>
                        </c15:formulaRef>
                      </c:ext>
                    </c:extLst>
                    <c:strCache>
                      <c:ptCount val="1"/>
                      <c:pt idx="0">
                        <c:v>締め代：Δ-30℃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グラフ!$O$6:$O$56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0.16679667000000364</c:v>
                      </c:pt>
                      <c:pt idx="1">
                        <c:v>0.16476026499999818</c:v>
                      </c:pt>
                      <c:pt idx="2">
                        <c:v>0.16272385999999983</c:v>
                      </c:pt>
                      <c:pt idx="3">
                        <c:v>0.16068745500000148</c:v>
                      </c:pt>
                      <c:pt idx="4">
                        <c:v>0.15865104999999602</c:v>
                      </c:pt>
                      <c:pt idx="5">
                        <c:v>0.15661464499999767</c:v>
                      </c:pt>
                      <c:pt idx="6">
                        <c:v>0.15457823999999931</c:v>
                      </c:pt>
                      <c:pt idx="7">
                        <c:v>0.15254183499999385</c:v>
                      </c:pt>
                      <c:pt idx="8">
                        <c:v>0.1505054300000026</c:v>
                      </c:pt>
                      <c:pt idx="9">
                        <c:v>0.14846902500000425</c:v>
                      </c:pt>
                      <c:pt idx="10">
                        <c:v>0.14643261999999879</c:v>
                      </c:pt>
                      <c:pt idx="11">
                        <c:v>0.14439621500000044</c:v>
                      </c:pt>
                      <c:pt idx="12">
                        <c:v>0.14235980999999498</c:v>
                      </c:pt>
                      <c:pt idx="13">
                        <c:v>0.14032340500000373</c:v>
                      </c:pt>
                      <c:pt idx="14">
                        <c:v>0.13828699999999827</c:v>
                      </c:pt>
                      <c:pt idx="15">
                        <c:v>0.13625059500000702</c:v>
                      </c:pt>
                      <c:pt idx="16">
                        <c:v>0.13421419000000157</c:v>
                      </c:pt>
                      <c:pt idx="17">
                        <c:v>0.13217778499999611</c:v>
                      </c:pt>
                      <c:pt idx="18">
                        <c:v>0.13014138000000486</c:v>
                      </c:pt>
                      <c:pt idx="19">
                        <c:v>0.1281049749999994</c:v>
                      </c:pt>
                      <c:pt idx="20">
                        <c:v>0.12606856999999394</c:v>
                      </c:pt>
                      <c:pt idx="21">
                        <c:v>0.12403216500000269</c:v>
                      </c:pt>
                      <c:pt idx="22">
                        <c:v>0.12199575999999013</c:v>
                      </c:pt>
                      <c:pt idx="23">
                        <c:v>0.11995935499999888</c:v>
                      </c:pt>
                      <c:pt idx="24">
                        <c:v>0.11792294999999342</c:v>
                      </c:pt>
                      <c:pt idx="25">
                        <c:v>0.11588654499999507</c:v>
                      </c:pt>
                      <c:pt idx="26">
                        <c:v>0.11385014000000382</c:v>
                      </c:pt>
                      <c:pt idx="27">
                        <c:v>0.11181373499999836</c:v>
                      </c:pt>
                      <c:pt idx="28">
                        <c:v>0.10977733000000711</c:v>
                      </c:pt>
                      <c:pt idx="29">
                        <c:v>0.10774092499999455</c:v>
                      </c:pt>
                      <c:pt idx="30">
                        <c:v>0.1057045200000033</c:v>
                      </c:pt>
                      <c:pt idx="31">
                        <c:v>0.10366811499999784</c:v>
                      </c:pt>
                      <c:pt idx="32">
                        <c:v>0.10163170999999949</c:v>
                      </c:pt>
                      <c:pt idx="33">
                        <c:v>9.9595304999994028E-2</c:v>
                      </c:pt>
                      <c:pt idx="34">
                        <c:v>9.7558899999995674E-2</c:v>
                      </c:pt>
                      <c:pt idx="35">
                        <c:v>9.5522494999990215E-2</c:v>
                      </c:pt>
                      <c:pt idx="36">
                        <c:v>9.3486090000006072E-2</c:v>
                      </c:pt>
                      <c:pt idx="37">
                        <c:v>9.1449685000007719E-2</c:v>
                      </c:pt>
                      <c:pt idx="38">
                        <c:v>8.941328000000226E-2</c:v>
                      </c:pt>
                      <c:pt idx="39">
                        <c:v>8.7376875000011012E-2</c:v>
                      </c:pt>
                      <c:pt idx="40">
                        <c:v>8.5340469999998447E-2</c:v>
                      </c:pt>
                      <c:pt idx="41">
                        <c:v>8.3304065000000094E-2</c:v>
                      </c:pt>
                      <c:pt idx="42">
                        <c:v>8.126766000000174E-2</c:v>
                      </c:pt>
                      <c:pt idx="43">
                        <c:v>7.9231254999996281E-2</c:v>
                      </c:pt>
                      <c:pt idx="44">
                        <c:v>7.7194849999990822E-2</c:v>
                      </c:pt>
                      <c:pt idx="45">
                        <c:v>7.5158444999999574E-2</c:v>
                      </c:pt>
                      <c:pt idx="46">
                        <c:v>7.3122040000001221E-2</c:v>
                      </c:pt>
                      <c:pt idx="47">
                        <c:v>7.1085635000002867E-2</c:v>
                      </c:pt>
                      <c:pt idx="48">
                        <c:v>6.9049230000004513E-2</c:v>
                      </c:pt>
                      <c:pt idx="49">
                        <c:v>6.701282500000616E-2</c:v>
                      </c:pt>
                      <c:pt idx="50">
                        <c:v>6.4976420000000701E-2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3BCD-4AB3-8607-1A42AE26C775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グラフ!$P$5</c15:sqref>
                        </c15:formulaRef>
                      </c:ext>
                    </c:extLst>
                    <c:strCache>
                      <c:ptCount val="1"/>
                      <c:pt idx="0">
                        <c:v>締め代：Δ-20℃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グラフ!$P$6:$P$56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0.15736766999999929</c:v>
                      </c:pt>
                      <c:pt idx="1">
                        <c:v>0.15533126500000805</c:v>
                      </c:pt>
                      <c:pt idx="2">
                        <c:v>0.15329486000000259</c:v>
                      </c:pt>
                      <c:pt idx="3">
                        <c:v>0.15125845499999713</c:v>
                      </c:pt>
                      <c:pt idx="4">
                        <c:v>0.14922204999999877</c:v>
                      </c:pt>
                      <c:pt idx="5">
                        <c:v>0.14718564499999331</c:v>
                      </c:pt>
                      <c:pt idx="6">
                        <c:v>0.14514924000000207</c:v>
                      </c:pt>
                      <c:pt idx="7">
                        <c:v>0.14311283499999661</c:v>
                      </c:pt>
                      <c:pt idx="8">
                        <c:v>0.14107642999999825</c:v>
                      </c:pt>
                      <c:pt idx="9">
                        <c:v>0.13904002500000701</c:v>
                      </c:pt>
                      <c:pt idx="10">
                        <c:v>0.13700361999999444</c:v>
                      </c:pt>
                      <c:pt idx="11">
                        <c:v>0.13496721500000319</c:v>
                      </c:pt>
                      <c:pt idx="12">
                        <c:v>0.13293080999999773</c:v>
                      </c:pt>
                      <c:pt idx="13">
                        <c:v>0.13089440499999938</c:v>
                      </c:pt>
                      <c:pt idx="14">
                        <c:v>0.12885800000000103</c:v>
                      </c:pt>
                      <c:pt idx="15">
                        <c:v>0.12682159500000267</c:v>
                      </c:pt>
                      <c:pt idx="16">
                        <c:v>0.12478519000000432</c:v>
                      </c:pt>
                      <c:pt idx="17">
                        <c:v>0.12274878499999886</c:v>
                      </c:pt>
                      <c:pt idx="18">
                        <c:v>0.12071238000000051</c:v>
                      </c:pt>
                      <c:pt idx="19">
                        <c:v>0.11867597500000215</c:v>
                      </c:pt>
                      <c:pt idx="20">
                        <c:v>0.11663956999998959</c:v>
                      </c:pt>
                      <c:pt idx="21">
                        <c:v>0.11460316499999834</c:v>
                      </c:pt>
                      <c:pt idx="22">
                        <c:v>0.11256675999999288</c:v>
                      </c:pt>
                      <c:pt idx="23">
                        <c:v>0.11053035499999453</c:v>
                      </c:pt>
                      <c:pt idx="24">
                        <c:v>0.10849394999999618</c:v>
                      </c:pt>
                      <c:pt idx="25">
                        <c:v>0.10645754500000493</c:v>
                      </c:pt>
                      <c:pt idx="26">
                        <c:v>0.10442114000000657</c:v>
                      </c:pt>
                      <c:pt idx="27">
                        <c:v>0.10238473499999401</c:v>
                      </c:pt>
                      <c:pt idx="28">
                        <c:v>0.10034833000000276</c:v>
                      </c:pt>
                      <c:pt idx="29">
                        <c:v>9.8311924999997302E-2</c:v>
                      </c:pt>
                      <c:pt idx="30">
                        <c:v>9.6275519999998949E-2</c:v>
                      </c:pt>
                      <c:pt idx="31">
                        <c:v>9.423911499999349E-2</c:v>
                      </c:pt>
                      <c:pt idx="32">
                        <c:v>9.2202710000002241E-2</c:v>
                      </c:pt>
                      <c:pt idx="33">
                        <c:v>9.0166304999989677E-2</c:v>
                      </c:pt>
                      <c:pt idx="34">
                        <c:v>8.8129900000005534E-2</c:v>
                      </c:pt>
                      <c:pt idx="35">
                        <c:v>8.6093495000000075E-2</c:v>
                      </c:pt>
                      <c:pt idx="36">
                        <c:v>8.4057090000001722E-2</c:v>
                      </c:pt>
                      <c:pt idx="37">
                        <c:v>8.2020685000010474E-2</c:v>
                      </c:pt>
                      <c:pt idx="38">
                        <c:v>7.9984279999997909E-2</c:v>
                      </c:pt>
                      <c:pt idx="39">
                        <c:v>7.7947875000006661E-2</c:v>
                      </c:pt>
                      <c:pt idx="40">
                        <c:v>7.5911470000001202E-2</c:v>
                      </c:pt>
                      <c:pt idx="41">
                        <c:v>7.3875064999995743E-2</c:v>
                      </c:pt>
                      <c:pt idx="42">
                        <c:v>7.183865999999739E-2</c:v>
                      </c:pt>
                      <c:pt idx="43">
                        <c:v>6.9802254999999036E-2</c:v>
                      </c:pt>
                      <c:pt idx="44">
                        <c:v>6.7765850000000682E-2</c:v>
                      </c:pt>
                      <c:pt idx="45">
                        <c:v>6.5729445000002329E-2</c:v>
                      </c:pt>
                      <c:pt idx="46">
                        <c:v>6.369303999999687E-2</c:v>
                      </c:pt>
                      <c:pt idx="47">
                        <c:v>6.1656635000005622E-2</c:v>
                      </c:pt>
                      <c:pt idx="48">
                        <c:v>5.9620230000000163E-2</c:v>
                      </c:pt>
                      <c:pt idx="49">
                        <c:v>5.7583825000001809E-2</c:v>
                      </c:pt>
                      <c:pt idx="50">
                        <c:v>5.5547420000003456E-2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BCD-4AB3-8607-1A42AE26C775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グラフ!$Q$5</c15:sqref>
                        </c15:formulaRef>
                      </c:ext>
                    </c:extLst>
                    <c:strCache>
                      <c:ptCount val="1"/>
                      <c:pt idx="0">
                        <c:v>締め代：Δ-10℃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グラフ!$Q$6:$Q$56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0.14793867000000205</c:v>
                      </c:pt>
                      <c:pt idx="1">
                        <c:v>0.14590226500000369</c:v>
                      </c:pt>
                      <c:pt idx="2">
                        <c:v>0.14386586000000534</c:v>
                      </c:pt>
                      <c:pt idx="3">
                        <c:v>0.14182945499999278</c:v>
                      </c:pt>
                      <c:pt idx="4">
                        <c:v>0.13979305000000153</c:v>
                      </c:pt>
                      <c:pt idx="5">
                        <c:v>0.13775664499999607</c:v>
                      </c:pt>
                      <c:pt idx="6">
                        <c:v>0.13572023999999772</c:v>
                      </c:pt>
                      <c:pt idx="7">
                        <c:v>0.13368383499999936</c:v>
                      </c:pt>
                      <c:pt idx="8">
                        <c:v>0.1316474299999939</c:v>
                      </c:pt>
                      <c:pt idx="9">
                        <c:v>0.12961102500000976</c:v>
                      </c:pt>
                      <c:pt idx="10">
                        <c:v>0.1275746199999972</c:v>
                      </c:pt>
                      <c:pt idx="11">
                        <c:v>0.12553821499999884</c:v>
                      </c:pt>
                      <c:pt idx="12">
                        <c:v>0.12350181000000049</c:v>
                      </c:pt>
                      <c:pt idx="13">
                        <c:v>0.12146540499999503</c:v>
                      </c:pt>
                      <c:pt idx="14">
                        <c:v>0.11942900000000378</c:v>
                      </c:pt>
                      <c:pt idx="15">
                        <c:v>0.11739259500000543</c:v>
                      </c:pt>
                      <c:pt idx="16">
                        <c:v>0.11535618999999997</c:v>
                      </c:pt>
                      <c:pt idx="17">
                        <c:v>0.11331978500000162</c:v>
                      </c:pt>
                      <c:pt idx="18">
                        <c:v>0.11128337999999616</c:v>
                      </c:pt>
                      <c:pt idx="19">
                        <c:v>0.1092469749999978</c:v>
                      </c:pt>
                      <c:pt idx="20">
                        <c:v>0.10721056999999234</c:v>
                      </c:pt>
                      <c:pt idx="21">
                        <c:v>0.10517416499999399</c:v>
                      </c:pt>
                      <c:pt idx="22">
                        <c:v>0.10313775999999564</c:v>
                      </c:pt>
                      <c:pt idx="23">
                        <c:v>0.10110135500000439</c:v>
                      </c:pt>
                      <c:pt idx="24">
                        <c:v>9.906494999999893E-2</c:v>
                      </c:pt>
                      <c:pt idx="25">
                        <c:v>9.7028545000000577E-2</c:v>
                      </c:pt>
                      <c:pt idx="26">
                        <c:v>9.4992140000002223E-2</c:v>
                      </c:pt>
                      <c:pt idx="27">
                        <c:v>9.2955734999996764E-2</c:v>
                      </c:pt>
                      <c:pt idx="28">
                        <c:v>9.0919329999998411E-2</c:v>
                      </c:pt>
                      <c:pt idx="29">
                        <c:v>8.8882924999992952E-2</c:v>
                      </c:pt>
                      <c:pt idx="30">
                        <c:v>8.6846520000001703E-2</c:v>
                      </c:pt>
                      <c:pt idx="31">
                        <c:v>8.4810114999989139E-2</c:v>
                      </c:pt>
                      <c:pt idx="32">
                        <c:v>8.2773710000012102E-2</c:v>
                      </c:pt>
                      <c:pt idx="33">
                        <c:v>8.0737304999999537E-2</c:v>
                      </c:pt>
                      <c:pt idx="34">
                        <c:v>7.8700900000001184E-2</c:v>
                      </c:pt>
                      <c:pt idx="35">
                        <c:v>7.666449500000283E-2</c:v>
                      </c:pt>
                      <c:pt idx="36">
                        <c:v>7.4628089999997371E-2</c:v>
                      </c:pt>
                      <c:pt idx="37">
                        <c:v>7.2591685000006123E-2</c:v>
                      </c:pt>
                      <c:pt idx="38">
                        <c:v>7.0555280000000664E-2</c:v>
                      </c:pt>
                      <c:pt idx="39">
                        <c:v>6.8518875000002311E-2</c:v>
                      </c:pt>
                      <c:pt idx="40">
                        <c:v>6.6482469999996852E-2</c:v>
                      </c:pt>
                      <c:pt idx="41">
                        <c:v>6.4446064999998498E-2</c:v>
                      </c:pt>
                      <c:pt idx="42">
                        <c:v>6.240966000000725E-2</c:v>
                      </c:pt>
                      <c:pt idx="43">
                        <c:v>6.0373255000001791E-2</c:v>
                      </c:pt>
                      <c:pt idx="44">
                        <c:v>5.8336849999996332E-2</c:v>
                      </c:pt>
                      <c:pt idx="45">
                        <c:v>5.6300445000005084E-2</c:v>
                      </c:pt>
                      <c:pt idx="46">
                        <c:v>5.4264039999992519E-2</c:v>
                      </c:pt>
                      <c:pt idx="47">
                        <c:v>5.2227635000001271E-2</c:v>
                      </c:pt>
                      <c:pt idx="48">
                        <c:v>5.0191230000002918E-2</c:v>
                      </c:pt>
                      <c:pt idx="49">
                        <c:v>4.8154824999997459E-2</c:v>
                      </c:pt>
                      <c:pt idx="50">
                        <c:v>4.6118419999999105E-2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BCD-4AB3-8607-1A42AE26C775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グラフ!$R$5</c15:sqref>
                        </c15:formulaRef>
                      </c:ext>
                    </c:extLst>
                    <c:strCache>
                      <c:ptCount val="1"/>
                      <c:pt idx="0">
                        <c:v>締め代：Δ0℃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グラフ!$R$6:$R$56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0.1385096700000048</c:v>
                      </c:pt>
                      <c:pt idx="1">
                        <c:v>0.13647326499999934</c:v>
                      </c:pt>
                      <c:pt idx="2">
                        <c:v>0.1344368600000081</c:v>
                      </c:pt>
                      <c:pt idx="3">
                        <c:v>0.13240045499999553</c:v>
                      </c:pt>
                      <c:pt idx="4">
                        <c:v>0.13036404999999718</c:v>
                      </c:pt>
                      <c:pt idx="5">
                        <c:v>0.12832764499999882</c:v>
                      </c:pt>
                      <c:pt idx="6">
                        <c:v>0.12629123999999337</c:v>
                      </c:pt>
                      <c:pt idx="7">
                        <c:v>0.12425483500000212</c:v>
                      </c:pt>
                      <c:pt idx="8">
                        <c:v>0.12221842999999666</c:v>
                      </c:pt>
                      <c:pt idx="9">
                        <c:v>0.12018202500000541</c:v>
                      </c:pt>
                      <c:pt idx="10">
                        <c:v>0.11814561999999995</c:v>
                      </c:pt>
                      <c:pt idx="11">
                        <c:v>0.11610921499999449</c:v>
                      </c:pt>
                      <c:pt idx="12">
                        <c:v>0.11407281000000324</c:v>
                      </c:pt>
                      <c:pt idx="13">
                        <c:v>0.11203640499999779</c:v>
                      </c:pt>
                      <c:pt idx="14">
                        <c:v>0.10999999999999943</c:v>
                      </c:pt>
                      <c:pt idx="15">
                        <c:v>0.10796359500000818</c:v>
                      </c:pt>
                      <c:pt idx="16">
                        <c:v>0.10592718999999562</c:v>
                      </c:pt>
                      <c:pt idx="17">
                        <c:v>0.10389078499999727</c:v>
                      </c:pt>
                      <c:pt idx="18">
                        <c:v>0.10185437999999891</c:v>
                      </c:pt>
                      <c:pt idx="19">
                        <c:v>9.9817974999993453E-2</c:v>
                      </c:pt>
                      <c:pt idx="20">
                        <c:v>9.7781569999995099E-2</c:v>
                      </c:pt>
                      <c:pt idx="21">
                        <c:v>9.5745165000003851E-2</c:v>
                      </c:pt>
                      <c:pt idx="22">
                        <c:v>9.3708759999998392E-2</c:v>
                      </c:pt>
                      <c:pt idx="23">
                        <c:v>9.1672355000000039E-2</c:v>
                      </c:pt>
                      <c:pt idx="24">
                        <c:v>8.963594999999458E-2</c:v>
                      </c:pt>
                      <c:pt idx="25">
                        <c:v>8.7599545000003332E-2</c:v>
                      </c:pt>
                      <c:pt idx="26">
                        <c:v>8.5563139999997873E-2</c:v>
                      </c:pt>
                      <c:pt idx="27">
                        <c:v>8.3526734999992414E-2</c:v>
                      </c:pt>
                      <c:pt idx="28">
                        <c:v>8.1490330000001165E-2</c:v>
                      </c:pt>
                      <c:pt idx="29">
                        <c:v>7.9453924999988601E-2</c:v>
                      </c:pt>
                      <c:pt idx="30">
                        <c:v>7.7417520000011564E-2</c:v>
                      </c:pt>
                      <c:pt idx="31">
                        <c:v>7.5381114999998999E-2</c:v>
                      </c:pt>
                      <c:pt idx="32">
                        <c:v>7.3344710000007751E-2</c:v>
                      </c:pt>
                      <c:pt idx="33">
                        <c:v>7.1308305000002292E-2</c:v>
                      </c:pt>
                      <c:pt idx="34">
                        <c:v>6.9271899999996833E-2</c:v>
                      </c:pt>
                      <c:pt idx="35">
                        <c:v>6.723549499999848E-2</c:v>
                      </c:pt>
                      <c:pt idx="36">
                        <c:v>6.5199090000000126E-2</c:v>
                      </c:pt>
                      <c:pt idx="37">
                        <c:v>6.3162685000001773E-2</c:v>
                      </c:pt>
                      <c:pt idx="38">
                        <c:v>6.1126279999996314E-2</c:v>
                      </c:pt>
                      <c:pt idx="39">
                        <c:v>5.9089875000005065E-2</c:v>
                      </c:pt>
                      <c:pt idx="40">
                        <c:v>5.7053470000006712E-2</c:v>
                      </c:pt>
                      <c:pt idx="41">
                        <c:v>5.5017065000001253E-2</c:v>
                      </c:pt>
                      <c:pt idx="42">
                        <c:v>5.2980660000002899E-2</c:v>
                      </c:pt>
                      <c:pt idx="43">
                        <c:v>5.0944255000004546E-2</c:v>
                      </c:pt>
                      <c:pt idx="44">
                        <c:v>4.8907849999991981E-2</c:v>
                      </c:pt>
                      <c:pt idx="45">
                        <c:v>4.6871445000000733E-2</c:v>
                      </c:pt>
                      <c:pt idx="46">
                        <c:v>4.4835039999995274E-2</c:v>
                      </c:pt>
                      <c:pt idx="47">
                        <c:v>4.2798634999996921E-2</c:v>
                      </c:pt>
                      <c:pt idx="48">
                        <c:v>4.0762229999998567E-2</c:v>
                      </c:pt>
                      <c:pt idx="49">
                        <c:v>3.8725825000000214E-2</c:v>
                      </c:pt>
                      <c:pt idx="50">
                        <c:v>3.6689420000008965E-2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BCD-4AB3-8607-1A42AE26C775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グラフ!$S$5</c15:sqref>
                        </c15:formulaRef>
                      </c:ext>
                    </c:extLst>
                    <c:strCache>
                      <c:ptCount val="1"/>
                      <c:pt idx="0">
                        <c:v>締め代：Δ+10℃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グラフ!$S$6:$S$56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0.12908067000000756</c:v>
                      </c:pt>
                      <c:pt idx="1">
                        <c:v>0.1270442650000021</c:v>
                      </c:pt>
                      <c:pt idx="2">
                        <c:v>0.12500786000000375</c:v>
                      </c:pt>
                      <c:pt idx="3">
                        <c:v>0.12297145499999829</c:v>
                      </c:pt>
                      <c:pt idx="4">
                        <c:v>0.12093504999999283</c:v>
                      </c:pt>
                      <c:pt idx="5">
                        <c:v>0.11889864500000158</c:v>
                      </c:pt>
                      <c:pt idx="6">
                        <c:v>0.11686223999999612</c:v>
                      </c:pt>
                      <c:pt idx="7">
                        <c:v>0.11482583499999777</c:v>
                      </c:pt>
                      <c:pt idx="8">
                        <c:v>0.11278942999999941</c:v>
                      </c:pt>
                      <c:pt idx="9">
                        <c:v>0.11075302500000106</c:v>
                      </c:pt>
                      <c:pt idx="10">
                        <c:v>0.10871662000000271</c:v>
                      </c:pt>
                      <c:pt idx="11">
                        <c:v>0.10668021499999725</c:v>
                      </c:pt>
                      <c:pt idx="12">
                        <c:v>0.10464380999999889</c:v>
                      </c:pt>
                      <c:pt idx="13">
                        <c:v>0.10260740500000054</c:v>
                      </c:pt>
                      <c:pt idx="14">
                        <c:v>0.10057099999999508</c:v>
                      </c:pt>
                      <c:pt idx="15">
                        <c:v>9.8534595000003833E-2</c:v>
                      </c:pt>
                      <c:pt idx="16">
                        <c:v>9.6498189999998374E-2</c:v>
                      </c:pt>
                      <c:pt idx="17">
                        <c:v>9.4461784999992915E-2</c:v>
                      </c:pt>
                      <c:pt idx="18">
                        <c:v>9.2425380000001667E-2</c:v>
                      </c:pt>
                      <c:pt idx="19">
                        <c:v>9.0388975000003313E-2</c:v>
                      </c:pt>
                      <c:pt idx="20">
                        <c:v>8.8352569999997854E-2</c:v>
                      </c:pt>
                      <c:pt idx="21">
                        <c:v>8.6316164999999501E-2</c:v>
                      </c:pt>
                      <c:pt idx="22">
                        <c:v>8.4279759999994042E-2</c:v>
                      </c:pt>
                      <c:pt idx="23">
                        <c:v>8.2243355000002794E-2</c:v>
                      </c:pt>
                      <c:pt idx="24">
                        <c:v>8.0206949999990229E-2</c:v>
                      </c:pt>
                      <c:pt idx="25">
                        <c:v>7.8170544999998981E-2</c:v>
                      </c:pt>
                      <c:pt idx="26">
                        <c:v>7.6134140000000627E-2</c:v>
                      </c:pt>
                      <c:pt idx="27">
                        <c:v>7.4097734999988063E-2</c:v>
                      </c:pt>
                      <c:pt idx="28">
                        <c:v>7.2061330000011026E-2</c:v>
                      </c:pt>
                      <c:pt idx="29">
                        <c:v>7.0024924999998461E-2</c:v>
                      </c:pt>
                      <c:pt idx="30">
                        <c:v>6.7988520000007213E-2</c:v>
                      </c:pt>
                      <c:pt idx="31">
                        <c:v>6.5952115000001754E-2</c:v>
                      </c:pt>
                      <c:pt idx="32">
                        <c:v>6.3915710000003401E-2</c:v>
                      </c:pt>
                      <c:pt idx="33">
                        <c:v>6.1879304999997942E-2</c:v>
                      </c:pt>
                      <c:pt idx="34">
                        <c:v>5.9842899999999588E-2</c:v>
                      </c:pt>
                      <c:pt idx="35">
                        <c:v>5.7806494999994129E-2</c:v>
                      </c:pt>
                      <c:pt idx="36">
                        <c:v>5.5770089999995776E-2</c:v>
                      </c:pt>
                      <c:pt idx="37">
                        <c:v>5.3733685000004527E-2</c:v>
                      </c:pt>
                      <c:pt idx="38">
                        <c:v>5.1697280000006174E-2</c:v>
                      </c:pt>
                      <c:pt idx="39">
                        <c:v>4.966087500000782E-2</c:v>
                      </c:pt>
                      <c:pt idx="40">
                        <c:v>4.7624470000002361E-2</c:v>
                      </c:pt>
                      <c:pt idx="41">
                        <c:v>4.5588065000004008E-2</c:v>
                      </c:pt>
                      <c:pt idx="42">
                        <c:v>4.3551659999998549E-2</c:v>
                      </c:pt>
                      <c:pt idx="43">
                        <c:v>4.1515255000000195E-2</c:v>
                      </c:pt>
                      <c:pt idx="44">
                        <c:v>3.9478849999994736E-2</c:v>
                      </c:pt>
                      <c:pt idx="45">
                        <c:v>3.7442444999996383E-2</c:v>
                      </c:pt>
                      <c:pt idx="46">
                        <c:v>3.5406039999990924E-2</c:v>
                      </c:pt>
                      <c:pt idx="47">
                        <c:v>3.3369634999999676E-2</c:v>
                      </c:pt>
                      <c:pt idx="48">
                        <c:v>3.1333230000008427E-2</c:v>
                      </c:pt>
                      <c:pt idx="49">
                        <c:v>2.9296825000002968E-2</c:v>
                      </c:pt>
                      <c:pt idx="50">
                        <c:v>2.7260420000004615E-2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BCD-4AB3-8607-1A42AE26C775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グラフ!$T$5</c15:sqref>
                        </c15:formulaRef>
                      </c:ext>
                    </c:extLst>
                    <c:strCache>
                      <c:ptCount val="1"/>
                      <c:pt idx="0">
                        <c:v>締め代：Δ+20℃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グラフ!$T$6:$T$56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0.11965167000000321</c:v>
                      </c:pt>
                      <c:pt idx="1">
                        <c:v>0.11761526500000485</c:v>
                      </c:pt>
                      <c:pt idx="2">
                        <c:v>0.11557885999999939</c:v>
                      </c:pt>
                      <c:pt idx="3">
                        <c:v>0.11354245500000104</c:v>
                      </c:pt>
                      <c:pt idx="4">
                        <c:v>0.11150604999999558</c:v>
                      </c:pt>
                      <c:pt idx="5">
                        <c:v>0.10946964499999723</c:v>
                      </c:pt>
                      <c:pt idx="6">
                        <c:v>0.10743323999999888</c:v>
                      </c:pt>
                      <c:pt idx="7">
                        <c:v>0.10539683499999342</c:v>
                      </c:pt>
                      <c:pt idx="8">
                        <c:v>0.10336043000000217</c:v>
                      </c:pt>
                      <c:pt idx="9">
                        <c:v>0.10132402500000381</c:v>
                      </c:pt>
                      <c:pt idx="10">
                        <c:v>9.9287619999998356E-2</c:v>
                      </c:pt>
                      <c:pt idx="11">
                        <c:v>9.7251215000000002E-2</c:v>
                      </c:pt>
                      <c:pt idx="12">
                        <c:v>9.5214809999994543E-2</c:v>
                      </c:pt>
                      <c:pt idx="13">
                        <c:v>9.3178404999996189E-2</c:v>
                      </c:pt>
                      <c:pt idx="14">
                        <c:v>9.1141999999997836E-2</c:v>
                      </c:pt>
                      <c:pt idx="15">
                        <c:v>8.9105594999999482E-2</c:v>
                      </c:pt>
                      <c:pt idx="16">
                        <c:v>8.7069190000001129E-2</c:v>
                      </c:pt>
                      <c:pt idx="17">
                        <c:v>8.5032785000002775E-2</c:v>
                      </c:pt>
                      <c:pt idx="18">
                        <c:v>8.2996380000004422E-2</c:v>
                      </c:pt>
                      <c:pt idx="19">
                        <c:v>8.0959974999998963E-2</c:v>
                      </c:pt>
                      <c:pt idx="20">
                        <c:v>7.8923569999993504E-2</c:v>
                      </c:pt>
                      <c:pt idx="21">
                        <c:v>7.6887165000002256E-2</c:v>
                      </c:pt>
                      <c:pt idx="22">
                        <c:v>7.4850759999989691E-2</c:v>
                      </c:pt>
                      <c:pt idx="23">
                        <c:v>7.2814354999998443E-2</c:v>
                      </c:pt>
                      <c:pt idx="24">
                        <c:v>7.0777949999992984E-2</c:v>
                      </c:pt>
                      <c:pt idx="25">
                        <c:v>6.874154499999463E-2</c:v>
                      </c:pt>
                      <c:pt idx="26">
                        <c:v>6.6705140000010488E-2</c:v>
                      </c:pt>
                      <c:pt idx="27">
                        <c:v>6.4668734999997923E-2</c:v>
                      </c:pt>
                      <c:pt idx="28">
                        <c:v>6.2632330000006675E-2</c:v>
                      </c:pt>
                      <c:pt idx="29">
                        <c:v>6.0595925000001216E-2</c:v>
                      </c:pt>
                      <c:pt idx="30">
                        <c:v>5.8559520000002863E-2</c:v>
                      </c:pt>
                      <c:pt idx="31">
                        <c:v>5.6523114999997404E-2</c:v>
                      </c:pt>
                      <c:pt idx="32">
                        <c:v>5.4486710000006155E-2</c:v>
                      </c:pt>
                      <c:pt idx="33">
                        <c:v>5.2450304999993591E-2</c:v>
                      </c:pt>
                      <c:pt idx="34">
                        <c:v>5.0413899999995238E-2</c:v>
                      </c:pt>
                      <c:pt idx="35">
                        <c:v>4.8377494999996884E-2</c:v>
                      </c:pt>
                      <c:pt idx="36">
                        <c:v>4.6341090000005636E-2</c:v>
                      </c:pt>
                      <c:pt idx="37">
                        <c:v>4.4304685000007282E-2</c:v>
                      </c:pt>
                      <c:pt idx="38">
                        <c:v>4.2268280000001823E-2</c:v>
                      </c:pt>
                      <c:pt idx="39">
                        <c:v>4.0231875000010575E-2</c:v>
                      </c:pt>
                      <c:pt idx="40">
                        <c:v>3.8195469999998011E-2</c:v>
                      </c:pt>
                      <c:pt idx="41">
                        <c:v>3.6159064999999657E-2</c:v>
                      </c:pt>
                      <c:pt idx="42">
                        <c:v>3.4122660000001304E-2</c:v>
                      </c:pt>
                      <c:pt idx="43">
                        <c:v>3.2086254999995845E-2</c:v>
                      </c:pt>
                      <c:pt idx="44">
                        <c:v>3.0049849999990386E-2</c:v>
                      </c:pt>
                      <c:pt idx="45">
                        <c:v>2.8013444999999138E-2</c:v>
                      </c:pt>
                      <c:pt idx="46">
                        <c:v>2.5977040000000784E-2</c:v>
                      </c:pt>
                      <c:pt idx="47">
                        <c:v>2.394063500000243E-2</c:v>
                      </c:pt>
                      <c:pt idx="48">
                        <c:v>2.1904230000004077E-2</c:v>
                      </c:pt>
                      <c:pt idx="49">
                        <c:v>1.9867825000005723E-2</c:v>
                      </c:pt>
                      <c:pt idx="50">
                        <c:v>1.7831420000000264E-2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BCD-4AB3-8607-1A42AE26C775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グラフ!$U$5</c15:sqref>
                        </c15:formulaRef>
                      </c:ext>
                    </c:extLst>
                    <c:strCache>
                      <c:ptCount val="1"/>
                      <c:pt idx="0">
                        <c:v>締め代：Δ+30℃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グラフ!$U$6:$U$56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0.11022266999999886</c:v>
                      </c:pt>
                      <c:pt idx="1">
                        <c:v>0.10818626500000761</c:v>
                      </c:pt>
                      <c:pt idx="2">
                        <c:v>0.10614986000000215</c:v>
                      </c:pt>
                      <c:pt idx="3">
                        <c:v>0.10411345499999669</c:v>
                      </c:pt>
                      <c:pt idx="4">
                        <c:v>0.10207704999999834</c:v>
                      </c:pt>
                      <c:pt idx="5">
                        <c:v>0.10004064499999288</c:v>
                      </c:pt>
                      <c:pt idx="6">
                        <c:v>9.800424000000163E-2</c:v>
                      </c:pt>
                      <c:pt idx="7">
                        <c:v>9.5967834999996171E-2</c:v>
                      </c:pt>
                      <c:pt idx="8">
                        <c:v>9.3931429999997818E-2</c:v>
                      </c:pt>
                      <c:pt idx="9">
                        <c:v>9.1895025000006569E-2</c:v>
                      </c:pt>
                      <c:pt idx="10">
                        <c:v>8.9858619999994005E-2</c:v>
                      </c:pt>
                      <c:pt idx="11">
                        <c:v>8.7822214999995651E-2</c:v>
                      </c:pt>
                      <c:pt idx="12">
                        <c:v>8.5785809999997298E-2</c:v>
                      </c:pt>
                      <c:pt idx="13">
                        <c:v>8.3749404999991839E-2</c:v>
                      </c:pt>
                      <c:pt idx="14">
                        <c:v>8.1713000000000591E-2</c:v>
                      </c:pt>
                      <c:pt idx="15">
                        <c:v>7.9676595000009343E-2</c:v>
                      </c:pt>
                      <c:pt idx="16">
                        <c:v>7.7640190000003884E-2</c:v>
                      </c:pt>
                      <c:pt idx="17">
                        <c:v>7.5603784999998425E-2</c:v>
                      </c:pt>
                      <c:pt idx="18">
                        <c:v>7.3567380000000071E-2</c:v>
                      </c:pt>
                      <c:pt idx="19">
                        <c:v>7.1530975000001717E-2</c:v>
                      </c:pt>
                      <c:pt idx="20">
                        <c:v>6.9494569999989153E-2</c:v>
                      </c:pt>
                      <c:pt idx="21">
                        <c:v>6.7458164999997905E-2</c:v>
                      </c:pt>
                      <c:pt idx="22">
                        <c:v>6.5421759999992446E-2</c:v>
                      </c:pt>
                      <c:pt idx="23">
                        <c:v>6.3385354999994092E-2</c:v>
                      </c:pt>
                      <c:pt idx="24">
                        <c:v>6.1348950000002844E-2</c:v>
                      </c:pt>
                      <c:pt idx="25">
                        <c:v>5.9312545000004491E-2</c:v>
                      </c:pt>
                      <c:pt idx="26">
                        <c:v>5.7276140000006137E-2</c:v>
                      </c:pt>
                      <c:pt idx="27">
                        <c:v>5.5239735000000678E-2</c:v>
                      </c:pt>
                      <c:pt idx="28">
                        <c:v>5.3203330000002325E-2</c:v>
                      </c:pt>
                      <c:pt idx="29">
                        <c:v>5.1166924999996866E-2</c:v>
                      </c:pt>
                      <c:pt idx="30">
                        <c:v>4.9130520000005617E-2</c:v>
                      </c:pt>
                      <c:pt idx="31">
                        <c:v>4.7094114999993053E-2</c:v>
                      </c:pt>
                      <c:pt idx="32">
                        <c:v>4.5057710000001805E-2</c:v>
                      </c:pt>
                      <c:pt idx="33">
                        <c:v>4.3021304999996346E-2</c:v>
                      </c:pt>
                      <c:pt idx="34">
                        <c:v>4.0984900000005098E-2</c:v>
                      </c:pt>
                      <c:pt idx="35">
                        <c:v>3.8948494999999639E-2</c:v>
                      </c:pt>
                      <c:pt idx="36">
                        <c:v>3.6912090000001285E-2</c:v>
                      </c:pt>
                      <c:pt idx="37">
                        <c:v>3.4875685000010037E-2</c:v>
                      </c:pt>
                      <c:pt idx="38">
                        <c:v>3.2839279999997473E-2</c:v>
                      </c:pt>
                      <c:pt idx="39">
                        <c:v>3.0802875000006225E-2</c:v>
                      </c:pt>
                      <c:pt idx="40">
                        <c:v>2.8766470000000766E-2</c:v>
                      </c:pt>
                      <c:pt idx="41">
                        <c:v>2.6730064999995307E-2</c:v>
                      </c:pt>
                      <c:pt idx="42">
                        <c:v>2.4693659999996953E-2</c:v>
                      </c:pt>
                      <c:pt idx="43">
                        <c:v>2.2657254999998599E-2</c:v>
                      </c:pt>
                      <c:pt idx="44">
                        <c:v>2.0620850000000246E-2</c:v>
                      </c:pt>
                      <c:pt idx="45">
                        <c:v>1.8584445000001892E-2</c:v>
                      </c:pt>
                      <c:pt idx="46">
                        <c:v>1.6548039999996433E-2</c:v>
                      </c:pt>
                      <c:pt idx="47">
                        <c:v>1.4511635000005185E-2</c:v>
                      </c:pt>
                      <c:pt idx="48">
                        <c:v>1.2475229999999726E-2</c:v>
                      </c:pt>
                      <c:pt idx="49">
                        <c:v>1.0438825000001373E-2</c:v>
                      </c:pt>
                      <c:pt idx="50">
                        <c:v>8.4024200000030191E-3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BCD-4AB3-8607-1A42AE26C775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グラフ!$V$5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グラフ!$V$6:$V$56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87.419322699883182</c:v>
                      </c:pt>
                      <c:pt idx="1">
                        <c:v>86.352028335774293</c:v>
                      </c:pt>
                      <c:pt idx="2">
                        <c:v>85.284733971669127</c:v>
                      </c:pt>
                      <c:pt idx="3">
                        <c:v>84.217439607563975</c:v>
                      </c:pt>
                      <c:pt idx="4">
                        <c:v>83.1501452434551</c:v>
                      </c:pt>
                      <c:pt idx="5">
                        <c:v>82.082850879349934</c:v>
                      </c:pt>
                      <c:pt idx="6">
                        <c:v>81.015556515244782</c:v>
                      </c:pt>
                      <c:pt idx="7">
                        <c:v>79.948262151135907</c:v>
                      </c:pt>
                      <c:pt idx="8">
                        <c:v>78.880967787034479</c:v>
                      </c:pt>
                      <c:pt idx="9">
                        <c:v>77.813673422929313</c:v>
                      </c:pt>
                      <c:pt idx="10">
                        <c:v>76.746379058820423</c:v>
                      </c:pt>
                      <c:pt idx="11">
                        <c:v>75.679084694715272</c:v>
                      </c:pt>
                      <c:pt idx="12">
                        <c:v>74.611790330606397</c:v>
                      </c:pt>
                      <c:pt idx="13">
                        <c:v>73.544495966504954</c:v>
                      </c:pt>
                      <c:pt idx="14">
                        <c:v>72.477201602396079</c:v>
                      </c:pt>
                      <c:pt idx="15">
                        <c:v>71.40990723829465</c:v>
                      </c:pt>
                      <c:pt idx="16">
                        <c:v>70.342612874185761</c:v>
                      </c:pt>
                      <c:pt idx="17">
                        <c:v>69.275318510076872</c:v>
                      </c:pt>
                      <c:pt idx="18">
                        <c:v>68.208024145975443</c:v>
                      </c:pt>
                      <c:pt idx="19">
                        <c:v>67.140729781866568</c:v>
                      </c:pt>
                      <c:pt idx="20">
                        <c:v>66.073435417757693</c:v>
                      </c:pt>
                      <c:pt idx="21">
                        <c:v>65.006141053656251</c:v>
                      </c:pt>
                      <c:pt idx="22">
                        <c:v>63.938846689543645</c:v>
                      </c:pt>
                      <c:pt idx="23">
                        <c:v>62.87155232544221</c:v>
                      </c:pt>
                      <c:pt idx="24">
                        <c:v>61.804257961333327</c:v>
                      </c:pt>
                      <c:pt idx="25">
                        <c:v>60.736963597228176</c:v>
                      </c:pt>
                      <c:pt idx="26">
                        <c:v>59.66966923312674</c:v>
                      </c:pt>
                      <c:pt idx="27">
                        <c:v>58.602374869017865</c:v>
                      </c:pt>
                      <c:pt idx="28">
                        <c:v>57.535080504916429</c:v>
                      </c:pt>
                      <c:pt idx="29">
                        <c:v>56.467786140803817</c:v>
                      </c:pt>
                      <c:pt idx="30">
                        <c:v>55.400491776702381</c:v>
                      </c:pt>
                      <c:pt idx="31">
                        <c:v>54.333197412593506</c:v>
                      </c:pt>
                      <c:pt idx="32">
                        <c:v>53.265903048488347</c:v>
                      </c:pt>
                      <c:pt idx="33">
                        <c:v>52.198608684379472</c:v>
                      </c:pt>
                      <c:pt idx="34">
                        <c:v>51.131314320274306</c:v>
                      </c:pt>
                      <c:pt idx="35">
                        <c:v>50.064019956165424</c:v>
                      </c:pt>
                      <c:pt idx="36">
                        <c:v>48.996725592067712</c:v>
                      </c:pt>
                      <c:pt idx="37">
                        <c:v>47.92943122796256</c:v>
                      </c:pt>
                      <c:pt idx="38">
                        <c:v>46.862136863853678</c:v>
                      </c:pt>
                      <c:pt idx="39">
                        <c:v>45.794842499752249</c:v>
                      </c:pt>
                      <c:pt idx="40">
                        <c:v>44.727548135639637</c:v>
                      </c:pt>
                      <c:pt idx="41">
                        <c:v>43.660253771534485</c:v>
                      </c:pt>
                      <c:pt idx="42">
                        <c:v>42.592959407429326</c:v>
                      </c:pt>
                      <c:pt idx="43">
                        <c:v>41.525665043320444</c:v>
                      </c:pt>
                      <c:pt idx="44">
                        <c:v>40.458370679211562</c:v>
                      </c:pt>
                      <c:pt idx="45">
                        <c:v>39.391076315110134</c:v>
                      </c:pt>
                      <c:pt idx="46">
                        <c:v>38.323781951004968</c:v>
                      </c:pt>
                      <c:pt idx="47">
                        <c:v>37.256487586899816</c:v>
                      </c:pt>
                      <c:pt idx="48">
                        <c:v>36.189193222794657</c:v>
                      </c:pt>
                      <c:pt idx="49">
                        <c:v>35.121898858689505</c:v>
                      </c:pt>
                      <c:pt idx="50">
                        <c:v>34.054604494580616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3BCD-4AB3-8607-1A42AE26C775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グラフ!$W$5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グラフ!$W$6:$W$56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82.477516645016735</c:v>
                      </c:pt>
                      <c:pt idx="1">
                        <c:v>81.410222280915292</c:v>
                      </c:pt>
                      <c:pt idx="2">
                        <c:v>80.342927916806403</c:v>
                      </c:pt>
                      <c:pt idx="3">
                        <c:v>79.275633552697528</c:v>
                      </c:pt>
                      <c:pt idx="4">
                        <c:v>78.208339188592376</c:v>
                      </c:pt>
                      <c:pt idx="5">
                        <c:v>77.141044824483501</c:v>
                      </c:pt>
                      <c:pt idx="6">
                        <c:v>76.073750460382058</c:v>
                      </c:pt>
                      <c:pt idx="7">
                        <c:v>75.006456096273169</c:v>
                      </c:pt>
                      <c:pt idx="8">
                        <c:v>73.939161732168017</c:v>
                      </c:pt>
                      <c:pt idx="9">
                        <c:v>72.871867368066589</c:v>
                      </c:pt>
                      <c:pt idx="10">
                        <c:v>71.804573003953976</c:v>
                      </c:pt>
                      <c:pt idx="11">
                        <c:v>70.737278639852548</c:v>
                      </c:pt>
                      <c:pt idx="12">
                        <c:v>69.669984275743673</c:v>
                      </c:pt>
                      <c:pt idx="13">
                        <c:v>68.602689911638507</c:v>
                      </c:pt>
                      <c:pt idx="14">
                        <c:v>67.535395547533341</c:v>
                      </c:pt>
                      <c:pt idx="15">
                        <c:v>66.468101183428189</c:v>
                      </c:pt>
                      <c:pt idx="16">
                        <c:v>65.400806819323037</c:v>
                      </c:pt>
                      <c:pt idx="17">
                        <c:v>64.333512455214162</c:v>
                      </c:pt>
                      <c:pt idx="18">
                        <c:v>63.266218091109003</c:v>
                      </c:pt>
                      <c:pt idx="19">
                        <c:v>62.198923727003844</c:v>
                      </c:pt>
                      <c:pt idx="20">
                        <c:v>61.131629362891232</c:v>
                      </c:pt>
                      <c:pt idx="21">
                        <c:v>60.064334998789796</c:v>
                      </c:pt>
                      <c:pt idx="22">
                        <c:v>58.997040634680921</c:v>
                      </c:pt>
                      <c:pt idx="23">
                        <c:v>57.929746270575762</c:v>
                      </c:pt>
                      <c:pt idx="24">
                        <c:v>56.862451906470611</c:v>
                      </c:pt>
                      <c:pt idx="25">
                        <c:v>55.795157542369175</c:v>
                      </c:pt>
                      <c:pt idx="26">
                        <c:v>54.727863178264016</c:v>
                      </c:pt>
                      <c:pt idx="27">
                        <c:v>53.660568814151404</c:v>
                      </c:pt>
                      <c:pt idx="28">
                        <c:v>52.593274450049975</c:v>
                      </c:pt>
                      <c:pt idx="29">
                        <c:v>51.525980085941093</c:v>
                      </c:pt>
                      <c:pt idx="30">
                        <c:v>50.458685721835941</c:v>
                      </c:pt>
                      <c:pt idx="31">
                        <c:v>49.391391357727059</c:v>
                      </c:pt>
                      <c:pt idx="32">
                        <c:v>48.324096993625623</c:v>
                      </c:pt>
                      <c:pt idx="33">
                        <c:v>47.256802629513011</c:v>
                      </c:pt>
                      <c:pt idx="34">
                        <c:v>46.189508265415306</c:v>
                      </c:pt>
                      <c:pt idx="35">
                        <c:v>45.122213901306424</c:v>
                      </c:pt>
                      <c:pt idx="36">
                        <c:v>44.054919537201272</c:v>
                      </c:pt>
                      <c:pt idx="37">
                        <c:v>42.987625173099836</c:v>
                      </c:pt>
                      <c:pt idx="38">
                        <c:v>41.920330808987231</c:v>
                      </c:pt>
                      <c:pt idx="39">
                        <c:v>40.853036444885795</c:v>
                      </c:pt>
                      <c:pt idx="40">
                        <c:v>39.78574208077692</c:v>
                      </c:pt>
                      <c:pt idx="41">
                        <c:v>38.718447716668031</c:v>
                      </c:pt>
                      <c:pt idx="42">
                        <c:v>37.651153352562879</c:v>
                      </c:pt>
                      <c:pt idx="43">
                        <c:v>36.58385898845772</c:v>
                      </c:pt>
                      <c:pt idx="44">
                        <c:v>35.516564624352569</c:v>
                      </c:pt>
                      <c:pt idx="45">
                        <c:v>34.449270260247403</c:v>
                      </c:pt>
                      <c:pt idx="46">
                        <c:v>33.381975896138528</c:v>
                      </c:pt>
                      <c:pt idx="47">
                        <c:v>32.314681532037092</c:v>
                      </c:pt>
                      <c:pt idx="48">
                        <c:v>31.247387167928206</c:v>
                      </c:pt>
                      <c:pt idx="49">
                        <c:v>30.180092803823051</c:v>
                      </c:pt>
                      <c:pt idx="50">
                        <c:v>29.112798439717896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3BCD-4AB3-8607-1A42AE26C775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グラフ!$X$5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グラフ!$X$6:$X$56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77.535710590153997</c:v>
                      </c:pt>
                      <c:pt idx="1">
                        <c:v>76.468416226048845</c:v>
                      </c:pt>
                      <c:pt idx="2">
                        <c:v>75.401121861943693</c:v>
                      </c:pt>
                      <c:pt idx="3">
                        <c:v>74.333827497831081</c:v>
                      </c:pt>
                      <c:pt idx="4">
                        <c:v>73.266533133729652</c:v>
                      </c:pt>
                      <c:pt idx="5">
                        <c:v>72.199238769620777</c:v>
                      </c:pt>
                      <c:pt idx="6">
                        <c:v>71.131944405515611</c:v>
                      </c:pt>
                      <c:pt idx="7">
                        <c:v>70.064650041410445</c:v>
                      </c:pt>
                      <c:pt idx="8">
                        <c:v>68.99735567730157</c:v>
                      </c:pt>
                      <c:pt idx="9">
                        <c:v>67.930061313203865</c:v>
                      </c:pt>
                      <c:pt idx="10">
                        <c:v>66.862766949091267</c:v>
                      </c:pt>
                      <c:pt idx="11">
                        <c:v>65.795472584986101</c:v>
                      </c:pt>
                      <c:pt idx="12">
                        <c:v>64.728178220880949</c:v>
                      </c:pt>
                      <c:pt idx="13">
                        <c:v>63.66088385677206</c:v>
                      </c:pt>
                      <c:pt idx="14">
                        <c:v>62.593589492670624</c:v>
                      </c:pt>
                      <c:pt idx="15">
                        <c:v>61.526295128565472</c:v>
                      </c:pt>
                      <c:pt idx="16">
                        <c:v>60.45900076445659</c:v>
                      </c:pt>
                      <c:pt idx="17">
                        <c:v>59.391706400351431</c:v>
                      </c:pt>
                      <c:pt idx="18">
                        <c:v>58.324412036242556</c:v>
                      </c:pt>
                      <c:pt idx="19">
                        <c:v>57.25711767213739</c:v>
                      </c:pt>
                      <c:pt idx="20">
                        <c:v>56.189823308028508</c:v>
                      </c:pt>
                      <c:pt idx="21">
                        <c:v>55.122528943923356</c:v>
                      </c:pt>
                      <c:pt idx="22">
                        <c:v>54.055234579818197</c:v>
                      </c:pt>
                      <c:pt idx="23">
                        <c:v>52.987940215716762</c:v>
                      </c:pt>
                      <c:pt idx="24">
                        <c:v>51.920645851607887</c:v>
                      </c:pt>
                      <c:pt idx="25">
                        <c:v>50.853351487502728</c:v>
                      </c:pt>
                      <c:pt idx="26">
                        <c:v>49.786057123397562</c:v>
                      </c:pt>
                      <c:pt idx="27">
                        <c:v>48.718762759288687</c:v>
                      </c:pt>
                      <c:pt idx="28">
                        <c:v>47.651468395183528</c:v>
                      </c:pt>
                      <c:pt idx="29">
                        <c:v>46.584174031074653</c:v>
                      </c:pt>
                      <c:pt idx="30">
                        <c:v>45.516879666973217</c:v>
                      </c:pt>
                      <c:pt idx="31">
                        <c:v>44.449585302860612</c:v>
                      </c:pt>
                      <c:pt idx="32">
                        <c:v>43.382290938766623</c:v>
                      </c:pt>
                      <c:pt idx="33">
                        <c:v>42.314996574654018</c:v>
                      </c:pt>
                      <c:pt idx="34">
                        <c:v>41.247702210548859</c:v>
                      </c:pt>
                      <c:pt idx="35">
                        <c:v>40.180407846443707</c:v>
                      </c:pt>
                      <c:pt idx="36">
                        <c:v>39.113113482334825</c:v>
                      </c:pt>
                      <c:pt idx="37">
                        <c:v>38.045819118233389</c:v>
                      </c:pt>
                      <c:pt idx="38">
                        <c:v>36.978524754124507</c:v>
                      </c:pt>
                      <c:pt idx="39">
                        <c:v>35.911230390019348</c:v>
                      </c:pt>
                      <c:pt idx="40">
                        <c:v>34.843936025910466</c:v>
                      </c:pt>
                      <c:pt idx="41">
                        <c:v>33.776641661805314</c:v>
                      </c:pt>
                      <c:pt idx="42">
                        <c:v>32.709347297703879</c:v>
                      </c:pt>
                      <c:pt idx="43">
                        <c:v>31.642052933595</c:v>
                      </c:pt>
                      <c:pt idx="44">
                        <c:v>30.574758569486114</c:v>
                      </c:pt>
                      <c:pt idx="45">
                        <c:v>29.507464205384682</c:v>
                      </c:pt>
                      <c:pt idx="46">
                        <c:v>28.440169841272073</c:v>
                      </c:pt>
                      <c:pt idx="47">
                        <c:v>27.372875477170641</c:v>
                      </c:pt>
                      <c:pt idx="48">
                        <c:v>26.305581113065486</c:v>
                      </c:pt>
                      <c:pt idx="49">
                        <c:v>25.238286748956607</c:v>
                      </c:pt>
                      <c:pt idx="50">
                        <c:v>24.170992384851445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3BCD-4AB3-8607-1A42AE26C775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グラフ!$Y$5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グラフ!$Y$6:$Y$56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72.593904535291273</c:v>
                      </c:pt>
                      <c:pt idx="1">
                        <c:v>71.526610171182398</c:v>
                      </c:pt>
                      <c:pt idx="2">
                        <c:v>70.459315807080969</c:v>
                      </c:pt>
                      <c:pt idx="3">
                        <c:v>69.392021442968357</c:v>
                      </c:pt>
                      <c:pt idx="4">
                        <c:v>68.324727078863191</c:v>
                      </c:pt>
                      <c:pt idx="5">
                        <c:v>67.257432714758039</c:v>
                      </c:pt>
                      <c:pt idx="6">
                        <c:v>66.190138350649164</c:v>
                      </c:pt>
                      <c:pt idx="7">
                        <c:v>65.122843986547736</c:v>
                      </c:pt>
                      <c:pt idx="8">
                        <c:v>64.055549622438846</c:v>
                      </c:pt>
                      <c:pt idx="9">
                        <c:v>62.988255258337418</c:v>
                      </c:pt>
                      <c:pt idx="10">
                        <c:v>61.920960894228536</c:v>
                      </c:pt>
                      <c:pt idx="11">
                        <c:v>60.853666530119646</c:v>
                      </c:pt>
                      <c:pt idx="12">
                        <c:v>59.786372166018218</c:v>
                      </c:pt>
                      <c:pt idx="13">
                        <c:v>58.719077801909336</c:v>
                      </c:pt>
                      <c:pt idx="14">
                        <c:v>57.651783437804184</c:v>
                      </c:pt>
                      <c:pt idx="15">
                        <c:v>56.584489073702748</c:v>
                      </c:pt>
                      <c:pt idx="16">
                        <c:v>55.517194709590143</c:v>
                      </c:pt>
                      <c:pt idx="17">
                        <c:v>54.449900345484977</c:v>
                      </c:pt>
                      <c:pt idx="18">
                        <c:v>53.382605981379825</c:v>
                      </c:pt>
                      <c:pt idx="19">
                        <c:v>52.315311617270943</c:v>
                      </c:pt>
                      <c:pt idx="20">
                        <c:v>51.248017253165791</c:v>
                      </c:pt>
                      <c:pt idx="21">
                        <c:v>50.180722889064356</c:v>
                      </c:pt>
                      <c:pt idx="22">
                        <c:v>49.113428524955474</c:v>
                      </c:pt>
                      <c:pt idx="23">
                        <c:v>48.046134160850322</c:v>
                      </c:pt>
                      <c:pt idx="24">
                        <c:v>46.978839796741433</c:v>
                      </c:pt>
                      <c:pt idx="25">
                        <c:v>45.911545432640004</c:v>
                      </c:pt>
                      <c:pt idx="26">
                        <c:v>44.844251068531122</c:v>
                      </c:pt>
                      <c:pt idx="27">
                        <c:v>43.77695670442224</c:v>
                      </c:pt>
                      <c:pt idx="28">
                        <c:v>42.709662340320804</c:v>
                      </c:pt>
                      <c:pt idx="29">
                        <c:v>41.642367976208199</c:v>
                      </c:pt>
                      <c:pt idx="30">
                        <c:v>40.57507361211421</c:v>
                      </c:pt>
                      <c:pt idx="31">
                        <c:v>39.507779248001611</c:v>
                      </c:pt>
                      <c:pt idx="32">
                        <c:v>38.440484883900176</c:v>
                      </c:pt>
                      <c:pt idx="33">
                        <c:v>37.373190519791294</c:v>
                      </c:pt>
                      <c:pt idx="34">
                        <c:v>36.305896155682412</c:v>
                      </c:pt>
                      <c:pt idx="35">
                        <c:v>35.238601791577253</c:v>
                      </c:pt>
                      <c:pt idx="36">
                        <c:v>34.171307427472101</c:v>
                      </c:pt>
                      <c:pt idx="37">
                        <c:v>33.104013063366942</c:v>
                      </c:pt>
                      <c:pt idx="38">
                        <c:v>32.03671869925806</c:v>
                      </c:pt>
                      <c:pt idx="39">
                        <c:v>30.969424335156624</c:v>
                      </c:pt>
                      <c:pt idx="40">
                        <c:v>29.902129971051469</c:v>
                      </c:pt>
                      <c:pt idx="41">
                        <c:v>28.83483560694259</c:v>
                      </c:pt>
                      <c:pt idx="42">
                        <c:v>27.767541242837428</c:v>
                      </c:pt>
                      <c:pt idx="43">
                        <c:v>26.700246878732273</c:v>
                      </c:pt>
                      <c:pt idx="44">
                        <c:v>25.632952514619671</c:v>
                      </c:pt>
                      <c:pt idx="45">
                        <c:v>24.565658150518232</c:v>
                      </c:pt>
                      <c:pt idx="46">
                        <c:v>23.498363786409353</c:v>
                      </c:pt>
                      <c:pt idx="47">
                        <c:v>22.431069422304194</c:v>
                      </c:pt>
                      <c:pt idx="48">
                        <c:v>21.363775058199039</c:v>
                      </c:pt>
                      <c:pt idx="49">
                        <c:v>20.29648069409388</c:v>
                      </c:pt>
                      <c:pt idx="50">
                        <c:v>19.229186329992448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BCD-4AB3-8607-1A42AE26C775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グラフ!$Z$5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グラフ!$Z$6:$Z$56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67.652098480428549</c:v>
                      </c:pt>
                      <c:pt idx="1">
                        <c:v>66.584804116319674</c:v>
                      </c:pt>
                      <c:pt idx="2">
                        <c:v>65.517509752214522</c:v>
                      </c:pt>
                      <c:pt idx="3">
                        <c:v>64.450215388105633</c:v>
                      </c:pt>
                      <c:pt idx="4">
                        <c:v>63.382921023996751</c:v>
                      </c:pt>
                      <c:pt idx="5">
                        <c:v>62.315626659895322</c:v>
                      </c:pt>
                      <c:pt idx="6">
                        <c:v>61.24833229578644</c:v>
                      </c:pt>
                      <c:pt idx="7">
                        <c:v>60.181037931681281</c:v>
                      </c:pt>
                      <c:pt idx="8">
                        <c:v>59.11374356757613</c:v>
                      </c:pt>
                      <c:pt idx="9">
                        <c:v>58.046449203470971</c:v>
                      </c:pt>
                      <c:pt idx="10">
                        <c:v>56.979154839365805</c:v>
                      </c:pt>
                      <c:pt idx="11">
                        <c:v>55.91186047525693</c:v>
                      </c:pt>
                      <c:pt idx="12">
                        <c:v>54.844566111151771</c:v>
                      </c:pt>
                      <c:pt idx="13">
                        <c:v>53.777271747046612</c:v>
                      </c:pt>
                      <c:pt idx="14">
                        <c:v>52.709977382937737</c:v>
                      </c:pt>
                      <c:pt idx="15">
                        <c:v>51.642683018836301</c:v>
                      </c:pt>
                      <c:pt idx="16">
                        <c:v>50.575388654727412</c:v>
                      </c:pt>
                      <c:pt idx="17">
                        <c:v>49.508094290618537</c:v>
                      </c:pt>
                      <c:pt idx="18">
                        <c:v>48.440799926517101</c:v>
                      </c:pt>
                      <c:pt idx="19">
                        <c:v>47.373505562411943</c:v>
                      </c:pt>
                      <c:pt idx="20">
                        <c:v>46.306211198303068</c:v>
                      </c:pt>
                      <c:pt idx="21">
                        <c:v>45.238916834197909</c:v>
                      </c:pt>
                      <c:pt idx="22">
                        <c:v>44.171622470089027</c:v>
                      </c:pt>
                      <c:pt idx="23">
                        <c:v>43.104328105987591</c:v>
                      </c:pt>
                      <c:pt idx="24">
                        <c:v>42.037033741874986</c:v>
                      </c:pt>
                      <c:pt idx="25">
                        <c:v>40.96973937777355</c:v>
                      </c:pt>
                      <c:pt idx="26">
                        <c:v>39.902445013668398</c:v>
                      </c:pt>
                      <c:pt idx="27">
                        <c:v>38.835150649555793</c:v>
                      </c:pt>
                      <c:pt idx="28">
                        <c:v>37.767856285461811</c:v>
                      </c:pt>
                      <c:pt idx="29">
                        <c:v>36.700561921349198</c:v>
                      </c:pt>
                      <c:pt idx="30">
                        <c:v>35.63326755724777</c:v>
                      </c:pt>
                      <c:pt idx="31">
                        <c:v>34.565973193138881</c:v>
                      </c:pt>
                      <c:pt idx="32">
                        <c:v>33.498678829033729</c:v>
                      </c:pt>
                      <c:pt idx="33">
                        <c:v>32.431384464924847</c:v>
                      </c:pt>
                      <c:pt idx="34">
                        <c:v>31.364090100819688</c:v>
                      </c:pt>
                      <c:pt idx="35">
                        <c:v>30.296795736710809</c:v>
                      </c:pt>
                      <c:pt idx="36">
                        <c:v>29.229501372605654</c:v>
                      </c:pt>
                      <c:pt idx="37">
                        <c:v>28.162207008504218</c:v>
                      </c:pt>
                      <c:pt idx="38">
                        <c:v>27.094912644399059</c:v>
                      </c:pt>
                      <c:pt idx="39">
                        <c:v>26.027618280293904</c:v>
                      </c:pt>
                      <c:pt idx="40">
                        <c:v>24.960323916185022</c:v>
                      </c:pt>
                      <c:pt idx="41">
                        <c:v>23.893029552079863</c:v>
                      </c:pt>
                      <c:pt idx="42">
                        <c:v>22.825735187970984</c:v>
                      </c:pt>
                      <c:pt idx="43">
                        <c:v>21.758440823865826</c:v>
                      </c:pt>
                      <c:pt idx="44">
                        <c:v>20.691146459756943</c:v>
                      </c:pt>
                      <c:pt idx="45">
                        <c:v>19.623852095651788</c:v>
                      </c:pt>
                      <c:pt idx="46">
                        <c:v>18.556557731542906</c:v>
                      </c:pt>
                      <c:pt idx="47">
                        <c:v>17.489263367441474</c:v>
                      </c:pt>
                      <c:pt idx="48">
                        <c:v>16.421969003340038</c:v>
                      </c:pt>
                      <c:pt idx="49">
                        <c:v>15.354674639231158</c:v>
                      </c:pt>
                      <c:pt idx="50">
                        <c:v>14.287380275125999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3BCD-4AB3-8607-1A42AE26C775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グラフ!$AA$5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グラフ!$AA$6:$AA$56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62.710292425562109</c:v>
                      </c:pt>
                      <c:pt idx="1">
                        <c:v>61.642998061456957</c:v>
                      </c:pt>
                      <c:pt idx="2">
                        <c:v>60.575703697348068</c:v>
                      </c:pt>
                      <c:pt idx="3">
                        <c:v>59.508409333242909</c:v>
                      </c:pt>
                      <c:pt idx="4">
                        <c:v>58.441114969134027</c:v>
                      </c:pt>
                      <c:pt idx="5">
                        <c:v>57.373820605028875</c:v>
                      </c:pt>
                      <c:pt idx="6">
                        <c:v>56.306526240923716</c:v>
                      </c:pt>
                      <c:pt idx="7">
                        <c:v>55.239231876814841</c:v>
                      </c:pt>
                      <c:pt idx="8">
                        <c:v>54.171937512713406</c:v>
                      </c:pt>
                      <c:pt idx="9">
                        <c:v>53.10464314860824</c:v>
                      </c:pt>
                      <c:pt idx="10">
                        <c:v>52.037348784499358</c:v>
                      </c:pt>
                      <c:pt idx="11">
                        <c:v>50.970054420394206</c:v>
                      </c:pt>
                      <c:pt idx="12">
                        <c:v>49.902760056285324</c:v>
                      </c:pt>
                      <c:pt idx="13">
                        <c:v>48.835465692180172</c:v>
                      </c:pt>
                      <c:pt idx="14">
                        <c:v>47.768171328075013</c:v>
                      </c:pt>
                      <c:pt idx="15">
                        <c:v>46.700876963969847</c:v>
                      </c:pt>
                      <c:pt idx="16">
                        <c:v>45.633582599864695</c:v>
                      </c:pt>
                      <c:pt idx="17">
                        <c:v>44.566288235759536</c:v>
                      </c:pt>
                      <c:pt idx="18">
                        <c:v>43.498993871654378</c:v>
                      </c:pt>
                      <c:pt idx="19">
                        <c:v>42.431699507545503</c:v>
                      </c:pt>
                      <c:pt idx="20">
                        <c:v>41.364405143436613</c:v>
                      </c:pt>
                      <c:pt idx="21">
                        <c:v>40.297110779335185</c:v>
                      </c:pt>
                      <c:pt idx="22">
                        <c:v>39.229816415222579</c:v>
                      </c:pt>
                      <c:pt idx="23">
                        <c:v>38.162522051121144</c:v>
                      </c:pt>
                      <c:pt idx="24">
                        <c:v>37.095227687012262</c:v>
                      </c:pt>
                      <c:pt idx="25">
                        <c:v>36.02793332290711</c:v>
                      </c:pt>
                      <c:pt idx="26">
                        <c:v>34.960638958809398</c:v>
                      </c:pt>
                      <c:pt idx="27">
                        <c:v>33.893344594696792</c:v>
                      </c:pt>
                      <c:pt idx="28">
                        <c:v>32.826050230595357</c:v>
                      </c:pt>
                      <c:pt idx="29">
                        <c:v>31.758755866486478</c:v>
                      </c:pt>
                      <c:pt idx="30">
                        <c:v>30.691461502381319</c:v>
                      </c:pt>
                      <c:pt idx="31">
                        <c:v>29.624167138272441</c:v>
                      </c:pt>
                      <c:pt idx="32">
                        <c:v>28.556872774171005</c:v>
                      </c:pt>
                      <c:pt idx="33">
                        <c:v>27.4895784100584</c:v>
                      </c:pt>
                      <c:pt idx="34">
                        <c:v>26.422284045953244</c:v>
                      </c:pt>
                      <c:pt idx="35">
                        <c:v>25.354989681848085</c:v>
                      </c:pt>
                      <c:pt idx="36">
                        <c:v>24.28769531774665</c:v>
                      </c:pt>
                      <c:pt idx="37">
                        <c:v>23.220400953641494</c:v>
                      </c:pt>
                      <c:pt idx="38">
                        <c:v>22.153106589532612</c:v>
                      </c:pt>
                      <c:pt idx="39">
                        <c:v>21.085812225431177</c:v>
                      </c:pt>
                      <c:pt idx="40">
                        <c:v>20.018517861318575</c:v>
                      </c:pt>
                      <c:pt idx="41">
                        <c:v>18.951223497213416</c:v>
                      </c:pt>
                      <c:pt idx="42">
                        <c:v>17.883929133108261</c:v>
                      </c:pt>
                      <c:pt idx="43">
                        <c:v>16.816634768999378</c:v>
                      </c:pt>
                      <c:pt idx="44">
                        <c:v>15.749340404890496</c:v>
                      </c:pt>
                      <c:pt idx="45">
                        <c:v>14.682046040789063</c:v>
                      </c:pt>
                      <c:pt idx="46">
                        <c:v>13.614751676683907</c:v>
                      </c:pt>
                      <c:pt idx="47">
                        <c:v>12.547457312578748</c:v>
                      </c:pt>
                      <c:pt idx="48">
                        <c:v>11.480162948473591</c:v>
                      </c:pt>
                      <c:pt idx="49">
                        <c:v>10.412868584368434</c:v>
                      </c:pt>
                      <c:pt idx="50">
                        <c:v>9.345574220259552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3BCD-4AB3-8607-1A42AE26C775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グラフ!$AB$5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グラフ!$AB$6:$AB$56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57.768486370695655</c:v>
                      </c:pt>
                      <c:pt idx="1">
                        <c:v>56.701192006594219</c:v>
                      </c:pt>
                      <c:pt idx="2">
                        <c:v>55.633897642485344</c:v>
                      </c:pt>
                      <c:pt idx="3">
                        <c:v>54.566603278376462</c:v>
                      </c:pt>
                      <c:pt idx="4">
                        <c:v>53.49930891427131</c:v>
                      </c:pt>
                      <c:pt idx="5">
                        <c:v>52.432014550162428</c:v>
                      </c:pt>
                      <c:pt idx="6">
                        <c:v>51.364720186061</c:v>
                      </c:pt>
                      <c:pt idx="7">
                        <c:v>50.29742582195211</c:v>
                      </c:pt>
                      <c:pt idx="8">
                        <c:v>49.230131457846952</c:v>
                      </c:pt>
                      <c:pt idx="9">
                        <c:v>48.162837093745516</c:v>
                      </c:pt>
                      <c:pt idx="10">
                        <c:v>47.095542729632918</c:v>
                      </c:pt>
                      <c:pt idx="11">
                        <c:v>46.028248365527759</c:v>
                      </c:pt>
                      <c:pt idx="12">
                        <c:v>44.9609540014226</c:v>
                      </c:pt>
                      <c:pt idx="13">
                        <c:v>43.893659637313718</c:v>
                      </c:pt>
                      <c:pt idx="14">
                        <c:v>42.826365273212289</c:v>
                      </c:pt>
                      <c:pt idx="15">
                        <c:v>41.759070909110854</c:v>
                      </c:pt>
                      <c:pt idx="16">
                        <c:v>40.691776545001971</c:v>
                      </c:pt>
                      <c:pt idx="17">
                        <c:v>39.624482180893089</c:v>
                      </c:pt>
                      <c:pt idx="18">
                        <c:v>38.557187816787931</c:v>
                      </c:pt>
                      <c:pt idx="19">
                        <c:v>37.489893452682772</c:v>
                      </c:pt>
                      <c:pt idx="20">
                        <c:v>36.422599088570173</c:v>
                      </c:pt>
                      <c:pt idx="21">
                        <c:v>35.355304724468731</c:v>
                      </c:pt>
                      <c:pt idx="22">
                        <c:v>34.288010360359856</c:v>
                      </c:pt>
                      <c:pt idx="23">
                        <c:v>33.220715996254697</c:v>
                      </c:pt>
                      <c:pt idx="24">
                        <c:v>32.153421632153268</c:v>
                      </c:pt>
                      <c:pt idx="25">
                        <c:v>31.086127268048106</c:v>
                      </c:pt>
                      <c:pt idx="26">
                        <c:v>30.018832903942947</c:v>
                      </c:pt>
                      <c:pt idx="27">
                        <c:v>28.951538539834068</c:v>
                      </c:pt>
                      <c:pt idx="28">
                        <c:v>27.884244175728909</c:v>
                      </c:pt>
                      <c:pt idx="29">
                        <c:v>26.816949811620027</c:v>
                      </c:pt>
                      <c:pt idx="30">
                        <c:v>25.749655447518595</c:v>
                      </c:pt>
                      <c:pt idx="31">
                        <c:v>24.68236108340599</c:v>
                      </c:pt>
                      <c:pt idx="32">
                        <c:v>23.615066719304554</c:v>
                      </c:pt>
                      <c:pt idx="33">
                        <c:v>22.547772355195676</c:v>
                      </c:pt>
                      <c:pt idx="34">
                        <c:v>21.48047799109424</c:v>
                      </c:pt>
                      <c:pt idx="35">
                        <c:v>20.413183626985361</c:v>
                      </c:pt>
                      <c:pt idx="36">
                        <c:v>19.345889262880203</c:v>
                      </c:pt>
                      <c:pt idx="37">
                        <c:v>18.278594898778771</c:v>
                      </c:pt>
                      <c:pt idx="38">
                        <c:v>17.211300534666165</c:v>
                      </c:pt>
                      <c:pt idx="39">
                        <c:v>16.14400617056473</c:v>
                      </c:pt>
                      <c:pt idx="40">
                        <c:v>15.076711806455849</c:v>
                      </c:pt>
                      <c:pt idx="41">
                        <c:v>14.009417442346971</c:v>
                      </c:pt>
                      <c:pt idx="42">
                        <c:v>12.942123078241812</c:v>
                      </c:pt>
                      <c:pt idx="43">
                        <c:v>11.874828714136653</c:v>
                      </c:pt>
                      <c:pt idx="44">
                        <c:v>10.807534350031498</c:v>
                      </c:pt>
                      <c:pt idx="45">
                        <c:v>9.7402399859263404</c:v>
                      </c:pt>
                      <c:pt idx="46">
                        <c:v>8.6729456218174583</c:v>
                      </c:pt>
                      <c:pt idx="47">
                        <c:v>7.6056512577160253</c:v>
                      </c:pt>
                      <c:pt idx="48">
                        <c:v>6.5383568936071432</c:v>
                      </c:pt>
                      <c:pt idx="49">
                        <c:v>5.4710625295019861</c:v>
                      </c:pt>
                      <c:pt idx="50">
                        <c:v>4.403768165396829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3BCD-4AB3-8607-1A42AE26C775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グラフ!$AC$5</c15:sqref>
                        </c15:formulaRef>
                      </c:ext>
                    </c:extLst>
                    <c:strCache>
                      <c:ptCount val="1"/>
                      <c:pt idx="0">
                        <c:v>inner応力:Δ-30℃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グラフ!$AC$6:$AC$56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316.39983997580583</c:v>
                      </c:pt>
                      <c:pt idx="1">
                        <c:v>312.536943815303</c:v>
                      </c:pt>
                      <c:pt idx="2">
                        <c:v>308.67404765481371</c:v>
                      </c:pt>
                      <c:pt idx="3">
                        <c:v>304.81115149432452</c:v>
                      </c:pt>
                      <c:pt idx="4">
                        <c:v>300.94825533382181</c:v>
                      </c:pt>
                      <c:pt idx="5">
                        <c:v>297.08535917333245</c:v>
                      </c:pt>
                      <c:pt idx="6">
                        <c:v>293.22246301284321</c:v>
                      </c:pt>
                      <c:pt idx="7">
                        <c:v>289.35956685234049</c:v>
                      </c:pt>
                      <c:pt idx="8">
                        <c:v>285.49667069186472</c:v>
                      </c:pt>
                      <c:pt idx="9">
                        <c:v>281.63377453137542</c:v>
                      </c:pt>
                      <c:pt idx="10">
                        <c:v>277.77087837087265</c:v>
                      </c:pt>
                      <c:pt idx="11">
                        <c:v>273.90798221038341</c:v>
                      </c:pt>
                      <c:pt idx="12">
                        <c:v>270.04508604988069</c:v>
                      </c:pt>
                      <c:pt idx="13">
                        <c:v>266.18218988940487</c:v>
                      </c:pt>
                      <c:pt idx="14">
                        <c:v>262.3192937289021</c:v>
                      </c:pt>
                      <c:pt idx="15">
                        <c:v>258.45639756842633</c:v>
                      </c:pt>
                      <c:pt idx="16">
                        <c:v>254.59350140792358</c:v>
                      </c:pt>
                      <c:pt idx="17">
                        <c:v>250.73060524742075</c:v>
                      </c:pt>
                      <c:pt idx="18">
                        <c:v>246.86770908694498</c:v>
                      </c:pt>
                      <c:pt idx="19">
                        <c:v>243.0048129264423</c:v>
                      </c:pt>
                      <c:pt idx="20">
                        <c:v>239.14191676593958</c:v>
                      </c:pt>
                      <c:pt idx="21">
                        <c:v>235.27902060546376</c:v>
                      </c:pt>
                      <c:pt idx="22">
                        <c:v>231.41612444494749</c:v>
                      </c:pt>
                      <c:pt idx="23">
                        <c:v>227.55322828447171</c:v>
                      </c:pt>
                      <c:pt idx="24">
                        <c:v>223.69033212396894</c:v>
                      </c:pt>
                      <c:pt idx="25">
                        <c:v>219.8274359634797</c:v>
                      </c:pt>
                      <c:pt idx="26">
                        <c:v>215.96453980300393</c:v>
                      </c:pt>
                      <c:pt idx="27">
                        <c:v>212.10164364250119</c:v>
                      </c:pt>
                      <c:pt idx="28">
                        <c:v>208.23874748202539</c:v>
                      </c:pt>
                      <c:pt idx="29">
                        <c:v>204.37585132150912</c:v>
                      </c:pt>
                      <c:pt idx="30">
                        <c:v>200.51295516103335</c:v>
                      </c:pt>
                      <c:pt idx="31">
                        <c:v>196.6500590005306</c:v>
                      </c:pt>
                      <c:pt idx="32">
                        <c:v>192.78716284004133</c:v>
                      </c:pt>
                      <c:pt idx="33">
                        <c:v>188.92426667953862</c:v>
                      </c:pt>
                      <c:pt idx="34">
                        <c:v>185.06137051904932</c:v>
                      </c:pt>
                      <c:pt idx="35">
                        <c:v>181.19847435854655</c:v>
                      </c:pt>
                      <c:pt idx="36">
                        <c:v>177.33557819808425</c:v>
                      </c:pt>
                      <c:pt idx="37">
                        <c:v>173.47268203759498</c:v>
                      </c:pt>
                      <c:pt idx="38">
                        <c:v>169.60978587709224</c:v>
                      </c:pt>
                      <c:pt idx="39">
                        <c:v>165.74688971661644</c:v>
                      </c:pt>
                      <c:pt idx="40">
                        <c:v>161.88399355610022</c:v>
                      </c:pt>
                      <c:pt idx="41">
                        <c:v>158.02109739561095</c:v>
                      </c:pt>
                      <c:pt idx="42">
                        <c:v>154.15820123512168</c:v>
                      </c:pt>
                      <c:pt idx="43">
                        <c:v>150.29530507461894</c:v>
                      </c:pt>
                      <c:pt idx="44">
                        <c:v>146.43240891411619</c:v>
                      </c:pt>
                      <c:pt idx="45">
                        <c:v>142.5695127536404</c:v>
                      </c:pt>
                      <c:pt idx="46">
                        <c:v>138.7066165931511</c:v>
                      </c:pt>
                      <c:pt idx="47">
                        <c:v>134.84372043266185</c:v>
                      </c:pt>
                      <c:pt idx="48">
                        <c:v>130.98082427217258</c:v>
                      </c:pt>
                      <c:pt idx="49">
                        <c:v>127.11792811168331</c:v>
                      </c:pt>
                      <c:pt idx="50">
                        <c:v>123.25503195118056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D-4AB3-8607-1A42AE26C775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グラフ!$AD$5</c15:sqref>
                        </c15:formulaRef>
                      </c:ext>
                    </c:extLst>
                    <c:strCache>
                      <c:ptCount val="1"/>
                      <c:pt idx="0">
                        <c:v>inner応力:Δ-20℃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グラフ!$AD$6:$AD$56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298.51378690812061</c:v>
                      </c:pt>
                      <c:pt idx="1">
                        <c:v>294.65089074764478</c:v>
                      </c:pt>
                      <c:pt idx="2">
                        <c:v>290.78799458714195</c:v>
                      </c:pt>
                      <c:pt idx="3">
                        <c:v>286.92509842663924</c:v>
                      </c:pt>
                      <c:pt idx="4">
                        <c:v>283.06220226615</c:v>
                      </c:pt>
                      <c:pt idx="5">
                        <c:v>279.19930610564722</c:v>
                      </c:pt>
                      <c:pt idx="6">
                        <c:v>275.33640994517145</c:v>
                      </c:pt>
                      <c:pt idx="7">
                        <c:v>271.47351378466868</c:v>
                      </c:pt>
                      <c:pt idx="8">
                        <c:v>267.61061762417944</c:v>
                      </c:pt>
                      <c:pt idx="9">
                        <c:v>263.74772146370367</c:v>
                      </c:pt>
                      <c:pt idx="10">
                        <c:v>259.88482530318737</c:v>
                      </c:pt>
                      <c:pt idx="11">
                        <c:v>256.0219291427116</c:v>
                      </c:pt>
                      <c:pt idx="12">
                        <c:v>252.15903298220891</c:v>
                      </c:pt>
                      <c:pt idx="13">
                        <c:v>248.29613682171961</c:v>
                      </c:pt>
                      <c:pt idx="14">
                        <c:v>244.43324066123029</c:v>
                      </c:pt>
                      <c:pt idx="15">
                        <c:v>240.57034450074104</c:v>
                      </c:pt>
                      <c:pt idx="16">
                        <c:v>236.7074483402518</c:v>
                      </c:pt>
                      <c:pt idx="17">
                        <c:v>232.84455217974906</c:v>
                      </c:pt>
                      <c:pt idx="18">
                        <c:v>228.98165601925979</c:v>
                      </c:pt>
                      <c:pt idx="19">
                        <c:v>225.11875985877052</c:v>
                      </c:pt>
                      <c:pt idx="20">
                        <c:v>221.25586369825425</c:v>
                      </c:pt>
                      <c:pt idx="21">
                        <c:v>217.39296753777845</c:v>
                      </c:pt>
                      <c:pt idx="22">
                        <c:v>213.53007137727576</c:v>
                      </c:pt>
                      <c:pt idx="23">
                        <c:v>209.66717521678646</c:v>
                      </c:pt>
                      <c:pt idx="24">
                        <c:v>205.80427905629722</c:v>
                      </c:pt>
                      <c:pt idx="25">
                        <c:v>201.94138289582142</c:v>
                      </c:pt>
                      <c:pt idx="26">
                        <c:v>198.07848673533215</c:v>
                      </c:pt>
                      <c:pt idx="27">
                        <c:v>194.21559057481588</c:v>
                      </c:pt>
                      <c:pt idx="28">
                        <c:v>190.35269441434011</c:v>
                      </c:pt>
                      <c:pt idx="29">
                        <c:v>186.48979825383736</c:v>
                      </c:pt>
                      <c:pt idx="30">
                        <c:v>182.62690209334812</c:v>
                      </c:pt>
                      <c:pt idx="31">
                        <c:v>178.76400593284535</c:v>
                      </c:pt>
                      <c:pt idx="32">
                        <c:v>174.90110977236958</c:v>
                      </c:pt>
                      <c:pt idx="33">
                        <c:v>171.03821361185331</c:v>
                      </c:pt>
                      <c:pt idx="34">
                        <c:v>167.17531745139101</c:v>
                      </c:pt>
                      <c:pt idx="35">
                        <c:v>163.31242129088824</c:v>
                      </c:pt>
                      <c:pt idx="36">
                        <c:v>159.44952513039902</c:v>
                      </c:pt>
                      <c:pt idx="37">
                        <c:v>155.5866289699232</c:v>
                      </c:pt>
                      <c:pt idx="38">
                        <c:v>151.72373280940698</c:v>
                      </c:pt>
                      <c:pt idx="39">
                        <c:v>147.86083664893118</c:v>
                      </c:pt>
                      <c:pt idx="40">
                        <c:v>143.99794048842847</c:v>
                      </c:pt>
                      <c:pt idx="41">
                        <c:v>140.13504432792567</c:v>
                      </c:pt>
                      <c:pt idx="42">
                        <c:v>136.27214816743643</c:v>
                      </c:pt>
                      <c:pt idx="43">
                        <c:v>132.40925200694716</c:v>
                      </c:pt>
                      <c:pt idx="44">
                        <c:v>128.54635584645791</c:v>
                      </c:pt>
                      <c:pt idx="45">
                        <c:v>124.6834596859686</c:v>
                      </c:pt>
                      <c:pt idx="46">
                        <c:v>120.82056352546589</c:v>
                      </c:pt>
                      <c:pt idx="47">
                        <c:v>116.95766736499009</c:v>
                      </c:pt>
                      <c:pt idx="48">
                        <c:v>113.09477120448732</c:v>
                      </c:pt>
                      <c:pt idx="49">
                        <c:v>109.23187504399806</c:v>
                      </c:pt>
                      <c:pt idx="50">
                        <c:v>105.36897888350879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BCD-4AB3-8607-1A42AE26C775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グラフ!$AE$5</c15:sqref>
                        </c15:formulaRef>
                      </c:ext>
                    </c:extLst>
                    <c:strCache>
                      <c:ptCount val="1"/>
                      <c:pt idx="0">
                        <c:v>inner応力:Δ-10℃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グラフ!$AE$6:$AE$56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280.62773384044874</c:v>
                      </c:pt>
                      <c:pt idx="1">
                        <c:v>276.7648376799595</c:v>
                      </c:pt>
                      <c:pt idx="2">
                        <c:v>272.90194151947026</c:v>
                      </c:pt>
                      <c:pt idx="3">
                        <c:v>269.03904535895401</c:v>
                      </c:pt>
                      <c:pt idx="4">
                        <c:v>265.17614919847824</c:v>
                      </c:pt>
                      <c:pt idx="5">
                        <c:v>261.31325303797553</c:v>
                      </c:pt>
                      <c:pt idx="6">
                        <c:v>257.45035687748617</c:v>
                      </c:pt>
                      <c:pt idx="7">
                        <c:v>253.5874607169969</c:v>
                      </c:pt>
                      <c:pt idx="8">
                        <c:v>249.72456455649419</c:v>
                      </c:pt>
                      <c:pt idx="9">
                        <c:v>245.86166839603189</c:v>
                      </c:pt>
                      <c:pt idx="10">
                        <c:v>241.99877223551564</c:v>
                      </c:pt>
                      <c:pt idx="11">
                        <c:v>238.13587607502637</c:v>
                      </c:pt>
                      <c:pt idx="12">
                        <c:v>234.27297991453713</c:v>
                      </c:pt>
                      <c:pt idx="13">
                        <c:v>230.41008375403433</c:v>
                      </c:pt>
                      <c:pt idx="14">
                        <c:v>226.54718759355856</c:v>
                      </c:pt>
                      <c:pt idx="15">
                        <c:v>222.68429143306929</c:v>
                      </c:pt>
                      <c:pt idx="16">
                        <c:v>218.82139527256655</c:v>
                      </c:pt>
                      <c:pt idx="17">
                        <c:v>214.95849911207725</c:v>
                      </c:pt>
                      <c:pt idx="18">
                        <c:v>211.09560295157456</c:v>
                      </c:pt>
                      <c:pt idx="19">
                        <c:v>207.23270679108523</c:v>
                      </c:pt>
                      <c:pt idx="20">
                        <c:v>203.36981063058249</c:v>
                      </c:pt>
                      <c:pt idx="21">
                        <c:v>199.50691447009325</c:v>
                      </c:pt>
                      <c:pt idx="22">
                        <c:v>195.64401830960398</c:v>
                      </c:pt>
                      <c:pt idx="23">
                        <c:v>191.78112214912815</c:v>
                      </c:pt>
                      <c:pt idx="24">
                        <c:v>187.91822598862544</c:v>
                      </c:pt>
                      <c:pt idx="25">
                        <c:v>184.05532982813617</c:v>
                      </c:pt>
                      <c:pt idx="26">
                        <c:v>180.19243366764687</c:v>
                      </c:pt>
                      <c:pt idx="27">
                        <c:v>176.32953750714412</c:v>
                      </c:pt>
                      <c:pt idx="28">
                        <c:v>172.46664134665488</c:v>
                      </c:pt>
                      <c:pt idx="29">
                        <c:v>168.60374518615214</c:v>
                      </c:pt>
                      <c:pt idx="30">
                        <c:v>164.74084902567634</c:v>
                      </c:pt>
                      <c:pt idx="31">
                        <c:v>160.8779528651601</c:v>
                      </c:pt>
                      <c:pt idx="32">
                        <c:v>157.01505670471127</c:v>
                      </c:pt>
                      <c:pt idx="33">
                        <c:v>153.15216054419503</c:v>
                      </c:pt>
                      <c:pt idx="34">
                        <c:v>149.28926438370576</c:v>
                      </c:pt>
                      <c:pt idx="35">
                        <c:v>145.42636822321651</c:v>
                      </c:pt>
                      <c:pt idx="36">
                        <c:v>141.56347206271377</c:v>
                      </c:pt>
                      <c:pt idx="37">
                        <c:v>137.70057590223794</c:v>
                      </c:pt>
                      <c:pt idx="38">
                        <c:v>133.8376797417352</c:v>
                      </c:pt>
                      <c:pt idx="39">
                        <c:v>129.97478358124593</c:v>
                      </c:pt>
                      <c:pt idx="40">
                        <c:v>126.11188742074319</c:v>
                      </c:pt>
                      <c:pt idx="41">
                        <c:v>122.24899126025393</c:v>
                      </c:pt>
                      <c:pt idx="42">
                        <c:v>118.38609509977813</c:v>
                      </c:pt>
                      <c:pt idx="43">
                        <c:v>114.5231989392754</c:v>
                      </c:pt>
                      <c:pt idx="44">
                        <c:v>110.66030277877263</c:v>
                      </c:pt>
                      <c:pt idx="45">
                        <c:v>106.79740661829685</c:v>
                      </c:pt>
                      <c:pt idx="46">
                        <c:v>102.9345104577806</c:v>
                      </c:pt>
                      <c:pt idx="47">
                        <c:v>99.071614297304819</c:v>
                      </c:pt>
                      <c:pt idx="48">
                        <c:v>95.208718136815563</c:v>
                      </c:pt>
                      <c:pt idx="49">
                        <c:v>91.34582197631282</c:v>
                      </c:pt>
                      <c:pt idx="50">
                        <c:v>87.482925815823535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BCD-4AB3-8607-1A42AE26C775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グラフ!$AF$5</c15:sqref>
                        </c15:formulaRef>
                      </c:ext>
                    </c:extLst>
                    <c:strCache>
                      <c:ptCount val="1"/>
                      <c:pt idx="0">
                        <c:v>inner応力:Δ0℃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グラフ!$AF$6:$AF$56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262.74168077277699</c:v>
                      </c:pt>
                      <c:pt idx="1">
                        <c:v>258.87878461227427</c:v>
                      </c:pt>
                      <c:pt idx="2">
                        <c:v>255.01588845179845</c:v>
                      </c:pt>
                      <c:pt idx="3">
                        <c:v>251.15299229128223</c:v>
                      </c:pt>
                      <c:pt idx="4">
                        <c:v>247.29009613079293</c:v>
                      </c:pt>
                      <c:pt idx="5">
                        <c:v>243.42719997030369</c:v>
                      </c:pt>
                      <c:pt idx="6">
                        <c:v>239.56430380980095</c:v>
                      </c:pt>
                      <c:pt idx="7">
                        <c:v>235.70140764932518</c:v>
                      </c:pt>
                      <c:pt idx="8">
                        <c:v>231.83851148882241</c:v>
                      </c:pt>
                      <c:pt idx="9">
                        <c:v>227.97561532834661</c:v>
                      </c:pt>
                      <c:pt idx="10">
                        <c:v>224.11271916784389</c:v>
                      </c:pt>
                      <c:pt idx="11">
                        <c:v>220.24982300734109</c:v>
                      </c:pt>
                      <c:pt idx="12">
                        <c:v>216.38692684686532</c:v>
                      </c:pt>
                      <c:pt idx="13">
                        <c:v>212.52403068636258</c:v>
                      </c:pt>
                      <c:pt idx="14">
                        <c:v>208.66113452587334</c:v>
                      </c:pt>
                      <c:pt idx="15">
                        <c:v>204.79823836539751</c:v>
                      </c:pt>
                      <c:pt idx="16">
                        <c:v>200.93534220488129</c:v>
                      </c:pt>
                      <c:pt idx="17">
                        <c:v>197.072446044392</c:v>
                      </c:pt>
                      <c:pt idx="18">
                        <c:v>193.20954988390275</c:v>
                      </c:pt>
                      <c:pt idx="19">
                        <c:v>189.34665372339998</c:v>
                      </c:pt>
                      <c:pt idx="20">
                        <c:v>185.48375756291074</c:v>
                      </c:pt>
                      <c:pt idx="21">
                        <c:v>181.62086140243494</c:v>
                      </c:pt>
                      <c:pt idx="22">
                        <c:v>177.7579652419322</c:v>
                      </c:pt>
                      <c:pt idx="23">
                        <c:v>173.89506908144293</c:v>
                      </c:pt>
                      <c:pt idx="24">
                        <c:v>170.03217292094018</c:v>
                      </c:pt>
                      <c:pt idx="25">
                        <c:v>166.16927676046438</c:v>
                      </c:pt>
                      <c:pt idx="26">
                        <c:v>162.30638059996164</c:v>
                      </c:pt>
                      <c:pt idx="27">
                        <c:v>158.4434844394589</c:v>
                      </c:pt>
                      <c:pt idx="28">
                        <c:v>154.5805882789831</c:v>
                      </c:pt>
                      <c:pt idx="29">
                        <c:v>150.71769211846686</c:v>
                      </c:pt>
                      <c:pt idx="30">
                        <c:v>146.854795958018</c:v>
                      </c:pt>
                      <c:pt idx="31">
                        <c:v>142.99189979750182</c:v>
                      </c:pt>
                      <c:pt idx="32">
                        <c:v>139.12900363702602</c:v>
                      </c:pt>
                      <c:pt idx="33">
                        <c:v>135.26610747652325</c:v>
                      </c:pt>
                      <c:pt idx="34">
                        <c:v>131.40321131602053</c:v>
                      </c:pt>
                      <c:pt idx="35">
                        <c:v>127.54031515553123</c:v>
                      </c:pt>
                      <c:pt idx="36">
                        <c:v>123.67741899504199</c:v>
                      </c:pt>
                      <c:pt idx="37">
                        <c:v>119.8145228345527</c:v>
                      </c:pt>
                      <c:pt idx="38">
                        <c:v>115.95162667404996</c:v>
                      </c:pt>
                      <c:pt idx="39">
                        <c:v>112.08873051357416</c:v>
                      </c:pt>
                      <c:pt idx="40">
                        <c:v>108.22583435308491</c:v>
                      </c:pt>
                      <c:pt idx="41">
                        <c:v>104.36293819258216</c:v>
                      </c:pt>
                      <c:pt idx="42">
                        <c:v>100.50004203209288</c:v>
                      </c:pt>
                      <c:pt idx="43">
                        <c:v>96.637145871603607</c:v>
                      </c:pt>
                      <c:pt idx="44">
                        <c:v>92.774249711087407</c:v>
                      </c:pt>
                      <c:pt idx="45">
                        <c:v>88.91135355061158</c:v>
                      </c:pt>
                      <c:pt idx="46">
                        <c:v>85.048457390108851</c:v>
                      </c:pt>
                      <c:pt idx="47">
                        <c:v>81.18556122961958</c:v>
                      </c:pt>
                      <c:pt idx="48">
                        <c:v>77.322665069130309</c:v>
                      </c:pt>
                      <c:pt idx="49">
                        <c:v>73.459768908641038</c:v>
                      </c:pt>
                      <c:pt idx="50">
                        <c:v>69.596872748165239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BCD-4AB3-8607-1A42AE26C775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グラフ!$AG$5</c15:sqref>
                        </c15:formulaRef>
                      </c:ext>
                    </c:extLst>
                    <c:strCache>
                      <c:ptCount val="1"/>
                      <c:pt idx="0">
                        <c:v>inner応力:Δ+10℃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グラフ!$AG$6:$AG$56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244.85562770510521</c:v>
                      </c:pt>
                      <c:pt idx="1">
                        <c:v>240.99273154460249</c:v>
                      </c:pt>
                      <c:pt idx="2">
                        <c:v>237.12983538411322</c:v>
                      </c:pt>
                      <c:pt idx="3">
                        <c:v>233.26693922361045</c:v>
                      </c:pt>
                      <c:pt idx="4">
                        <c:v>229.40404306310771</c:v>
                      </c:pt>
                      <c:pt idx="5">
                        <c:v>225.54114690263191</c:v>
                      </c:pt>
                      <c:pt idx="6">
                        <c:v>221.67825074212919</c:v>
                      </c:pt>
                      <c:pt idx="7">
                        <c:v>217.81535458163989</c:v>
                      </c:pt>
                      <c:pt idx="8">
                        <c:v>213.95245842115065</c:v>
                      </c:pt>
                      <c:pt idx="9">
                        <c:v>210.08956226066138</c:v>
                      </c:pt>
                      <c:pt idx="10">
                        <c:v>206.22666610017208</c:v>
                      </c:pt>
                      <c:pt idx="11">
                        <c:v>202.36376993966934</c:v>
                      </c:pt>
                      <c:pt idx="12">
                        <c:v>198.50087377918007</c:v>
                      </c:pt>
                      <c:pt idx="13">
                        <c:v>194.6379776186908</c:v>
                      </c:pt>
                      <c:pt idx="14">
                        <c:v>190.77508145818808</c:v>
                      </c:pt>
                      <c:pt idx="15">
                        <c:v>186.91218529771228</c:v>
                      </c:pt>
                      <c:pt idx="16">
                        <c:v>183.04928913720951</c:v>
                      </c:pt>
                      <c:pt idx="17">
                        <c:v>179.18639297670677</c:v>
                      </c:pt>
                      <c:pt idx="18">
                        <c:v>175.32349681623097</c:v>
                      </c:pt>
                      <c:pt idx="19">
                        <c:v>171.4606006557417</c:v>
                      </c:pt>
                      <c:pt idx="20">
                        <c:v>167.59770449523899</c:v>
                      </c:pt>
                      <c:pt idx="21">
                        <c:v>163.73480833474969</c:v>
                      </c:pt>
                      <c:pt idx="22">
                        <c:v>159.87191217424694</c:v>
                      </c:pt>
                      <c:pt idx="23">
                        <c:v>156.00901601377117</c:v>
                      </c:pt>
                      <c:pt idx="24">
                        <c:v>152.14611985325493</c:v>
                      </c:pt>
                      <c:pt idx="25">
                        <c:v>148.2832236927791</c:v>
                      </c:pt>
                      <c:pt idx="26">
                        <c:v>144.42032753228986</c:v>
                      </c:pt>
                      <c:pt idx="27">
                        <c:v>140.55743137177365</c:v>
                      </c:pt>
                      <c:pt idx="28">
                        <c:v>136.69453521132482</c:v>
                      </c:pt>
                      <c:pt idx="29">
                        <c:v>132.83163905080855</c:v>
                      </c:pt>
                      <c:pt idx="30">
                        <c:v>128.96874289033281</c:v>
                      </c:pt>
                      <c:pt idx="31">
                        <c:v>125.10584672983003</c:v>
                      </c:pt>
                      <c:pt idx="32">
                        <c:v>121.24295056934076</c:v>
                      </c:pt>
                      <c:pt idx="33">
                        <c:v>117.38005440883801</c:v>
                      </c:pt>
                      <c:pt idx="34">
                        <c:v>113.51715824834875</c:v>
                      </c:pt>
                      <c:pt idx="35">
                        <c:v>109.65426208784601</c:v>
                      </c:pt>
                      <c:pt idx="36">
                        <c:v>105.79136592735675</c:v>
                      </c:pt>
                      <c:pt idx="37">
                        <c:v>101.92846976688094</c:v>
                      </c:pt>
                      <c:pt idx="38">
                        <c:v>98.065573606391666</c:v>
                      </c:pt>
                      <c:pt idx="39">
                        <c:v>94.202677445902395</c:v>
                      </c:pt>
                      <c:pt idx="40">
                        <c:v>90.339781285399653</c:v>
                      </c:pt>
                      <c:pt idx="41">
                        <c:v>86.476885124910382</c:v>
                      </c:pt>
                      <c:pt idx="42">
                        <c:v>82.613988964407639</c:v>
                      </c:pt>
                      <c:pt idx="43">
                        <c:v>78.751092803918368</c:v>
                      </c:pt>
                      <c:pt idx="44">
                        <c:v>74.888196643415611</c:v>
                      </c:pt>
                      <c:pt idx="45">
                        <c:v>71.025300482926355</c:v>
                      </c:pt>
                      <c:pt idx="46">
                        <c:v>67.162404322423598</c:v>
                      </c:pt>
                      <c:pt idx="47">
                        <c:v>63.299508161947813</c:v>
                      </c:pt>
                      <c:pt idx="48">
                        <c:v>59.436612001472007</c:v>
                      </c:pt>
                      <c:pt idx="49">
                        <c:v>55.573715840969264</c:v>
                      </c:pt>
                      <c:pt idx="50">
                        <c:v>51.710819680479993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BCD-4AB3-8607-1A42AE26C775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グラフ!$AH$5</c15:sqref>
                        </c15:formulaRef>
                      </c:ext>
                    </c:extLst>
                    <c:strCache>
                      <c:ptCount val="1"/>
                      <c:pt idx="0">
                        <c:v>inner応力:Δ+20℃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グラフ!$AH$6:$AH$56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226.96957463741998</c:v>
                      </c:pt>
                      <c:pt idx="1">
                        <c:v>223.10667847693074</c:v>
                      </c:pt>
                      <c:pt idx="2">
                        <c:v>219.24378231642797</c:v>
                      </c:pt>
                      <c:pt idx="3">
                        <c:v>215.3808861559387</c:v>
                      </c:pt>
                      <c:pt idx="4">
                        <c:v>211.51798999543593</c:v>
                      </c:pt>
                      <c:pt idx="5">
                        <c:v>207.65509383494668</c:v>
                      </c:pt>
                      <c:pt idx="6">
                        <c:v>203.79219767445741</c:v>
                      </c:pt>
                      <c:pt idx="7">
                        <c:v>199.92930151395467</c:v>
                      </c:pt>
                      <c:pt idx="8">
                        <c:v>196.06640535347887</c:v>
                      </c:pt>
                      <c:pt idx="9">
                        <c:v>192.2035091929896</c:v>
                      </c:pt>
                      <c:pt idx="10">
                        <c:v>188.34061303248683</c:v>
                      </c:pt>
                      <c:pt idx="11">
                        <c:v>184.47771687199759</c:v>
                      </c:pt>
                      <c:pt idx="12">
                        <c:v>180.61482071149484</c:v>
                      </c:pt>
                      <c:pt idx="13">
                        <c:v>176.75192455100557</c:v>
                      </c:pt>
                      <c:pt idx="14">
                        <c:v>172.8890283905163</c:v>
                      </c:pt>
                      <c:pt idx="15">
                        <c:v>169.026132230027</c:v>
                      </c:pt>
                      <c:pt idx="16">
                        <c:v>165.16323606953776</c:v>
                      </c:pt>
                      <c:pt idx="17">
                        <c:v>161.30033990904849</c:v>
                      </c:pt>
                      <c:pt idx="18">
                        <c:v>157.43744374855919</c:v>
                      </c:pt>
                      <c:pt idx="19">
                        <c:v>153.5745475880565</c:v>
                      </c:pt>
                      <c:pt idx="20">
                        <c:v>149.7116514275537</c:v>
                      </c:pt>
                      <c:pt idx="21">
                        <c:v>145.84875526707793</c:v>
                      </c:pt>
                      <c:pt idx="22">
                        <c:v>141.98585910656169</c:v>
                      </c:pt>
                      <c:pt idx="23">
                        <c:v>138.12296294608592</c:v>
                      </c:pt>
                      <c:pt idx="24">
                        <c:v>134.26006678558315</c:v>
                      </c:pt>
                      <c:pt idx="25">
                        <c:v>130.39717062509388</c:v>
                      </c:pt>
                      <c:pt idx="26">
                        <c:v>126.53427446463157</c:v>
                      </c:pt>
                      <c:pt idx="27">
                        <c:v>122.67137830411536</c:v>
                      </c:pt>
                      <c:pt idx="28">
                        <c:v>118.80848214363955</c:v>
                      </c:pt>
                      <c:pt idx="29">
                        <c:v>114.94558598313681</c:v>
                      </c:pt>
                      <c:pt idx="30">
                        <c:v>111.08268982264754</c:v>
                      </c:pt>
                      <c:pt idx="31">
                        <c:v>107.2197936621448</c:v>
                      </c:pt>
                      <c:pt idx="32">
                        <c:v>103.356897501669</c:v>
                      </c:pt>
                      <c:pt idx="33">
                        <c:v>99.494001341152767</c:v>
                      </c:pt>
                      <c:pt idx="34">
                        <c:v>95.631105180663511</c:v>
                      </c:pt>
                      <c:pt idx="35">
                        <c:v>91.768209020174226</c:v>
                      </c:pt>
                      <c:pt idx="36">
                        <c:v>87.905312859698427</c:v>
                      </c:pt>
                      <c:pt idx="37">
                        <c:v>84.04241669920917</c:v>
                      </c:pt>
                      <c:pt idx="38">
                        <c:v>80.179520538706413</c:v>
                      </c:pt>
                      <c:pt idx="39">
                        <c:v>76.316624378230628</c:v>
                      </c:pt>
                      <c:pt idx="40">
                        <c:v>72.453728217714399</c:v>
                      </c:pt>
                      <c:pt idx="41">
                        <c:v>68.590832057225128</c:v>
                      </c:pt>
                      <c:pt idx="42">
                        <c:v>64.727935896735858</c:v>
                      </c:pt>
                      <c:pt idx="43">
                        <c:v>60.865039736233115</c:v>
                      </c:pt>
                      <c:pt idx="44">
                        <c:v>57.002143575730365</c:v>
                      </c:pt>
                      <c:pt idx="45">
                        <c:v>53.139247415254573</c:v>
                      </c:pt>
                      <c:pt idx="46">
                        <c:v>49.276351254765309</c:v>
                      </c:pt>
                      <c:pt idx="47">
                        <c:v>45.413455094276038</c:v>
                      </c:pt>
                      <c:pt idx="48">
                        <c:v>41.550558933786768</c:v>
                      </c:pt>
                      <c:pt idx="49">
                        <c:v>37.687662773297497</c:v>
                      </c:pt>
                      <c:pt idx="50">
                        <c:v>33.824766612794747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BCD-4AB3-8607-1A42AE26C775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グラフ!$AI$5</c15:sqref>
                        </c15:formulaRef>
                      </c:ext>
                    </c:extLst>
                    <c:strCache>
                      <c:ptCount val="1"/>
                      <c:pt idx="0">
                        <c:v>inner応力:Δ+30℃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グラフ!$AI$6:$AI$56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209.0835215697347</c:v>
                      </c:pt>
                      <c:pt idx="1">
                        <c:v>205.22062540925893</c:v>
                      </c:pt>
                      <c:pt idx="2">
                        <c:v>201.35772924875619</c:v>
                      </c:pt>
                      <c:pt idx="3">
                        <c:v>197.49483308825344</c:v>
                      </c:pt>
                      <c:pt idx="4">
                        <c:v>193.63193692776417</c:v>
                      </c:pt>
                      <c:pt idx="5">
                        <c:v>189.76904076726143</c:v>
                      </c:pt>
                      <c:pt idx="6">
                        <c:v>185.90614460678566</c:v>
                      </c:pt>
                      <c:pt idx="7">
                        <c:v>182.04324844628289</c:v>
                      </c:pt>
                      <c:pt idx="8">
                        <c:v>178.18035228579362</c:v>
                      </c:pt>
                      <c:pt idx="9">
                        <c:v>174.31745612531782</c:v>
                      </c:pt>
                      <c:pt idx="10">
                        <c:v>170.4545599648016</c:v>
                      </c:pt>
                      <c:pt idx="11">
                        <c:v>166.59166380431233</c:v>
                      </c:pt>
                      <c:pt idx="12">
                        <c:v>162.72876764382306</c:v>
                      </c:pt>
                      <c:pt idx="13">
                        <c:v>158.86587148332032</c:v>
                      </c:pt>
                      <c:pt idx="14">
                        <c:v>155.00297532284452</c:v>
                      </c:pt>
                      <c:pt idx="15">
                        <c:v>151.14007916236875</c:v>
                      </c:pt>
                      <c:pt idx="16">
                        <c:v>147.27718300186598</c:v>
                      </c:pt>
                      <c:pt idx="17">
                        <c:v>143.41428684136324</c:v>
                      </c:pt>
                      <c:pt idx="18">
                        <c:v>139.55139068087396</c:v>
                      </c:pt>
                      <c:pt idx="19">
                        <c:v>135.68849452038469</c:v>
                      </c:pt>
                      <c:pt idx="20">
                        <c:v>131.82559835986848</c:v>
                      </c:pt>
                      <c:pt idx="21">
                        <c:v>127.96270219939267</c:v>
                      </c:pt>
                      <c:pt idx="22">
                        <c:v>124.09980603888992</c:v>
                      </c:pt>
                      <c:pt idx="23">
                        <c:v>120.23690987840067</c:v>
                      </c:pt>
                      <c:pt idx="24">
                        <c:v>116.37401371792487</c:v>
                      </c:pt>
                      <c:pt idx="25">
                        <c:v>112.5111175574356</c:v>
                      </c:pt>
                      <c:pt idx="26">
                        <c:v>108.64822139694633</c:v>
                      </c:pt>
                      <c:pt idx="27">
                        <c:v>104.78532523644357</c:v>
                      </c:pt>
                      <c:pt idx="28">
                        <c:v>100.9224290759543</c:v>
                      </c:pt>
                      <c:pt idx="29">
                        <c:v>97.059532915451541</c:v>
                      </c:pt>
                      <c:pt idx="30">
                        <c:v>93.196636754975771</c:v>
                      </c:pt>
                      <c:pt idx="31">
                        <c:v>89.333740594459542</c:v>
                      </c:pt>
                      <c:pt idx="32">
                        <c:v>85.470844433983729</c:v>
                      </c:pt>
                      <c:pt idx="33">
                        <c:v>81.607948273481</c:v>
                      </c:pt>
                      <c:pt idx="34">
                        <c:v>77.745052113005201</c:v>
                      </c:pt>
                      <c:pt idx="35">
                        <c:v>73.882155952502458</c:v>
                      </c:pt>
                      <c:pt idx="36">
                        <c:v>70.019259792013173</c:v>
                      </c:pt>
                      <c:pt idx="37">
                        <c:v>66.156363631537403</c:v>
                      </c:pt>
                      <c:pt idx="38">
                        <c:v>62.293467471021167</c:v>
                      </c:pt>
                      <c:pt idx="39">
                        <c:v>58.430571310545368</c:v>
                      </c:pt>
                      <c:pt idx="40">
                        <c:v>54.567675150042632</c:v>
                      </c:pt>
                      <c:pt idx="41">
                        <c:v>50.704778989539889</c:v>
                      </c:pt>
                      <c:pt idx="42">
                        <c:v>46.841882829050618</c:v>
                      </c:pt>
                      <c:pt idx="43">
                        <c:v>42.97898666856134</c:v>
                      </c:pt>
                      <c:pt idx="44">
                        <c:v>39.116090508072077</c:v>
                      </c:pt>
                      <c:pt idx="45">
                        <c:v>35.253194347582806</c:v>
                      </c:pt>
                      <c:pt idx="46">
                        <c:v>31.390298187080059</c:v>
                      </c:pt>
                      <c:pt idx="47">
                        <c:v>27.527402026604268</c:v>
                      </c:pt>
                      <c:pt idx="48">
                        <c:v>23.664505866101514</c:v>
                      </c:pt>
                      <c:pt idx="49">
                        <c:v>19.801609705612247</c:v>
                      </c:pt>
                      <c:pt idx="50">
                        <c:v>15.93871354512298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BCD-4AB3-8607-1A42AE26C775}"/>
                  </c:ext>
                </c:extLst>
              </c15:ser>
            </c15:filteredScatterSeries>
            <c15:filteredScatterSeries>
              <c15:ser>
                <c:idx val="21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グラフ!$AJ$5</c15:sqref>
                        </c15:formulaRef>
                      </c:ext>
                    </c:extLst>
                    <c:strCache>
                      <c:ptCount val="1"/>
                      <c:pt idx="0">
                        <c:v>inner降伏点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グラフ!$AJ$6:$AJ$56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345</c:v>
                      </c:pt>
                      <c:pt idx="1">
                        <c:v>345</c:v>
                      </c:pt>
                      <c:pt idx="2">
                        <c:v>345</c:v>
                      </c:pt>
                      <c:pt idx="3">
                        <c:v>345</c:v>
                      </c:pt>
                      <c:pt idx="4">
                        <c:v>345</c:v>
                      </c:pt>
                      <c:pt idx="5">
                        <c:v>345</c:v>
                      </c:pt>
                      <c:pt idx="6">
                        <c:v>345</c:v>
                      </c:pt>
                      <c:pt idx="7">
                        <c:v>345</c:v>
                      </c:pt>
                      <c:pt idx="8">
                        <c:v>345</c:v>
                      </c:pt>
                      <c:pt idx="9">
                        <c:v>345</c:v>
                      </c:pt>
                      <c:pt idx="10">
                        <c:v>345</c:v>
                      </c:pt>
                      <c:pt idx="11">
                        <c:v>345</c:v>
                      </c:pt>
                      <c:pt idx="12">
                        <c:v>345</c:v>
                      </c:pt>
                      <c:pt idx="13">
                        <c:v>345</c:v>
                      </c:pt>
                      <c:pt idx="14">
                        <c:v>345</c:v>
                      </c:pt>
                      <c:pt idx="15">
                        <c:v>345</c:v>
                      </c:pt>
                      <c:pt idx="16">
                        <c:v>345</c:v>
                      </c:pt>
                      <c:pt idx="17">
                        <c:v>345</c:v>
                      </c:pt>
                      <c:pt idx="18">
                        <c:v>345</c:v>
                      </c:pt>
                      <c:pt idx="19">
                        <c:v>345</c:v>
                      </c:pt>
                      <c:pt idx="20">
                        <c:v>345</c:v>
                      </c:pt>
                      <c:pt idx="21">
                        <c:v>345</c:v>
                      </c:pt>
                      <c:pt idx="22">
                        <c:v>345</c:v>
                      </c:pt>
                      <c:pt idx="23">
                        <c:v>345</c:v>
                      </c:pt>
                      <c:pt idx="24">
                        <c:v>345</c:v>
                      </c:pt>
                      <c:pt idx="25">
                        <c:v>345</c:v>
                      </c:pt>
                      <c:pt idx="26">
                        <c:v>345</c:v>
                      </c:pt>
                      <c:pt idx="27">
                        <c:v>345</c:v>
                      </c:pt>
                      <c:pt idx="28">
                        <c:v>345</c:v>
                      </c:pt>
                      <c:pt idx="29">
                        <c:v>345</c:v>
                      </c:pt>
                      <c:pt idx="30">
                        <c:v>345</c:v>
                      </c:pt>
                      <c:pt idx="31">
                        <c:v>345</c:v>
                      </c:pt>
                      <c:pt idx="32">
                        <c:v>345</c:v>
                      </c:pt>
                      <c:pt idx="33">
                        <c:v>345</c:v>
                      </c:pt>
                      <c:pt idx="34">
                        <c:v>345</c:v>
                      </c:pt>
                      <c:pt idx="35">
                        <c:v>345</c:v>
                      </c:pt>
                      <c:pt idx="36">
                        <c:v>345</c:v>
                      </c:pt>
                      <c:pt idx="37">
                        <c:v>345</c:v>
                      </c:pt>
                      <c:pt idx="38">
                        <c:v>345</c:v>
                      </c:pt>
                      <c:pt idx="39">
                        <c:v>345</c:v>
                      </c:pt>
                      <c:pt idx="40">
                        <c:v>345</c:v>
                      </c:pt>
                      <c:pt idx="41">
                        <c:v>345</c:v>
                      </c:pt>
                      <c:pt idx="42">
                        <c:v>345</c:v>
                      </c:pt>
                      <c:pt idx="43">
                        <c:v>345</c:v>
                      </c:pt>
                      <c:pt idx="44">
                        <c:v>345</c:v>
                      </c:pt>
                      <c:pt idx="45">
                        <c:v>345</c:v>
                      </c:pt>
                      <c:pt idx="46">
                        <c:v>345</c:v>
                      </c:pt>
                      <c:pt idx="47">
                        <c:v>345</c:v>
                      </c:pt>
                      <c:pt idx="48">
                        <c:v>345</c:v>
                      </c:pt>
                      <c:pt idx="49">
                        <c:v>345</c:v>
                      </c:pt>
                      <c:pt idx="50">
                        <c:v>345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3BCD-4AB3-8607-1A42AE26C775}"/>
                  </c:ext>
                </c:extLst>
              </c15:ser>
            </c15:filteredScatterSeries>
          </c:ext>
        </c:extLst>
      </c:scatterChart>
      <c:valAx>
        <c:axId val="1878419104"/>
        <c:scaling>
          <c:orientation val="minMax"/>
          <c:max val="200"/>
          <c:min val="-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グラフ!$N$5</c:f>
              <c:strCache>
                <c:ptCount val="1"/>
                <c:pt idx="0">
                  <c:v>inner温度[℃]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8401216"/>
        <c:crosses val="autoZero"/>
        <c:crossBetween val="midCat"/>
      </c:valAx>
      <c:valAx>
        <c:axId val="18784012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グラフ!$AK$4</c:f>
              <c:strCache>
                <c:ptCount val="1"/>
                <c:pt idx="0">
                  <c:v>outer応力[MPa]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8419104"/>
        <c:crossesAt val="-100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'圧入力推定 (2)'!$W$16</c:f>
              <c:strCache>
                <c:ptCount val="1"/>
                <c:pt idx="0">
                  <c:v>Assy圧入力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'圧入力推定 (2)'!$C$17:$C$37</c:f>
              <c:numCache>
                <c:formatCode>General</c:formatCode>
                <c:ptCount val="21"/>
                <c:pt idx="0">
                  <c:v>40</c:v>
                </c:pt>
                <c:pt idx="1">
                  <c:v>38</c:v>
                </c:pt>
                <c:pt idx="2">
                  <c:v>36</c:v>
                </c:pt>
                <c:pt idx="3">
                  <c:v>34</c:v>
                </c:pt>
                <c:pt idx="4">
                  <c:v>32</c:v>
                </c:pt>
                <c:pt idx="5">
                  <c:v>30</c:v>
                </c:pt>
                <c:pt idx="6">
                  <c:v>28</c:v>
                </c:pt>
                <c:pt idx="7">
                  <c:v>26</c:v>
                </c:pt>
                <c:pt idx="8">
                  <c:v>24</c:v>
                </c:pt>
                <c:pt idx="9">
                  <c:v>22</c:v>
                </c:pt>
                <c:pt idx="10">
                  <c:v>20</c:v>
                </c:pt>
                <c:pt idx="11">
                  <c:v>18</c:v>
                </c:pt>
                <c:pt idx="12">
                  <c:v>16</c:v>
                </c:pt>
                <c:pt idx="13">
                  <c:v>14</c:v>
                </c:pt>
                <c:pt idx="14">
                  <c:v>12</c:v>
                </c:pt>
                <c:pt idx="15">
                  <c:v>10</c:v>
                </c:pt>
                <c:pt idx="16">
                  <c:v>8</c:v>
                </c:pt>
                <c:pt idx="17">
                  <c:v>6</c:v>
                </c:pt>
                <c:pt idx="18">
                  <c:v>4</c:v>
                </c:pt>
                <c:pt idx="19">
                  <c:v>2</c:v>
                </c:pt>
                <c:pt idx="20">
                  <c:v>0</c:v>
                </c:pt>
              </c:numCache>
            </c:numRef>
          </c:xVal>
          <c:yVal>
            <c:numRef>
              <c:f>'圧入力推定 (2)'!$W$17:$W$37</c:f>
              <c:numCache>
                <c:formatCode>0</c:formatCode>
                <c:ptCount val="21"/>
                <c:pt idx="0">
                  <c:v>8238.261999644048</c:v>
                </c:pt>
                <c:pt idx="1">
                  <c:v>8911.7175650647623</c:v>
                </c:pt>
                <c:pt idx="2">
                  <c:v>9585.1731304854766</c:v>
                </c:pt>
                <c:pt idx="3">
                  <c:v>10258.628695906191</c:v>
                </c:pt>
                <c:pt idx="4">
                  <c:v>10932.084261326905</c:v>
                </c:pt>
                <c:pt idx="5">
                  <c:v>11605.539826747619</c:v>
                </c:pt>
                <c:pt idx="6">
                  <c:v>12278.995392168334</c:v>
                </c:pt>
                <c:pt idx="7">
                  <c:v>12952.450957589048</c:v>
                </c:pt>
                <c:pt idx="8">
                  <c:v>13625.906523009764</c:v>
                </c:pt>
                <c:pt idx="9">
                  <c:v>14299.362088430478</c:v>
                </c:pt>
                <c:pt idx="10">
                  <c:v>14972.817653851193</c:v>
                </c:pt>
                <c:pt idx="11">
                  <c:v>15646.273219271909</c:v>
                </c:pt>
                <c:pt idx="12">
                  <c:v>16319.728784692621</c:v>
                </c:pt>
                <c:pt idx="13">
                  <c:v>16993.184350113333</c:v>
                </c:pt>
                <c:pt idx="14">
                  <c:v>17666.639915534048</c:v>
                </c:pt>
                <c:pt idx="15">
                  <c:v>18340.095480954766</c:v>
                </c:pt>
                <c:pt idx="16">
                  <c:v>19013.55104637548</c:v>
                </c:pt>
                <c:pt idx="17">
                  <c:v>19687.006611796194</c:v>
                </c:pt>
                <c:pt idx="18">
                  <c:v>20360.462177216908</c:v>
                </c:pt>
                <c:pt idx="19">
                  <c:v>21033.917742637623</c:v>
                </c:pt>
                <c:pt idx="20">
                  <c:v>21707.373308058337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3F-4BF6-A964-0CD113373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002591"/>
        <c:axId val="953153871"/>
      </c:scatterChart>
      <c:valAx>
        <c:axId val="954002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'圧入力推定 (2)'!$C$16</c:f>
              <c:strCache>
                <c:ptCount val="1"/>
                <c:pt idx="0">
                  <c:v>内筒非はめあい径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53153871"/>
        <c:crosses val="autoZero"/>
        <c:crossBetween val="midCat"/>
      </c:valAx>
      <c:valAx>
        <c:axId val="95315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'圧入力推定 (2)'!$W$16</c:f>
              <c:strCache>
                <c:ptCount val="1"/>
                <c:pt idx="0">
                  <c:v>Assy圧入力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54002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MH</a:t>
            </a:r>
            <a:r>
              <a:rPr lang="ja-JP" altLang="en-US"/>
              <a:t>の</a:t>
            </a:r>
            <a:r>
              <a:rPr lang="en-US" altLang="ja-JP"/>
              <a:t>BRG</a:t>
            </a:r>
            <a:endParaRPr 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円筒近似!$K$2</c:f>
              <c:strCache>
                <c:ptCount val="1"/>
                <c:pt idx="0">
                  <c:v>内径変位D=100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円筒近似!$A$3:$A$23</c:f>
              <c:numCache>
                <c:formatCode>General</c:formatCode>
                <c:ptCount val="2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</c:numCache>
            </c:numRef>
          </c:xVal>
          <c:yVal>
            <c:numRef>
              <c:f>円筒近似!$K$3:$K$23</c:f>
              <c:numCache>
                <c:formatCode>0.0000</c:formatCode>
                <c:ptCount val="21"/>
                <c:pt idx="0">
                  <c:v>0</c:v>
                </c:pt>
                <c:pt idx="1">
                  <c:v>1.9610479317345515E-3</c:v>
                </c:pt>
                <c:pt idx="2">
                  <c:v>3.9220958634691031E-3</c:v>
                </c:pt>
                <c:pt idx="3">
                  <c:v>5.8831437952036542E-3</c:v>
                </c:pt>
                <c:pt idx="4">
                  <c:v>7.8441917269382062E-3</c:v>
                </c:pt>
                <c:pt idx="5">
                  <c:v>9.8052396586727573E-3</c:v>
                </c:pt>
                <c:pt idx="6">
                  <c:v>1.1766287590407308E-2</c:v>
                </c:pt>
                <c:pt idx="7">
                  <c:v>1.3727335522141859E-2</c:v>
                </c:pt>
                <c:pt idx="8">
                  <c:v>1.5688383453876412E-2</c:v>
                </c:pt>
                <c:pt idx="9">
                  <c:v>1.7649431385610963E-2</c:v>
                </c:pt>
                <c:pt idx="10">
                  <c:v>1.9610479317345515E-2</c:v>
                </c:pt>
                <c:pt idx="11">
                  <c:v>2.1571527249080066E-2</c:v>
                </c:pt>
                <c:pt idx="12">
                  <c:v>2.3532575180814617E-2</c:v>
                </c:pt>
                <c:pt idx="13">
                  <c:v>2.5493623112549168E-2</c:v>
                </c:pt>
                <c:pt idx="14">
                  <c:v>2.7454671044283719E-2</c:v>
                </c:pt>
                <c:pt idx="15">
                  <c:v>2.941571897601827E-2</c:v>
                </c:pt>
                <c:pt idx="16">
                  <c:v>3.1376766907752825E-2</c:v>
                </c:pt>
                <c:pt idx="17">
                  <c:v>3.3337814839487376E-2</c:v>
                </c:pt>
                <c:pt idx="18">
                  <c:v>3.5298862771221927E-2</c:v>
                </c:pt>
                <c:pt idx="19">
                  <c:v>3.7259910702956478E-2</c:v>
                </c:pt>
                <c:pt idx="20">
                  <c:v>3.9220958634691029E-2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61-40BB-A7B9-9E13DB0ED033}"/>
            </c:ext>
          </c:extLst>
        </c:ser>
        <c:ser>
          <c:idx val="1"/>
          <c:order val="1"/>
          <c:tx>
            <c:strRef>
              <c:f>円筒近似!$L$2</c:f>
              <c:strCache>
                <c:ptCount val="1"/>
                <c:pt idx="0">
                  <c:v>内径変位D=110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円筒近似!$A$3:$A$23</c:f>
              <c:numCache>
                <c:formatCode>General</c:formatCode>
                <c:ptCount val="2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</c:numCache>
            </c:numRef>
          </c:xVal>
          <c:yVal>
            <c:numRef>
              <c:f>円筒近似!$L$3:$L$23</c:f>
              <c:numCache>
                <c:formatCode>0.0000</c:formatCode>
                <c:ptCount val="21"/>
                <c:pt idx="0">
                  <c:v>0</c:v>
                </c:pt>
                <c:pt idx="1">
                  <c:v>1.2896961899602744E-3</c:v>
                </c:pt>
                <c:pt idx="2">
                  <c:v>2.5793923799205488E-3</c:v>
                </c:pt>
                <c:pt idx="3">
                  <c:v>3.8690885698808232E-3</c:v>
                </c:pt>
                <c:pt idx="4">
                  <c:v>5.1587847598410976E-3</c:v>
                </c:pt>
                <c:pt idx="5">
                  <c:v>6.4484809498013716E-3</c:v>
                </c:pt>
                <c:pt idx="6">
                  <c:v>7.7381771397616464E-3</c:v>
                </c:pt>
                <c:pt idx="7">
                  <c:v>9.0278733297219221E-3</c:v>
                </c:pt>
                <c:pt idx="8">
                  <c:v>1.0317569519682195E-2</c:v>
                </c:pt>
                <c:pt idx="9">
                  <c:v>1.160726570964247E-2</c:v>
                </c:pt>
                <c:pt idx="10">
                  <c:v>1.2896961899602743E-2</c:v>
                </c:pt>
                <c:pt idx="11">
                  <c:v>1.4186658089563018E-2</c:v>
                </c:pt>
                <c:pt idx="12">
                  <c:v>1.5476354279523293E-2</c:v>
                </c:pt>
                <c:pt idx="13">
                  <c:v>1.6766050469483568E-2</c:v>
                </c:pt>
                <c:pt idx="14">
                  <c:v>1.8055746659443844E-2</c:v>
                </c:pt>
                <c:pt idx="15">
                  <c:v>1.9345442849404117E-2</c:v>
                </c:pt>
                <c:pt idx="16">
                  <c:v>2.063513903936439E-2</c:v>
                </c:pt>
                <c:pt idx="17">
                  <c:v>2.1924835229324664E-2</c:v>
                </c:pt>
                <c:pt idx="18">
                  <c:v>2.321453141928494E-2</c:v>
                </c:pt>
                <c:pt idx="19">
                  <c:v>2.4504227609245213E-2</c:v>
                </c:pt>
                <c:pt idx="20">
                  <c:v>2.5793923799205486E-2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61-40BB-A7B9-9E13DB0ED033}"/>
            </c:ext>
          </c:extLst>
        </c:ser>
        <c:ser>
          <c:idx val="2"/>
          <c:order val="2"/>
          <c:tx>
            <c:strRef>
              <c:f>円筒近似!$M$2</c:f>
              <c:strCache>
                <c:ptCount val="1"/>
                <c:pt idx="0">
                  <c:v>内径変位D=120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円筒近似!$A$3:$A$23</c:f>
              <c:numCache>
                <c:formatCode>General</c:formatCode>
                <c:ptCount val="2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</c:numCache>
            </c:numRef>
          </c:xVal>
          <c:yVal>
            <c:numRef>
              <c:f>円筒近似!$M$3:$M$23</c:f>
              <c:numCache>
                <c:formatCode>0.0000</c:formatCode>
                <c:ptCount val="21"/>
                <c:pt idx="0">
                  <c:v>0</c:v>
                </c:pt>
                <c:pt idx="1">
                  <c:v>1.0053157358786867E-3</c:v>
                </c:pt>
                <c:pt idx="2">
                  <c:v>2.0106314717573733E-3</c:v>
                </c:pt>
                <c:pt idx="3">
                  <c:v>3.01594720763606E-3</c:v>
                </c:pt>
                <c:pt idx="4">
                  <c:v>4.0212629435147466E-3</c:v>
                </c:pt>
                <c:pt idx="5">
                  <c:v>5.0265786793934333E-3</c:v>
                </c:pt>
                <c:pt idx="6">
                  <c:v>6.03189441527212E-3</c:v>
                </c:pt>
                <c:pt idx="7">
                  <c:v>7.0372101511508066E-3</c:v>
                </c:pt>
                <c:pt idx="8">
                  <c:v>8.0425258870294933E-3</c:v>
                </c:pt>
                <c:pt idx="9">
                  <c:v>9.0478416229081791E-3</c:v>
                </c:pt>
                <c:pt idx="10">
                  <c:v>1.0053157358786867E-2</c:v>
                </c:pt>
                <c:pt idx="11">
                  <c:v>1.1058473094665552E-2</c:v>
                </c:pt>
                <c:pt idx="12">
                  <c:v>1.206378883054424E-2</c:v>
                </c:pt>
                <c:pt idx="13">
                  <c:v>1.3069104566422927E-2</c:v>
                </c:pt>
                <c:pt idx="14">
                  <c:v>1.4074420302301613E-2</c:v>
                </c:pt>
                <c:pt idx="15">
                  <c:v>1.5079736038180301E-2</c:v>
                </c:pt>
                <c:pt idx="16">
                  <c:v>1.6085051774058987E-2</c:v>
                </c:pt>
                <c:pt idx="17">
                  <c:v>1.7090367509937674E-2</c:v>
                </c:pt>
                <c:pt idx="18">
                  <c:v>1.8095683245816358E-2</c:v>
                </c:pt>
                <c:pt idx="19">
                  <c:v>1.9100998981695046E-2</c:v>
                </c:pt>
                <c:pt idx="20">
                  <c:v>2.0106314717573733E-2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61-40BB-A7B9-9E13DB0ED033}"/>
            </c:ext>
          </c:extLst>
        </c:ser>
        <c:ser>
          <c:idx val="3"/>
          <c:order val="3"/>
          <c:tx>
            <c:strRef>
              <c:f>円筒近似!$N$2</c:f>
              <c:strCache>
                <c:ptCount val="1"/>
                <c:pt idx="0">
                  <c:v>内径変位D=130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円筒近似!$A$3:$A$23</c:f>
              <c:numCache>
                <c:formatCode>General</c:formatCode>
                <c:ptCount val="2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</c:numCache>
            </c:numRef>
          </c:xVal>
          <c:yVal>
            <c:numRef>
              <c:f>円筒近似!$N$3:$N$23</c:f>
              <c:numCache>
                <c:formatCode>0.0000</c:formatCode>
                <c:ptCount val="21"/>
                <c:pt idx="0">
                  <c:v>0</c:v>
                </c:pt>
                <c:pt idx="1">
                  <c:v>8.4956304363649612E-4</c:v>
                </c:pt>
                <c:pt idx="2">
                  <c:v>1.6991260872729922E-3</c:v>
                </c:pt>
                <c:pt idx="3">
                  <c:v>2.5486891309094879E-3</c:v>
                </c:pt>
                <c:pt idx="4">
                  <c:v>3.3982521745459845E-3</c:v>
                </c:pt>
                <c:pt idx="5">
                  <c:v>4.2478152181824802E-3</c:v>
                </c:pt>
                <c:pt idx="6">
                  <c:v>5.0973782618189759E-3</c:v>
                </c:pt>
                <c:pt idx="7">
                  <c:v>5.9469413054554724E-3</c:v>
                </c:pt>
                <c:pt idx="8">
                  <c:v>6.796504349091969E-3</c:v>
                </c:pt>
                <c:pt idx="9">
                  <c:v>7.6460673927284646E-3</c:v>
                </c:pt>
                <c:pt idx="10">
                  <c:v>8.4956304363649603E-3</c:v>
                </c:pt>
                <c:pt idx="11">
                  <c:v>9.3451934800014569E-3</c:v>
                </c:pt>
                <c:pt idx="12">
                  <c:v>1.0194756523637952E-2</c:v>
                </c:pt>
                <c:pt idx="13">
                  <c:v>1.104431956727445E-2</c:v>
                </c:pt>
                <c:pt idx="14">
                  <c:v>1.1893882610910945E-2</c:v>
                </c:pt>
                <c:pt idx="15">
                  <c:v>1.2743445654547441E-2</c:v>
                </c:pt>
                <c:pt idx="16">
                  <c:v>1.3593008698183938E-2</c:v>
                </c:pt>
                <c:pt idx="17">
                  <c:v>1.4442571741820433E-2</c:v>
                </c:pt>
                <c:pt idx="18">
                  <c:v>1.5292134785456929E-2</c:v>
                </c:pt>
                <c:pt idx="19">
                  <c:v>1.6141697829093426E-2</c:v>
                </c:pt>
                <c:pt idx="20">
                  <c:v>1.6991260872729921E-2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B61-40BB-A7B9-9E13DB0ED033}"/>
            </c:ext>
          </c:extLst>
        </c:ser>
        <c:ser>
          <c:idx val="4"/>
          <c:order val="4"/>
          <c:tx>
            <c:strRef>
              <c:f>円筒近似!$O$2</c:f>
              <c:strCache>
                <c:ptCount val="1"/>
                <c:pt idx="0">
                  <c:v>内径変位D=140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円筒近似!$A$3:$A$23</c:f>
              <c:numCache>
                <c:formatCode>General</c:formatCode>
                <c:ptCount val="2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</c:numCache>
            </c:numRef>
          </c:xVal>
          <c:yVal>
            <c:numRef>
              <c:f>円筒近似!$O$3:$O$23</c:f>
              <c:numCache>
                <c:formatCode>0.0000</c:formatCode>
                <c:ptCount val="21"/>
                <c:pt idx="0">
                  <c:v>0</c:v>
                </c:pt>
                <c:pt idx="1">
                  <c:v>7.5203353962156774E-4</c:v>
                </c:pt>
                <c:pt idx="2">
                  <c:v>1.5040670792431355E-3</c:v>
                </c:pt>
                <c:pt idx="3">
                  <c:v>2.256100618864703E-3</c:v>
                </c:pt>
                <c:pt idx="4">
                  <c:v>3.008134158486271E-3</c:v>
                </c:pt>
                <c:pt idx="5">
                  <c:v>3.7601676981078385E-3</c:v>
                </c:pt>
                <c:pt idx="6">
                  <c:v>4.512201237729406E-3</c:v>
                </c:pt>
                <c:pt idx="7">
                  <c:v>5.264234777350974E-3</c:v>
                </c:pt>
                <c:pt idx="8">
                  <c:v>6.0162683169725419E-3</c:v>
                </c:pt>
                <c:pt idx="9">
                  <c:v>6.768301856594109E-3</c:v>
                </c:pt>
                <c:pt idx="10">
                  <c:v>7.520335396215677E-3</c:v>
                </c:pt>
                <c:pt idx="11">
                  <c:v>8.2723689358372449E-3</c:v>
                </c:pt>
                <c:pt idx="12">
                  <c:v>9.024402475458812E-3</c:v>
                </c:pt>
                <c:pt idx="13">
                  <c:v>9.7764360150803808E-3</c:v>
                </c:pt>
                <c:pt idx="14">
                  <c:v>1.0528469554701948E-2</c:v>
                </c:pt>
                <c:pt idx="15">
                  <c:v>1.1280503094323515E-2</c:v>
                </c:pt>
                <c:pt idx="16">
                  <c:v>1.2032536633945084E-2</c:v>
                </c:pt>
                <c:pt idx="17">
                  <c:v>1.2784570173566651E-2</c:v>
                </c:pt>
                <c:pt idx="18">
                  <c:v>1.3536603713188218E-2</c:v>
                </c:pt>
                <c:pt idx="19">
                  <c:v>1.4288637252809787E-2</c:v>
                </c:pt>
                <c:pt idx="20">
                  <c:v>1.5040670792431354E-2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B61-40BB-A7B9-9E13DB0ED033}"/>
            </c:ext>
          </c:extLst>
        </c:ser>
        <c:ser>
          <c:idx val="5"/>
          <c:order val="5"/>
          <c:tx>
            <c:strRef>
              <c:f>円筒近似!$P$2</c:f>
              <c:strCache>
                <c:ptCount val="1"/>
                <c:pt idx="0">
                  <c:v>内径変位D=150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円筒近似!$A$3:$A$23</c:f>
              <c:numCache>
                <c:formatCode>General</c:formatCode>
                <c:ptCount val="2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</c:numCache>
            </c:numRef>
          </c:xVal>
          <c:yVal>
            <c:numRef>
              <c:f>円筒近似!$P$3:$P$23</c:f>
              <c:numCache>
                <c:formatCode>0.0000</c:formatCode>
                <c:ptCount val="21"/>
                <c:pt idx="0">
                  <c:v>0</c:v>
                </c:pt>
                <c:pt idx="1">
                  <c:v>6.8568368064359983E-4</c:v>
                </c:pt>
                <c:pt idx="2">
                  <c:v>1.3713673612871997E-3</c:v>
                </c:pt>
                <c:pt idx="3">
                  <c:v>2.0570510419307994E-3</c:v>
                </c:pt>
                <c:pt idx="4">
                  <c:v>2.7427347225743993E-3</c:v>
                </c:pt>
                <c:pt idx="5">
                  <c:v>3.4284184032179988E-3</c:v>
                </c:pt>
                <c:pt idx="6">
                  <c:v>4.1141020838615988E-3</c:v>
                </c:pt>
                <c:pt idx="7">
                  <c:v>4.7997857645051987E-3</c:v>
                </c:pt>
                <c:pt idx="8">
                  <c:v>5.4854694451487987E-3</c:v>
                </c:pt>
                <c:pt idx="9">
                  <c:v>6.1711531257923986E-3</c:v>
                </c:pt>
                <c:pt idx="10">
                  <c:v>6.8568368064359977E-3</c:v>
                </c:pt>
                <c:pt idx="11">
                  <c:v>7.5425204870795976E-3</c:v>
                </c:pt>
                <c:pt idx="12">
                  <c:v>8.2282041677231976E-3</c:v>
                </c:pt>
                <c:pt idx="13">
                  <c:v>8.9138878483667975E-3</c:v>
                </c:pt>
                <c:pt idx="14">
                  <c:v>9.5995715290103974E-3</c:v>
                </c:pt>
                <c:pt idx="15">
                  <c:v>1.0285255209653997E-2</c:v>
                </c:pt>
                <c:pt idx="16">
                  <c:v>1.0970938890297597E-2</c:v>
                </c:pt>
                <c:pt idx="17">
                  <c:v>1.1656622570941197E-2</c:v>
                </c:pt>
                <c:pt idx="18">
                  <c:v>1.2342306251584797E-2</c:v>
                </c:pt>
                <c:pt idx="19">
                  <c:v>1.3027989932228395E-2</c:v>
                </c:pt>
                <c:pt idx="20">
                  <c:v>1.3713673612871995E-2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B61-40BB-A7B9-9E13DB0ED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71360"/>
        <c:axId val="906377888"/>
      </c:scatterChart>
      <c:valAx>
        <c:axId val="906371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/>
                  <a:t>面圧</a:t>
                </a:r>
                <a:r>
                  <a:rPr lang="en-US"/>
                  <a:t>[MPa]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06377888"/>
        <c:crosses val="autoZero"/>
        <c:crossBetween val="midCat"/>
      </c:valAx>
      <c:valAx>
        <c:axId val="90637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/>
                  <a:t>内径の変形量</a:t>
                </a:r>
                <a:r>
                  <a:rPr lang="en-US"/>
                  <a:t>[mm]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06371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image" Target="../media/image2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7/06/relationships/model3d" Target="../media/model3d1.glb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emf"/><Relationship Id="rId21" Type="http://schemas.openxmlformats.org/officeDocument/2006/relationships/image" Target="../media/image25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emf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3.png"/><Relationship Id="rId6" Type="http://schemas.openxmlformats.org/officeDocument/2006/relationships/image" Target="../media/image10.emf"/><Relationship Id="rId11" Type="http://schemas.openxmlformats.org/officeDocument/2006/relationships/image" Target="../media/image15.emf"/><Relationship Id="rId5" Type="http://schemas.openxmlformats.org/officeDocument/2006/relationships/image" Target="../media/image9.emf"/><Relationship Id="rId15" Type="http://schemas.openxmlformats.org/officeDocument/2006/relationships/image" Target="../media/image19.emf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emf"/><Relationship Id="rId9" Type="http://schemas.openxmlformats.org/officeDocument/2006/relationships/image" Target="../media/image13.png"/><Relationship Id="rId14" Type="http://schemas.openxmlformats.org/officeDocument/2006/relationships/image" Target="../media/image18.emf"/><Relationship Id="rId22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33.emf"/><Relationship Id="rId3" Type="http://schemas.openxmlformats.org/officeDocument/2006/relationships/image" Target="../media/image28.emf"/><Relationship Id="rId7" Type="http://schemas.openxmlformats.org/officeDocument/2006/relationships/image" Target="../media/image32.emf"/><Relationship Id="rId2" Type="http://schemas.openxmlformats.org/officeDocument/2006/relationships/image" Target="../media/image27.emf"/><Relationship Id="rId1" Type="http://schemas.openxmlformats.org/officeDocument/2006/relationships/image" Target="../media/image5.emf"/><Relationship Id="rId6" Type="http://schemas.openxmlformats.org/officeDocument/2006/relationships/image" Target="../media/image31.emf"/><Relationship Id="rId5" Type="http://schemas.openxmlformats.org/officeDocument/2006/relationships/image" Target="../media/image30.emf"/><Relationship Id="rId4" Type="http://schemas.openxmlformats.org/officeDocument/2006/relationships/image" Target="../media/image29.emf"/><Relationship Id="rId9" Type="http://schemas.openxmlformats.org/officeDocument/2006/relationships/image" Target="../media/image3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68</xdr:row>
      <xdr:rowOff>47625</xdr:rowOff>
    </xdr:from>
    <xdr:to>
      <xdr:col>12</xdr:col>
      <xdr:colOff>173157</xdr:colOff>
      <xdr:row>87</xdr:row>
      <xdr:rowOff>69469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0</xdr:colOff>
      <xdr:row>88</xdr:row>
      <xdr:rowOff>76200</xdr:rowOff>
    </xdr:from>
    <xdr:to>
      <xdr:col>12</xdr:col>
      <xdr:colOff>173157</xdr:colOff>
      <xdr:row>107</xdr:row>
      <xdr:rowOff>98044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</xdr:col>
      <xdr:colOff>0</xdr:colOff>
      <xdr:row>30</xdr:row>
      <xdr:rowOff>19829</xdr:rowOff>
    </xdr:from>
    <xdr:to>
      <xdr:col>12</xdr:col>
      <xdr:colOff>173157</xdr:colOff>
      <xdr:row>47</xdr:row>
      <xdr:rowOff>185737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743625</xdr:colOff>
      <xdr:row>48</xdr:row>
      <xdr:rowOff>190088</xdr:rowOff>
    </xdr:from>
    <xdr:to>
      <xdr:col>12</xdr:col>
      <xdr:colOff>166688</xdr:colOff>
      <xdr:row>67</xdr:row>
      <xdr:rowOff>104775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292957</xdr:colOff>
      <xdr:row>7</xdr:row>
      <xdr:rowOff>22309</xdr:rowOff>
    </xdr:from>
    <xdr:to>
      <xdr:col>12</xdr:col>
      <xdr:colOff>157383</xdr:colOff>
      <xdr:row>28</xdr:row>
      <xdr:rowOff>42687</xdr:rowOff>
    </xdr:to>
    <xdr:grpSp>
      <xdr:nvGrpSpPr>
        <xdr:cNvPr id="78" name="グループ化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GrpSpPr/>
      </xdr:nvGrpSpPr>
      <xdr:grpSpPr>
        <a:xfrm>
          <a:off x="8384445" y="1693947"/>
          <a:ext cx="5088888" cy="4930515"/>
          <a:chOff x="8381880" y="1692847"/>
          <a:chExt cx="5092186" cy="4925754"/>
        </a:xfrm>
      </xdr:grpSpPr>
      <xdr:grpSp>
        <xdr:nvGrpSpPr>
          <xdr:cNvPr id="63" name="グループ化 62">
            <a:extLst>
              <a:ext uri="{FF2B5EF4-FFF2-40B4-BE49-F238E27FC236}">
                <a16:creationId xmlns:a16="http://schemas.microsoft.com/office/drawing/2014/main" id="{00000000-0008-0000-0000-00003F000000}"/>
              </a:ext>
            </a:extLst>
          </xdr:cNvPr>
          <xdr:cNvGrpSpPr/>
        </xdr:nvGrpSpPr>
        <xdr:grpSpPr>
          <a:xfrm>
            <a:off x="8659026" y="1692847"/>
            <a:ext cx="4815040" cy="4925754"/>
            <a:chOff x="8219125" y="1048978"/>
            <a:chExt cx="4811742" cy="4930465"/>
          </a:xfrm>
        </xdr:grpSpPr>
        <xdr:pic>
          <xdr:nvPicPr>
            <xdr:cNvPr id="9" name="図 8">
              <a:extLst>
                <a:ext uri="{FF2B5EF4-FFF2-40B4-BE49-F238E27FC236}">
                  <a16:creationId xmlns:a16="http://schemas.microsoft.com/office/drawing/2014/main" id="{00000000-0008-0000-0000-000009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8219125" y="1350965"/>
              <a:ext cx="4811742" cy="4276131"/>
            </a:xfrm>
            <a:prstGeom prst="rect">
              <a:avLst/>
            </a:prstGeom>
          </xdr:spPr>
        </xdr:pic>
        <xdr:cxnSp macro="">
          <xdr:nvCxnSpPr>
            <xdr:cNvPr id="11" name="直線矢印コネクタ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CxnSpPr>
              <a:cxnSpLocks/>
            </xdr:cNvCxnSpPr>
          </xdr:nvCxnSpPr>
          <xdr:spPr>
            <a:xfrm flipV="1">
              <a:off x="9322387" y="4541993"/>
              <a:ext cx="448467" cy="979078"/>
            </a:xfrm>
            <a:prstGeom prst="straightConnector1">
              <a:avLst/>
            </a:prstGeom>
            <a:ln>
              <a:solidFill>
                <a:srgbClr val="FF0000"/>
              </a:solidFill>
              <a:tailEnd type="oval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" name="直線矢印コネクタ 12">
              <a:extLst>
                <a:ext uri="{FF2B5EF4-FFF2-40B4-BE49-F238E27FC236}">
                  <a16:creationId xmlns:a16="http://schemas.microsoft.com/office/drawing/2014/main" id="{00000000-0008-0000-0000-00000D000000}"/>
                </a:ext>
              </a:extLst>
            </xdr:cNvPr>
            <xdr:cNvCxnSpPr>
              <a:cxnSpLocks/>
              <a:stCxn id="18" idx="0"/>
            </xdr:cNvCxnSpPr>
          </xdr:nvCxnSpPr>
          <xdr:spPr>
            <a:xfrm flipV="1">
              <a:off x="10727230" y="4949026"/>
              <a:ext cx="193163" cy="593631"/>
            </a:xfrm>
            <a:prstGeom prst="straightConnector1">
              <a:avLst/>
            </a:prstGeom>
            <a:ln>
              <a:solidFill>
                <a:srgbClr val="FF0000"/>
              </a:solidFill>
              <a:tailEnd type="oval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" name="直線矢印コネクタ 14">
              <a:extLst>
                <a:ext uri="{FF2B5EF4-FFF2-40B4-BE49-F238E27FC236}">
                  <a16:creationId xmlns:a16="http://schemas.microsoft.com/office/drawing/2014/main" id="{00000000-0008-0000-0000-00000F000000}"/>
                </a:ext>
              </a:extLst>
            </xdr:cNvPr>
            <xdr:cNvCxnSpPr>
              <a:cxnSpLocks/>
              <a:stCxn id="19" idx="0"/>
            </xdr:cNvCxnSpPr>
          </xdr:nvCxnSpPr>
          <xdr:spPr>
            <a:xfrm flipV="1">
              <a:off x="12002960" y="4029424"/>
              <a:ext cx="50603" cy="1513233"/>
            </a:xfrm>
            <a:prstGeom prst="straightConnector1">
              <a:avLst/>
            </a:prstGeom>
            <a:ln>
              <a:solidFill>
                <a:srgbClr val="FF0000"/>
              </a:solidFill>
              <a:tailEnd type="oval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7" name="テキスト ボックス 16">
              <a:extLst>
                <a:ext uri="{FF2B5EF4-FFF2-40B4-BE49-F238E27FC236}">
                  <a16:creationId xmlns:a16="http://schemas.microsoft.com/office/drawing/2014/main" id="{00000000-0008-0000-0000-000011000000}"/>
                </a:ext>
              </a:extLst>
            </xdr:cNvPr>
            <xdr:cNvSpPr txBox="1">
              <a:spLocks/>
            </xdr:cNvSpPr>
          </xdr:nvSpPr>
          <xdr:spPr>
            <a:xfrm>
              <a:off x="8859276" y="5532073"/>
              <a:ext cx="874967" cy="436786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overflow" horzOverflow="overflow" wrap="square" rtlCol="0" anchor="ctr">
              <a:spAutoFit/>
            </a:bodyPr>
            <a:lstStyle/>
            <a:p>
              <a:pPr algn="ctr"/>
              <a:r>
                <a:rPr kumimoji="1" lang="en-US" altLang="ja-JP" sz="1100"/>
                <a:t>Inner Part</a:t>
              </a:r>
            </a:p>
            <a:p>
              <a:pPr algn="ctr"/>
              <a:r>
                <a:rPr kumimoji="1" lang="en-US" altLang="ja-JP" sz="1100"/>
                <a:t>(Blue)</a:t>
              </a:r>
              <a:endParaRPr kumimoji="1" lang="ja-JP" altLang="en-US" sz="1100"/>
            </a:p>
          </xdr:txBody>
        </xdr:sp>
        <xdr:sp macro="" textlink="">
          <xdr:nvSpPr>
            <xdr:cNvPr id="18" name="テキスト ボックス 17">
              <a:extLst>
                <a:ext uri="{FF2B5EF4-FFF2-40B4-BE49-F238E27FC236}">
                  <a16:creationId xmlns:a16="http://schemas.microsoft.com/office/drawing/2014/main" id="{00000000-0008-0000-0000-000012000000}"/>
                </a:ext>
              </a:extLst>
            </xdr:cNvPr>
            <xdr:cNvSpPr txBox="1">
              <a:spLocks/>
            </xdr:cNvSpPr>
          </xdr:nvSpPr>
          <xdr:spPr>
            <a:xfrm>
              <a:off x="10325393" y="5542657"/>
              <a:ext cx="803673" cy="436786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overflow" horzOverflow="overflow" wrap="square" rtlCol="0" anchor="ctr">
              <a:spAutoFit/>
            </a:bodyPr>
            <a:lstStyle/>
            <a:p>
              <a:pPr algn="ctr"/>
              <a:r>
                <a:rPr kumimoji="1" lang="en-US" altLang="ja-JP" sz="1100"/>
                <a:t>Outer Part</a:t>
              </a:r>
            </a:p>
            <a:p>
              <a:pPr algn="ctr"/>
              <a:r>
                <a:rPr kumimoji="1" lang="en-US" altLang="ja-JP" sz="1100"/>
                <a:t>(Yellow)</a:t>
              </a:r>
              <a:endParaRPr kumimoji="1" lang="ja-JP" altLang="en-US" sz="1100"/>
            </a:p>
          </xdr:txBody>
        </xdr:sp>
        <xdr:sp macro="" textlink="">
          <xdr:nvSpPr>
            <xdr:cNvPr id="19" name="テキスト ボックス 18">
              <a:extLst>
                <a:ext uri="{FF2B5EF4-FFF2-40B4-BE49-F238E27FC236}">
                  <a16:creationId xmlns:a16="http://schemas.microsoft.com/office/drawing/2014/main" id="{00000000-0008-0000-0000-000013000000}"/>
                </a:ext>
              </a:extLst>
            </xdr:cNvPr>
            <xdr:cNvSpPr txBox="1">
              <a:spLocks/>
            </xdr:cNvSpPr>
          </xdr:nvSpPr>
          <xdr:spPr>
            <a:xfrm>
              <a:off x="11434435" y="5542657"/>
              <a:ext cx="1137047" cy="436786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overflow" horzOverflow="overflow" wrap="square" rtlCol="0" anchor="ctr">
              <a:spAutoFit/>
            </a:bodyPr>
            <a:lstStyle/>
            <a:p>
              <a:pPr algn="ctr"/>
              <a:r>
                <a:rPr kumimoji="1" lang="en-US" altLang="ja-JP" sz="1100"/>
                <a:t>Be Pushed Part</a:t>
              </a:r>
            </a:p>
            <a:p>
              <a:pPr algn="ctr"/>
              <a:r>
                <a:rPr kumimoji="1" lang="en-US" altLang="ja-JP" sz="1100"/>
                <a:t>(Green)</a:t>
              </a:r>
              <a:endParaRPr kumimoji="1" lang="ja-JP" altLang="en-US" sz="1100"/>
            </a:p>
          </xdr:txBody>
        </xdr:sp>
        <xdr:cxnSp macro="">
          <xdr:nvCxnSpPr>
            <xdr:cNvPr id="36" name="直線矢印コネクタ 35">
              <a:extLst>
                <a:ext uri="{FF2B5EF4-FFF2-40B4-BE49-F238E27FC236}">
                  <a16:creationId xmlns:a16="http://schemas.microsoft.com/office/drawing/2014/main" id="{00000000-0008-0000-0000-000024000000}"/>
                </a:ext>
              </a:extLst>
            </xdr:cNvPr>
            <xdr:cNvCxnSpPr>
              <a:cxnSpLocks/>
              <a:stCxn id="37" idx="2"/>
            </xdr:cNvCxnSpPr>
          </xdr:nvCxnSpPr>
          <xdr:spPr>
            <a:xfrm>
              <a:off x="9072334" y="1377401"/>
              <a:ext cx="1002379" cy="1177096"/>
            </a:xfrm>
            <a:prstGeom prst="straightConnector1">
              <a:avLst/>
            </a:prstGeom>
            <a:ln>
              <a:solidFill>
                <a:srgbClr val="FF0000"/>
              </a:solidFill>
              <a:tailEnd type="oval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7" name="テキスト ボックス 36">
              <a:extLst>
                <a:ext uri="{FF2B5EF4-FFF2-40B4-BE49-F238E27FC236}">
                  <a16:creationId xmlns:a16="http://schemas.microsoft.com/office/drawing/2014/main" id="{00000000-0008-0000-0000-000025000000}"/>
                </a:ext>
              </a:extLst>
            </xdr:cNvPr>
            <xdr:cNvSpPr txBox="1">
              <a:spLocks/>
            </xdr:cNvSpPr>
          </xdr:nvSpPr>
          <xdr:spPr>
            <a:xfrm>
              <a:off x="8500504" y="1048978"/>
              <a:ext cx="1143660" cy="32842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overflow" horzOverflow="overflow" wrap="square" rtlCol="0" anchor="ctr">
              <a:spAutoFit/>
            </a:bodyPr>
            <a:lstStyle/>
            <a:p>
              <a:pPr algn="ctr"/>
              <a:r>
                <a:rPr kumimoji="1" lang="ja-JP" altLang="en-US" sz="1100"/>
                <a:t>はめあい部</a:t>
              </a:r>
            </a:p>
          </xdr:txBody>
        </xdr:sp>
        <xdr:sp macro="" textlink="">
          <xdr:nvSpPr>
            <xdr:cNvPr id="41" name="テキスト ボックス 40">
              <a:extLst>
                <a:ext uri="{FF2B5EF4-FFF2-40B4-BE49-F238E27FC236}">
                  <a16:creationId xmlns:a16="http://schemas.microsoft.com/office/drawing/2014/main" id="{00000000-0008-0000-0000-000029000000}"/>
                </a:ext>
              </a:extLst>
            </xdr:cNvPr>
            <xdr:cNvSpPr txBox="1">
              <a:spLocks/>
            </xdr:cNvSpPr>
          </xdr:nvSpPr>
          <xdr:spPr>
            <a:xfrm>
              <a:off x="10358253" y="1048978"/>
              <a:ext cx="1338262" cy="32842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overflow" horzOverflow="overflow" wrap="square" rtlCol="0" anchor="ctr">
              <a:spAutoFit/>
            </a:bodyPr>
            <a:lstStyle/>
            <a:p>
              <a:pPr algn="ctr"/>
              <a:r>
                <a:rPr kumimoji="1" lang="ja-JP" altLang="en-US" sz="1100"/>
                <a:t>圧入時押し当て部</a:t>
              </a:r>
            </a:p>
          </xdr:txBody>
        </xdr:sp>
        <xdr:cxnSp macro="">
          <xdr:nvCxnSpPr>
            <xdr:cNvPr id="42" name="直線矢印コネクタ 41">
              <a:extLst>
                <a:ext uri="{FF2B5EF4-FFF2-40B4-BE49-F238E27FC236}">
                  <a16:creationId xmlns:a16="http://schemas.microsoft.com/office/drawing/2014/main" id="{00000000-0008-0000-0000-00002A000000}"/>
                </a:ext>
              </a:extLst>
            </xdr:cNvPr>
            <xdr:cNvCxnSpPr>
              <a:cxnSpLocks/>
              <a:stCxn id="41" idx="2"/>
            </xdr:cNvCxnSpPr>
          </xdr:nvCxnSpPr>
          <xdr:spPr>
            <a:xfrm flipH="1">
              <a:off x="10363016" y="1377401"/>
              <a:ext cx="664369" cy="800493"/>
            </a:xfrm>
            <a:prstGeom prst="straightConnector1">
              <a:avLst/>
            </a:prstGeom>
            <a:ln>
              <a:solidFill>
                <a:srgbClr val="FF0000"/>
              </a:solidFill>
              <a:tailEnd type="oval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7" name="グループ化 76">
            <a:extLst>
              <a:ext uri="{FF2B5EF4-FFF2-40B4-BE49-F238E27FC236}">
                <a16:creationId xmlns:a16="http://schemas.microsoft.com/office/drawing/2014/main" id="{00000000-0008-0000-0000-00004D000000}"/>
              </a:ext>
            </a:extLst>
          </xdr:cNvPr>
          <xdr:cNvGrpSpPr/>
        </xdr:nvGrpSpPr>
        <xdr:grpSpPr>
          <a:xfrm>
            <a:off x="8381880" y="2688340"/>
            <a:ext cx="1652974" cy="823132"/>
            <a:chOff x="8345245" y="2702994"/>
            <a:chExt cx="1652974" cy="823132"/>
          </a:xfrm>
        </xdr:grpSpPr>
        <mc:AlternateContent xmlns:mc="http://schemas.openxmlformats.org/markup-compatibility/2006">
          <mc:Choice xmlns:am3d="http://schemas.microsoft.com/office/drawing/2017/model3d" Requires="am3d">
            <xdr:graphicFrame macro="">
              <xdr:nvGraphicFramePr>
                <xdr:cNvPr id="70" name="3D モデル 69" descr="太くて薄い灰色をした直線の矢印">
                  <a:extLst>
                    <a:ext uri="{FF2B5EF4-FFF2-40B4-BE49-F238E27FC236}">
                      <a16:creationId xmlns:a16="http://schemas.microsoft.com/office/drawing/2014/main" id="{00000000-0008-0000-0000-000046000000}"/>
                    </a:ext>
                  </a:extLst>
                </xdr:cNvPr>
                <xdr:cNvGraphicFramePr>
                  <a:graphicFrameLocks noChangeAspect="1"/>
                </xdr:cNvGraphicFramePr>
              </xdr:nvGraphicFramePr>
              <xdr:xfrm>
                <a:off x="8345245" y="2702994"/>
                <a:ext cx="1652974" cy="823132"/>
              </xdr:xfrm>
              <a:graphic>
                <a:graphicData uri="http://schemas.microsoft.com/office/drawing/2017/model3d">
                  <am3d:model3d xmlns:r="http://schemas.openxmlformats.org/officeDocument/2006/relationships" r:embed="rId6">
                    <am3d:spPr>
                      <a:xfrm>
                        <a:off x="0" y="0"/>
                        <a:ext cx="1651903" cy="823928"/>
                      </a:xfrm>
                      <a:prstGeom prst="rect">
                        <a:avLst/>
                      </a:prstGeom>
                    </am3d:spPr>
                    <am3d:camera>
                      <am3d:pos x="0" y="0" z="49265132"/>
                      <am3d:up dx="0" dy="36000000" dz="0"/>
                      <am3d:lookAt x="0" y="0" z="0"/>
                      <am3d:perspective fov="2700000"/>
                    </am3d:camera>
                    <am3d:trans>
                      <am3d:meterPerModelUnit n="2106943" d="1000000"/>
                      <am3d:preTrans dx="0" dy="-9860495" dz="-1482"/>
                      <am3d:scale>
                        <am3d:sx n="1000000" d="1000000"/>
                        <am3d:sy n="1000000" d="1000000"/>
                        <am3d:sz n="1000000" d="1000000"/>
                      </am3d:scale>
                      <am3d:rot ax="1560771" ay="1877885" az="853526"/>
                      <am3d:postTrans dx="0" dy="0" dz="0"/>
                    </am3d:trans>
                    <am3d:raster rName="Office3DRenderer" rVer="16.0.8326">
                      <am3d:blip r:embed="rId7"/>
                    </am3d:raster>
                    <am3d:objViewport viewportSz="1668454"/>
                    <am3d:ambientLight>
                      <am3d:clr>
                        <a:scrgbClr r="50000" g="50000" b="50000"/>
                      </am3d:clr>
                      <am3d:illuminance n="500000" d="1000000"/>
                    </am3d:ambientLight>
                    <am3d:ptLight rad="0">
                      <am3d:clr>
                        <a:scrgbClr r="100000" g="75000" b="50000"/>
                      </am3d:clr>
                      <am3d:intensity n="9765625" d="1000000"/>
                      <am3d:pos x="21959998" y="70920001" z="16344003"/>
                    </am3d:ptLight>
                    <am3d:ptLight rad="0">
                      <am3d:clr>
                        <a:scrgbClr r="40000" g="60000" b="95000"/>
                      </am3d:clr>
                      <am3d:intensity n="12250000" d="1000000"/>
                      <am3d:pos x="-37964106" y="51130435" z="57631972"/>
                    </am3d:ptLight>
                    <am3d:ptLight rad="0">
                      <am3d:clr>
                        <a:scrgbClr r="86837" g="72700" b="100000"/>
                      </am3d:clr>
                      <am3d:intensity n="3125000" d="1000000"/>
                      <am3d:pos x="-37739122" y="58056624" z="-34769649"/>
                    </am3d:ptLight>
                  </am3d:model3d>
                </a:graphicData>
              </a:graphic>
            </xdr:graphicFrame>
          </mc:Choice>
          <mc:Fallback>
            <xdr:pic>
              <xdr:nvPicPr>
                <xdr:cNvPr id="70" name="3D モデル 69" descr="太くて薄い灰色をした直線の矢印">
                  <a:extLst>
                    <a:ext uri="{FF2B5EF4-FFF2-40B4-BE49-F238E27FC236}">
                      <a16:creationId xmlns:a16="http://schemas.microsoft.com/office/drawing/2014/main" id="{00000000-0008-0000-0000-000046000000}"/>
                    </a:ext>
                  </a:extLst>
                </xdr:cNvPr>
                <xdr:cNvPicPr>
                  <a:picLocks noGrp="1" noRot="1" noChangeAspect="1" noMove="1" noResize="1" noEditPoints="1" noAdjustHandles="1" noChangeArrowheads="1" noChangeShapeType="1" noCrop="1"/>
                </xdr:cNvPicPr>
              </xdr:nvPicPr>
              <xdr:blipFill>
                <a:blip xmlns:r="http://schemas.openxmlformats.org/officeDocument/2006/relationships" r:embed="rId7"/>
                <a:stretch>
                  <a:fillRect/>
                </a:stretch>
              </xdr:blipFill>
              <xdr:spPr>
                <a:xfrm>
                  <a:off x="8384445" y="2690402"/>
                  <a:ext cx="1651903" cy="823928"/>
                </a:xfrm>
                <a:prstGeom prst="rect">
                  <a:avLst/>
                </a:prstGeom>
              </xdr:spPr>
            </xdr:pic>
          </mc:Fallback>
        </mc:AlternateContent>
        <xdr:sp macro="" textlink="">
          <xdr:nvSpPr>
            <xdr:cNvPr id="76" name="テキスト ボックス 75">
              <a:extLst>
                <a:ext uri="{FF2B5EF4-FFF2-40B4-BE49-F238E27FC236}">
                  <a16:creationId xmlns:a16="http://schemas.microsoft.com/office/drawing/2014/main" id="{00000000-0008-0000-0000-00004C000000}"/>
                </a:ext>
              </a:extLst>
            </xdr:cNvPr>
            <xdr:cNvSpPr txBox="1"/>
          </xdr:nvSpPr>
          <xdr:spPr>
            <a:xfrm rot="20722907">
              <a:off x="8436305" y="3017400"/>
              <a:ext cx="1053137" cy="32928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200" b="1">
                  <a:solidFill>
                    <a:schemeClr val="bg1"/>
                  </a:solidFill>
                </a:rPr>
                <a:t>圧入方向</a:t>
              </a:r>
            </a:p>
          </xdr:txBody>
        </xdr:sp>
      </xdr:grp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204788</xdr:rowOff>
    </xdr:from>
    <xdr:to>
      <xdr:col>4</xdr:col>
      <xdr:colOff>533591</xdr:colOff>
      <xdr:row>26</xdr:row>
      <xdr:rowOff>202607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471488</xdr:colOff>
      <xdr:row>10</xdr:row>
      <xdr:rowOff>180975</xdr:rowOff>
    </xdr:from>
    <xdr:to>
      <xdr:col>10</xdr:col>
      <xdr:colOff>598103</xdr:colOff>
      <xdr:row>26</xdr:row>
      <xdr:rowOff>178794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598882</xdr:colOff>
      <xdr:row>10</xdr:row>
      <xdr:rowOff>165145</xdr:rowOff>
    </xdr:from>
    <xdr:to>
      <xdr:col>22</xdr:col>
      <xdr:colOff>275224</xdr:colOff>
      <xdr:row>26</xdr:row>
      <xdr:rowOff>162964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630874</xdr:colOff>
      <xdr:row>13</xdr:row>
      <xdr:rowOff>215238</xdr:rowOff>
    </xdr:from>
    <xdr:to>
      <xdr:col>17</xdr:col>
      <xdr:colOff>272579</xdr:colOff>
      <xdr:row>29</xdr:row>
      <xdr:rowOff>213056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300682</xdr:colOff>
      <xdr:row>30</xdr:row>
      <xdr:rowOff>216755</xdr:rowOff>
    </xdr:from>
    <xdr:to>
      <xdr:col>21</xdr:col>
      <xdr:colOff>1622251</xdr:colOff>
      <xdr:row>46</xdr:row>
      <xdr:rowOff>214573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541735</xdr:colOff>
      <xdr:row>81</xdr:row>
      <xdr:rowOff>178594</xdr:rowOff>
    </xdr:from>
    <xdr:to>
      <xdr:col>15</xdr:col>
      <xdr:colOff>464344</xdr:colOff>
      <xdr:row>95</xdr:row>
      <xdr:rowOff>160734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881" t="4607" r="2305" b="35063"/>
        <a:stretch/>
      </xdr:blipFill>
      <xdr:spPr>
        <a:xfrm>
          <a:off x="7590235" y="19192875"/>
          <a:ext cx="5417344" cy="3149203"/>
        </a:xfrm>
        <a:prstGeom prst="rect">
          <a:avLst/>
        </a:prstGeom>
      </xdr:spPr>
    </xdr:pic>
    <xdr:clientData/>
  </xdr:twoCellAnchor>
  <xdr:twoCellAnchor editAs="oneCell">
    <xdr:from>
      <xdr:col>9</xdr:col>
      <xdr:colOff>65485</xdr:colOff>
      <xdr:row>4</xdr:row>
      <xdr:rowOff>95251</xdr:rowOff>
    </xdr:from>
    <xdr:to>
      <xdr:col>16</xdr:col>
      <xdr:colOff>188156</xdr:colOff>
      <xdr:row>22</xdr:row>
      <xdr:rowOff>150051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01064" y="1202532"/>
          <a:ext cx="4914936" cy="43291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208359</xdr:colOff>
      <xdr:row>81</xdr:row>
      <xdr:rowOff>47625</xdr:rowOff>
    </xdr:from>
    <xdr:to>
      <xdr:col>17</xdr:col>
      <xdr:colOff>148828</xdr:colOff>
      <xdr:row>95</xdr:row>
      <xdr:rowOff>29765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881" t="4607" r="2305" b="35063"/>
        <a:stretch/>
      </xdr:blipFill>
      <xdr:spPr>
        <a:xfrm>
          <a:off x="11054953" y="20193000"/>
          <a:ext cx="5417344" cy="3149203"/>
        </a:xfrm>
        <a:prstGeom prst="rect">
          <a:avLst/>
        </a:prstGeom>
      </xdr:spPr>
    </xdr:pic>
    <xdr:clientData/>
  </xdr:twoCellAnchor>
  <xdr:twoCellAnchor editAs="oneCell">
    <xdr:from>
      <xdr:col>10</xdr:col>
      <xdr:colOff>136922</xdr:colOff>
      <xdr:row>7</xdr:row>
      <xdr:rowOff>11906</xdr:rowOff>
    </xdr:from>
    <xdr:to>
      <xdr:col>17</xdr:col>
      <xdr:colOff>259592</xdr:colOff>
      <xdr:row>25</xdr:row>
      <xdr:rowOff>66707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68126" y="1797844"/>
          <a:ext cx="4914936" cy="43291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4</xdr:col>
      <xdr:colOff>6886575</xdr:colOff>
      <xdr:row>1</xdr:row>
      <xdr:rowOff>5165272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54796" y="736024"/>
          <a:ext cx="6886575" cy="516527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2673803</xdr:colOff>
          <xdr:row>5</xdr:row>
          <xdr:rowOff>1415</xdr:rowOff>
        </xdr:from>
        <xdr:to>
          <xdr:col>3</xdr:col>
          <xdr:colOff>1</xdr:colOff>
          <xdr:row>6</xdr:row>
          <xdr:rowOff>1415</xdr:rowOff>
        </xdr:to>
        <xdr:pic>
          <xdr:nvPicPr>
            <xdr:cNvPr id="43" name="図 42">
              <a:extLst>
                <a:ext uri="{FF2B5EF4-FFF2-40B4-BE49-F238E27FC236}">
                  <a16:creationId xmlns:a16="http://schemas.microsoft.com/office/drawing/2014/main" id="{00000000-0008-0000-0600-00002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シャフト横寸法" spid="_x0000_s7155"/>
                </a:ext>
              </a:extLst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184446" y="21527915"/>
              <a:ext cx="6892019" cy="5197929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2</xdr:colOff>
          <xdr:row>4</xdr:row>
          <xdr:rowOff>1</xdr:rowOff>
        </xdr:to>
        <xdr:pic>
          <xdr:nvPicPr>
            <xdr:cNvPr id="48" name="図 47">
              <a:extLst>
                <a:ext uri="{FF2B5EF4-FFF2-40B4-BE49-F238E27FC236}">
                  <a16:creationId xmlns:a16="http://schemas.microsoft.com/office/drawing/2014/main" id="{00000000-0008-0000-0600-000030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ケース横寸法" spid="_x0000_s7156"/>
                </a:ext>
              </a:extLst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184447" y="11130643"/>
              <a:ext cx="6892019" cy="5197929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2</xdr:colOff>
          <xdr:row>3</xdr:row>
          <xdr:rowOff>0</xdr:rowOff>
        </xdr:to>
        <xdr:pic>
          <xdr:nvPicPr>
            <xdr:cNvPr id="49" name="図 48">
              <a:extLst>
                <a:ext uri="{FF2B5EF4-FFF2-40B4-BE49-F238E27FC236}">
                  <a16:creationId xmlns:a16="http://schemas.microsoft.com/office/drawing/2014/main" id="{00000000-0008-0000-0600-000031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ケース横寸法" spid="_x0000_s7157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184447" y="5932714"/>
              <a:ext cx="6892019" cy="5197929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2672599</xdr:colOff>
          <xdr:row>2</xdr:row>
          <xdr:rowOff>0</xdr:rowOff>
        </xdr:from>
        <xdr:to>
          <xdr:col>3</xdr:col>
          <xdr:colOff>1064</xdr:colOff>
          <xdr:row>3</xdr:row>
          <xdr:rowOff>0</xdr:rowOff>
        </xdr:to>
        <xdr:pic>
          <xdr:nvPicPr>
            <xdr:cNvPr id="50" name="図 49">
              <a:extLst>
                <a:ext uri="{FF2B5EF4-FFF2-40B4-BE49-F238E27FC236}">
                  <a16:creationId xmlns:a16="http://schemas.microsoft.com/office/drawing/2014/main" id="{00000000-0008-0000-0600-000032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シャフト横寸法" spid="_x0000_s7158"/>
                </a:ext>
              </a:extLst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6183242" y="5932714"/>
              <a:ext cx="6892019" cy="5197929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</xdr:row>
          <xdr:rowOff>0</xdr:rowOff>
        </xdr:from>
        <xdr:to>
          <xdr:col>3</xdr:col>
          <xdr:colOff>2</xdr:colOff>
          <xdr:row>2</xdr:row>
          <xdr:rowOff>1</xdr:rowOff>
        </xdr:to>
        <xdr:pic>
          <xdr:nvPicPr>
            <xdr:cNvPr id="51" name="図 50">
              <a:extLst>
                <a:ext uri="{FF2B5EF4-FFF2-40B4-BE49-F238E27FC236}">
                  <a16:creationId xmlns:a16="http://schemas.microsoft.com/office/drawing/2014/main" id="{00000000-0008-0000-0600-000033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合成画像" spid="_x0000_s7159"/>
                </a:ext>
              </a:extLst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6184447" y="734786"/>
              <a:ext cx="6892019" cy="5197929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 editAs="oneCell">
    <xdr:from>
      <xdr:col>9</xdr:col>
      <xdr:colOff>0</xdr:colOff>
      <xdr:row>1</xdr:row>
      <xdr:rowOff>0</xdr:rowOff>
    </xdr:from>
    <xdr:to>
      <xdr:col>10</xdr:col>
      <xdr:colOff>289</xdr:colOff>
      <xdr:row>1</xdr:row>
      <xdr:rowOff>5166015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48205" y="736024"/>
          <a:ext cx="6890039" cy="516601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6886575</xdr:colOff>
      <xdr:row>2</xdr:row>
      <xdr:rowOff>5162550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34352" y="5943600"/>
          <a:ext cx="6886575" cy="51625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6886575</xdr:colOff>
      <xdr:row>3</xdr:row>
      <xdr:rowOff>5162550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34352" y="11144252"/>
          <a:ext cx="6886575" cy="51625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288</xdr:colOff>
      <xdr:row>4</xdr:row>
      <xdr:rowOff>5166015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34352" y="16344900"/>
          <a:ext cx="6890038" cy="516601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2673803</xdr:colOff>
          <xdr:row>6</xdr:row>
          <xdr:rowOff>2716</xdr:rowOff>
        </xdr:from>
        <xdr:to>
          <xdr:col>3</xdr:col>
          <xdr:colOff>1</xdr:colOff>
          <xdr:row>7</xdr:row>
          <xdr:rowOff>2717</xdr:rowOff>
        </xdr:to>
        <xdr:pic>
          <xdr:nvPicPr>
            <xdr:cNvPr id="64" name="図 63">
              <a:extLst>
                <a:ext uri="{FF2B5EF4-FFF2-40B4-BE49-F238E27FC236}">
                  <a16:creationId xmlns:a16="http://schemas.microsoft.com/office/drawing/2014/main" id="{00000000-0008-0000-0600-000040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シャフト縦寸法" spid="_x0000_s7160"/>
                </a:ext>
              </a:extLst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184446" y="26727145"/>
              <a:ext cx="6892019" cy="5197929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2672603</xdr:colOff>
          <xdr:row>2</xdr:row>
          <xdr:rowOff>0</xdr:rowOff>
        </xdr:from>
        <xdr:to>
          <xdr:col>3</xdr:col>
          <xdr:colOff>1068</xdr:colOff>
          <xdr:row>3</xdr:row>
          <xdr:rowOff>0</xdr:rowOff>
        </xdr:to>
        <xdr:pic>
          <xdr:nvPicPr>
            <xdr:cNvPr id="65" name="図 64">
              <a:extLst>
                <a:ext uri="{FF2B5EF4-FFF2-40B4-BE49-F238E27FC236}">
                  <a16:creationId xmlns:a16="http://schemas.microsoft.com/office/drawing/2014/main" id="{00000000-0008-0000-0600-000041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シャフト縦寸法" spid="_x0000_s7161"/>
                </a:ext>
              </a:extLst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183246" y="5932714"/>
              <a:ext cx="6892019" cy="5197929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 editAs="oneCell">
    <xdr:from>
      <xdr:col>7</xdr:col>
      <xdr:colOff>0</xdr:colOff>
      <xdr:row>1</xdr:row>
      <xdr:rowOff>0</xdr:rowOff>
    </xdr:from>
    <xdr:to>
      <xdr:col>7</xdr:col>
      <xdr:colOff>6874665</xdr:colOff>
      <xdr:row>1</xdr:row>
      <xdr:rowOff>5174457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25408" y="738188"/>
          <a:ext cx="6874665" cy="517445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6874665</xdr:colOff>
      <xdr:row>4</xdr:row>
      <xdr:rowOff>5174452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25408" y="16347283"/>
          <a:ext cx="6874665" cy="517445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-2</xdr:colOff>
          <xdr:row>4</xdr:row>
          <xdr:rowOff>0</xdr:rowOff>
        </xdr:from>
        <xdr:to>
          <xdr:col>3</xdr:col>
          <xdr:colOff>0</xdr:colOff>
          <xdr:row>5</xdr:row>
          <xdr:rowOff>0</xdr:rowOff>
        </xdr:to>
        <xdr:pic>
          <xdr:nvPicPr>
            <xdr:cNvPr id="74" name="図 73">
              <a:extLst>
                <a:ext uri="{FF2B5EF4-FFF2-40B4-BE49-F238E27FC236}">
                  <a16:creationId xmlns:a16="http://schemas.microsoft.com/office/drawing/2014/main" id="{00000000-0008-0000-0600-00004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ケース縦寸法" spid="_x0000_s7162"/>
                </a:ext>
              </a:extLst>
            </xdr:cNvPicPr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172198" y="16344900"/>
              <a:ext cx="6896102" cy="5200652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2673802</xdr:colOff>
          <xdr:row>2</xdr:row>
          <xdr:rowOff>0</xdr:rowOff>
        </xdr:from>
        <xdr:to>
          <xdr:col>3</xdr:col>
          <xdr:colOff>0</xdr:colOff>
          <xdr:row>3</xdr:row>
          <xdr:rowOff>0</xdr:rowOff>
        </xdr:to>
        <xdr:pic>
          <xdr:nvPicPr>
            <xdr:cNvPr id="75" name="図 74">
              <a:extLst>
                <a:ext uri="{FF2B5EF4-FFF2-40B4-BE49-F238E27FC236}">
                  <a16:creationId xmlns:a16="http://schemas.microsoft.com/office/drawing/2014/main" id="{00000000-0008-0000-0600-00004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ケース縦寸法" spid="_x0000_s7163"/>
                </a:ext>
              </a:extLst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6184445" y="5932714"/>
              <a:ext cx="6892019" cy="5197929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 editAs="oneCell">
    <xdr:from>
      <xdr:col>8</xdr:col>
      <xdr:colOff>0</xdr:colOff>
      <xdr:row>1</xdr:row>
      <xdr:rowOff>0</xdr:rowOff>
    </xdr:from>
    <xdr:to>
      <xdr:col>8</xdr:col>
      <xdr:colOff>6886575</xdr:colOff>
      <xdr:row>1</xdr:row>
      <xdr:rowOff>5172075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41294" y="733986"/>
          <a:ext cx="6886575" cy="51720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6886575</xdr:colOff>
      <xdr:row>2</xdr:row>
      <xdr:rowOff>5172075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41294" y="5933515"/>
          <a:ext cx="6886575" cy="51720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3509963</xdr:colOff>
          <xdr:row>1</xdr:row>
          <xdr:rowOff>0</xdr:rowOff>
        </xdr:from>
        <xdr:to>
          <xdr:col>1</xdr:col>
          <xdr:colOff>2366963</xdr:colOff>
          <xdr:row>1</xdr:row>
          <xdr:rowOff>2833688</xdr:rowOff>
        </xdr:to>
        <xdr:sp macro="" textlink="">
          <xdr:nvSpPr>
            <xdr:cNvPr id="6245" name="Object 101" hidden="1">
              <a:extLst>
                <a:ext uri="{63B3BB69-23CF-44E3-9099-C40C66FF867C}">
                  <a14:compatExt spid="_x0000_s6245"/>
                </a:ext>
                <a:ext uri="{FF2B5EF4-FFF2-40B4-BE49-F238E27FC236}">
                  <a16:creationId xmlns:a16="http://schemas.microsoft.com/office/drawing/2014/main" id="{00000000-0008-0000-0600-00006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2</xdr:row>
      <xdr:rowOff>40480</xdr:rowOff>
    </xdr:from>
    <xdr:to>
      <xdr:col>6</xdr:col>
      <xdr:colOff>6886575</xdr:colOff>
      <xdr:row>3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14783" y="5981700"/>
          <a:ext cx="6886575" cy="51625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6877052</xdr:colOff>
      <xdr:row>1</xdr:row>
      <xdr:rowOff>5172075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14783" y="738188"/>
          <a:ext cx="6877052" cy="51720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6881165</xdr:colOff>
      <xdr:row>2</xdr:row>
      <xdr:rowOff>5163635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16024" y="5940136"/>
          <a:ext cx="6881165" cy="516363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6886577</xdr:colOff>
      <xdr:row>3</xdr:row>
      <xdr:rowOff>5162545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16024" y="11144251"/>
          <a:ext cx="6886577" cy="516254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11</xdr:col>
      <xdr:colOff>6886575</xdr:colOff>
      <xdr:row>1</xdr:row>
      <xdr:rowOff>4972050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03143" y="734786"/>
          <a:ext cx="6886575" cy="49720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182074</xdr:colOff>
      <xdr:row>15</xdr:row>
      <xdr:rowOff>77298</xdr:rowOff>
    </xdr:from>
    <xdr:to>
      <xdr:col>7</xdr:col>
      <xdr:colOff>467824</xdr:colOff>
      <xdr:row>26</xdr:row>
      <xdr:rowOff>201123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816429</xdr:colOff>
      <xdr:row>5</xdr:row>
      <xdr:rowOff>54430</xdr:rowOff>
    </xdr:from>
    <xdr:to>
      <xdr:col>8</xdr:col>
      <xdr:colOff>1</xdr:colOff>
      <xdr:row>27</xdr:row>
      <xdr:rowOff>51709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285750</xdr:colOff>
      <xdr:row>4</xdr:row>
      <xdr:rowOff>70115</xdr:rowOff>
    </xdr:from>
    <xdr:to>
      <xdr:col>11</xdr:col>
      <xdr:colOff>419991</xdr:colOff>
      <xdr:row>14</xdr:row>
      <xdr:rowOff>133833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0" y="965465"/>
          <a:ext cx="4249041" cy="230209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160547</xdr:colOff>
      <xdr:row>9</xdr:row>
      <xdr:rowOff>14287</xdr:rowOff>
    </xdr:from>
    <xdr:to>
      <xdr:col>20</xdr:col>
      <xdr:colOff>369105</xdr:colOff>
      <xdr:row>28</xdr:row>
      <xdr:rowOff>201529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8547" y="2028825"/>
          <a:ext cx="7066558" cy="444015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453286</xdr:colOff>
      <xdr:row>31</xdr:row>
      <xdr:rowOff>176213</xdr:rowOff>
    </xdr:from>
    <xdr:to>
      <xdr:col>17</xdr:col>
      <xdr:colOff>383667</xdr:colOff>
      <xdr:row>44</xdr:row>
      <xdr:rowOff>163063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53886" y="7115176"/>
          <a:ext cx="6788381" cy="289673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06B141-72F2-43FB-B484-DDB88721D59A}" name="テーブル3" displayName="テーブル3" ref="A5:K56" totalsRowShown="0">
  <autoFilter ref="A5:K56" xr:uid="{FDDE3D9B-89B7-4A1A-84B3-298CC32DC624}"/>
  <tableColumns count="11">
    <tableColumn id="1" xr3:uid="{2FAA5A37-3BEC-491C-82C9-F7926DF58DA7}" name="締め代" dataDxfId="127">
      <calculatedColumnFormula>$A$6+($A$3*(ROW(A6)-ROW($A$6)))</calculatedColumnFormula>
    </tableColumn>
    <tableColumn id="5" xr3:uid="{5A1E9B9A-F7BE-43BE-BE85-5CEA74FD85DD}" name="半径方向応力min" dataDxfId="126">
      <calculatedColumnFormula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calculatedColumnFormula>
    </tableColumn>
    <tableColumn id="2" xr3:uid="{18E815CB-1621-469F-A543-12BFFD25794B}" name="半径方向応力nor" dataDxfId="125">
      <calculatedColumnFormula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calculatedColumnFormula>
    </tableColumn>
    <tableColumn id="6" xr3:uid="{1547B509-646E-4B36-BE11-41773C6F2BE8}" name="半径方向応力max" dataDxfId="124">
      <calculatedColumnFormula>(A6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calculatedColumnFormula>
    </tableColumn>
    <tableColumn id="4" xr3:uid="{9423DD89-5A61-4A31-B24A-23680909B095}" name="圧入力min" dataDxfId="123">
      <calculatedColumnFormula>テーブル3[[#This Row],[半径方向応力min]]*寸法→圧入力!D$46*寸法→圧入力!D$5/1000</calculatedColumnFormula>
    </tableColumn>
    <tableColumn id="3" xr3:uid="{AD3068B6-CDF3-460F-A7F9-4BF5B173109A}" name="圧入力nor" dataDxfId="122">
      <calculatedColumnFormula>テーブル3[[#This Row],[半径方向応力min]]*寸法→圧入力!E$46*寸法→圧入力!E$5/1000</calculatedColumnFormula>
    </tableColumn>
    <tableColumn id="7" xr3:uid="{BE137976-C59F-47AE-B31C-BB90F480FB3E}" name="圧入力max" dataDxfId="121">
      <calculatedColumnFormula>テーブル3[[#This Row],[半径方向応力min]]*寸法→圧入力!F$46*寸法→圧入力!F$5/1000</calculatedColumnFormula>
    </tableColumn>
    <tableColumn id="8" xr3:uid="{0F6A6135-C2F2-4123-8A0A-6516900B0639}" name="降伏点inner" dataDxfId="120">
      <calculatedColumnFormula>寸法→圧入力!$D$30</calculatedColumnFormula>
    </tableColumn>
    <tableColumn id="9" xr3:uid="{F1168C0E-85D7-4C76-B1A0-F138AC22EF38}" name="降伏点outer" dataDxfId="119">
      <calculatedColumnFormula>寸法→圧入力!$D$39</calculatedColumnFormula>
    </tableColumn>
    <tableColumn id="10" xr3:uid="{EF91BA46-877C-4933-8773-13C8D1D88857}" name="円周方向応力inner" dataDxfId="118">
      <calculatedColumnFormula>テーブル3[[#This Row],[半径方向応力nor]]*2*寸法→圧入力!E$24^2/(寸法→圧入力!E$24^2-寸法→圧入力!E$25^2)</calculatedColumnFormula>
    </tableColumn>
    <tableColumn id="11" xr3:uid="{F33EC646-2598-4D95-A97F-6922B11E7CA3}" name="円周方向応力outer" dataDxfId="117">
      <calculatedColumnFormula>テーブル3[[#This Row],[半径方向応力nor]]* (1+(寸法→圧入力!E$34/寸法→圧入力!E$33)^2)/((寸法→圧入力!E$34/寸法→圧入力!E$33)^2-1)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E3A78CE-22E8-4DE7-ABAA-3A285F2A4B38}" name="テーブル4" displayName="テーブル4" ref="N5:AR56" totalsRowShown="0">
  <autoFilter ref="N5:AR56" xr:uid="{9E9E9E76-C17A-4F95-8C5C-F669756536B5}"/>
  <tableColumns count="31">
    <tableColumn id="1" xr3:uid="{3BB67F7D-23EF-4215-987B-544BF5A2E374}" name="inner温度[℃]">
      <calculatedColumnFormula>N5+5</calculatedColumnFormula>
    </tableColumn>
    <tableColumn id="9" xr3:uid="{40AF760F-8B54-4388-BEF8-313A5620CF08}" name="締め代：Δ-30℃" dataDxfId="116">
      <calculatedColumnFormula>寸法→圧入力!F$24*(1+寸法→圧入力!D$29*10^-6*(テーブル4[[#This Row],[inner温度'[℃']]]-20)) - 寸法→圧入力!D$33*(1+寸法→圧入力!D$38*10^-6*(テーブル4[[#This Row],[inner温度'[℃']]]+O$3-20))</calculatedColumnFormula>
    </tableColumn>
    <tableColumn id="10" xr3:uid="{24CAF85B-CFDE-4278-A686-117558FC2988}" name="締め代：Δ-20℃" dataDxfId="115">
      <calculatedColumnFormula>寸法→圧入力!F$24*(1+寸法→圧入力!D$29*10^-6*(テーブル4[[#This Row],[inner温度'[℃']]]-20)) - 寸法→圧入力!D$33*(1+寸法→圧入力!D$38*10^-6*(テーブル4[[#This Row],[inner温度'[℃']]]+P$3-20))</calculatedColumnFormula>
    </tableColumn>
    <tableColumn id="11" xr3:uid="{58952C7D-E0C1-4EE5-B9BB-DEFA47E2EC75}" name="締め代：Δ-10℃" dataDxfId="114">
      <calculatedColumnFormula>寸法→圧入力!F$24*(1+寸法→圧入力!D$29*10^-6*(テーブル4[[#This Row],[inner温度'[℃']]]-20)) - 寸法→圧入力!D$33*(1+寸法→圧入力!D$38*10^-6*(テーブル4[[#This Row],[inner温度'[℃']]]+Q$3-20))</calculatedColumnFormula>
    </tableColumn>
    <tableColumn id="12" xr3:uid="{B1D0FC0B-4860-491E-A377-A3F8088CA3F1}" name="締め代：Δ0℃" dataDxfId="113">
      <calculatedColumnFormula>寸法→圧入力!F$24*(1+寸法→圧入力!D$29*10^-6*(テーブル4[[#This Row],[inner温度'[℃']]]-20)) - 寸法→圧入力!D$33*(1+寸法→圧入力!D$38*10^-6*(テーブル4[[#This Row],[inner温度'[℃']]]+R$3-20))</calculatedColumnFormula>
    </tableColumn>
    <tableColumn id="13" xr3:uid="{9CC9C278-B370-458E-BFA7-8313EB649DF9}" name="締め代：Δ+10℃" dataDxfId="112">
      <calculatedColumnFormula>寸法→圧入力!F$24*(1+寸法→圧入力!D$29*10^-6*(テーブル4[[#This Row],[inner温度'[℃']]]-20)) - 寸法→圧入力!D$33*(1+寸法→圧入力!D$38*10^-6*(テーブル4[[#This Row],[inner温度'[℃']]]+S$3-20))</calculatedColumnFormula>
    </tableColumn>
    <tableColumn id="14" xr3:uid="{8A60D690-39FC-48F5-BEF8-308FCA4C9E14}" name="締め代：Δ+20℃" dataDxfId="111">
      <calculatedColumnFormula>寸法→圧入力!F$24*(1+寸法→圧入力!D$29*10^-6*(テーブル4[[#This Row],[inner温度'[℃']]]-20)) - 寸法→圧入力!D$33*(1+寸法→圧入力!D$38*10^-6*(テーブル4[[#This Row],[inner温度'[℃']]]+T$3-20))</calculatedColumnFormula>
    </tableColumn>
    <tableColumn id="15" xr3:uid="{F8C9DC85-FDDD-408E-9972-D7468A494D66}" name="締め代：Δ+30℃" dataDxfId="110">
      <calculatedColumnFormula>寸法→圧入力!F$24*(1+寸法→圧入力!D$29*10^-6*(テーブル4[[#This Row],[inner温度'[℃']]]-20)) - 寸法→圧入力!D$33*(1+寸法→圧入力!D$38*10^-6*(テーブル4[[#This Row],[inner温度'[℃']]]+U$3-20))</calculatedColumnFormula>
    </tableColumn>
    <tableColumn id="24" xr3:uid="{BC2C905E-03A5-4574-9624-D4919F3CAF53}" name="半径方向応力:Δ-30℃" dataDxfId="109">
      <calculatedColumnFormula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calculatedColumnFormula>
    </tableColumn>
    <tableColumn id="25" xr3:uid="{79208675-12C9-475D-B20A-184172485277}" name="半径方向応力:Δ-20℃" dataDxfId="108">
      <calculatedColumnFormula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calculatedColumnFormula>
    </tableColumn>
    <tableColumn id="26" xr3:uid="{4CE2496F-4AD8-4F42-8987-7B1CF2BF2126}" name="半径方向応力:Δ-10℃" dataDxfId="107">
      <calculatedColumnFormula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calculatedColumnFormula>
    </tableColumn>
    <tableColumn id="27" xr3:uid="{88397239-8BA1-497F-92B0-9995AE041B76}" name="半径方向応力:Δ0℃" dataDxfId="106">
      <calculatedColumnFormula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calculatedColumnFormula>
    </tableColumn>
    <tableColumn id="28" xr3:uid="{6084C7F9-EE01-4054-A19D-4C3568E2C68D}" name="半径方向応力:Δ+10℃" dataDxfId="105">
      <calculatedColumnFormula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calculatedColumnFormula>
    </tableColumn>
    <tableColumn id="29" xr3:uid="{FEEBA70A-9EF1-4C61-8E39-74A0C7A8BA69}" name="半径方向応力:Δ+20℃" dataDxfId="104">
      <calculatedColumnFormula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calculatedColumnFormula>
    </tableColumn>
    <tableColumn id="30" xr3:uid="{0D431477-6ED5-4F86-8033-98426F73B068}" name="半径方向応力:Δ+30℃" dataDxfId="103">
      <calculatedColumnFormula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calculatedColumnFormula>
    </tableColumn>
    <tableColumn id="2" xr3:uid="{15F96A06-6DE8-4F3F-A42F-4EC9F1369B9E}" name="inner応力:Δ-30℃" dataDxfId="102">
      <calculatedColumnFormula>テーブル4[[#This Row],[半径方向応力:Δ-30℃]]*2*寸法→圧入力!D$24^2/(寸法→圧入力!D$24^2-寸法→圧入力!F$25^2)</calculatedColumnFormula>
    </tableColumn>
    <tableColumn id="3" xr3:uid="{57FBF900-1FA8-45D2-870F-3A436C83545B}" name="inner応力:Δ-20℃" dataDxfId="101">
      <calculatedColumnFormula>テーブル4[[#This Row],[半径方向応力:Δ-20℃]]*2*寸法→圧入力!D$24^2/(寸法→圧入力!D$24^2-寸法→圧入力!F$25^2)</calculatedColumnFormula>
    </tableColumn>
    <tableColumn id="4" xr3:uid="{33B6073F-3872-49E2-9DE8-E30299345F95}" name="inner応力:Δ-10℃" dataDxfId="100">
      <calculatedColumnFormula>テーブル4[[#This Row],[半径方向応力:Δ-10℃]]*2*寸法→圧入力!D$24^2/(寸法→圧入力!D$24^2-寸法→圧入力!F$25^2)</calculatedColumnFormula>
    </tableColumn>
    <tableColumn id="5" xr3:uid="{4B6C0583-8D4B-4D47-9A89-398DD4A944F6}" name="inner応力:Δ0℃" dataDxfId="99">
      <calculatedColumnFormula>テーブル4[[#This Row],[半径方向応力:Δ0℃]]*2*寸法→圧入力!D$24^2/(寸法→圧入力!D$24^2-寸法→圧入力!F$25^2)</calculatedColumnFormula>
    </tableColumn>
    <tableColumn id="6" xr3:uid="{BA1D798B-3BAF-46E0-9CA3-83EFC7E1A1B3}" name="inner応力:Δ+10℃" dataDxfId="98">
      <calculatedColumnFormula>テーブル4[[#This Row],[半径方向応力:Δ+10℃]]*2*寸法→圧入力!D$24^2/(寸法→圧入力!D$24^2-寸法→圧入力!F$25^2)</calculatedColumnFormula>
    </tableColumn>
    <tableColumn id="7" xr3:uid="{4D79C5C7-4FC5-415B-9E65-1191B3073F19}" name="inner応力:Δ+20℃" dataDxfId="97">
      <calculatedColumnFormula>テーブル4[[#This Row],[半径方向応力:Δ+20℃]]*2*寸法→圧入力!D$24^2/(寸法→圧入力!D$24^2-寸法→圧入力!F$25^2)</calculatedColumnFormula>
    </tableColumn>
    <tableColumn id="8" xr3:uid="{E15A2C96-E608-42E0-A14D-A806CCF54B6E}" name="inner応力:Δ+30℃" dataDxfId="96">
      <calculatedColumnFormula>テーブル4[[#This Row],[半径方向応力:Δ+30℃]]*2*寸法→圧入力!D$24^2/(寸法→圧入力!D$24^2-寸法→圧入力!F$25^2)</calculatedColumnFormula>
    </tableColumn>
    <tableColumn id="31" xr3:uid="{DB918E19-A0F8-4EA2-803A-8B721424C18F}" name="inner降伏点" dataDxfId="95">
      <calculatedColumnFormula>寸法→圧入力!$D$30</calculatedColumnFormula>
    </tableColumn>
    <tableColumn id="16" xr3:uid="{99B39732-6D8B-4F38-8299-523B6916CD73}" name="outer応力:Δ-30℃" dataDxfId="94">
      <calculatedColumnFormula>テーブル4[[#This Row],[半径方向応力:Δ-30℃]]* (1+(寸法→圧入力!D$34/寸法→圧入力!F$33)^2)/((寸法→圧入力!D$34/寸法→圧入力!F$33)^2-1)</calculatedColumnFormula>
    </tableColumn>
    <tableColumn id="17" xr3:uid="{6BAECA94-D5C4-42A7-8337-13B06614FFB3}" name="outer応力:Δ-20℃" dataDxfId="93">
      <calculatedColumnFormula>テーブル4[[#This Row],[半径方向応力:Δ-20℃]]* (1+(寸法→圧入力!D$34/寸法→圧入力!F$33)^2)/((寸法→圧入力!D$34/寸法→圧入力!F$33)^2-1)</calculatedColumnFormula>
    </tableColumn>
    <tableColumn id="18" xr3:uid="{17589792-E645-431B-80A0-A20C1A214407}" name="outer応力:Δ-10℃" dataDxfId="92">
      <calculatedColumnFormula>テーブル4[[#This Row],[半径方向応力:Δ-10℃]]* (1+(寸法→圧入力!D$34/寸法→圧入力!F$33)^2)/((寸法→圧入力!D$34/寸法→圧入力!F$33)^2-1)</calculatedColumnFormula>
    </tableColumn>
    <tableColumn id="19" xr3:uid="{51650215-5794-425D-A9BA-944285CE38A3}" name="outer応力:Δ0℃" dataDxfId="91">
      <calculatedColumnFormula>テーブル4[[#This Row],[半径方向応力:Δ0℃]]* (1+(寸法→圧入力!D$34/寸法→圧入力!F$33)^2)/((寸法→圧入力!D$34/寸法→圧入力!F$33)^2-1)</calculatedColumnFormula>
    </tableColumn>
    <tableColumn id="20" xr3:uid="{F97E2B0B-CC64-43EB-853E-E4204FBB5973}" name="outer応力:Δ+10℃" dataDxfId="90">
      <calculatedColumnFormula>テーブル4[[#This Row],[半径方向応力:Δ+10℃]]* (1+(寸法→圧入力!D$34/寸法→圧入力!F$33)^2)/((寸法→圧入力!D$34/寸法→圧入力!F$33)^2-1)</calculatedColumnFormula>
    </tableColumn>
    <tableColumn id="21" xr3:uid="{6DD1D14F-71C9-4BFF-8DBE-047EC7A69971}" name="outer応力:Δ+20℃" dataDxfId="89">
      <calculatedColumnFormula>テーブル4[[#This Row],[半径方向応力:Δ+20℃]]* (1+(寸法→圧入力!D$34/寸法→圧入力!F$33)^2)/((寸法→圧入力!D$34/寸法→圧入力!F$33)^2-1)</calculatedColumnFormula>
    </tableColumn>
    <tableColumn id="22" xr3:uid="{DFCBF944-9FBC-4887-B4FF-F9ADB45616B8}" name="outer応力:Δ+30℃" dataDxfId="88">
      <calculatedColumnFormula>テーブル4[[#This Row],[半径方向応力:Δ+30℃]]* (1+(寸法→圧入力!D$34/寸法→圧入力!F$33)^2)/((寸法→圧入力!D$34/寸法→圧入力!F$33)^2-1)</calculatedColumnFormula>
    </tableColumn>
    <tableColumn id="32" xr3:uid="{297836EA-3C81-4A7D-830A-384702CB8E77}" name="outer降伏点" dataDxfId="87">
      <calculatedColumnFormula>寸法→圧入力!$D$39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4A77CE-FBDD-4F34-AA95-345DB1B5D4E3}" name="Material_Table" displayName="Material_Table" ref="A2:E7" totalsRowShown="0">
  <autoFilter ref="A2:E7" xr:uid="{3C1AC721-12E6-4E19-9C18-C5C63480899C}"/>
  <tableColumns count="5">
    <tableColumn id="1" xr3:uid="{206EF78F-8D96-4D0D-8F46-BBFDABAB5A1B}" name="Material Name"/>
    <tableColumn id="2" xr3:uid="{08981B9D-744A-46C4-BBC7-B9EE8B2EE14B}" name="Young's Modulus[MPa]"/>
    <tableColumn id="3" xr3:uid="{A2C38975-2C0F-4CE9-8A99-920FC2FF770B}" name="Poisson's Ratio[-]"/>
    <tableColumn id="4" xr3:uid="{02373757-1501-4A6A-84BA-D45BE355AC7B}" name="Linear Expansion Coefficient[10^-6/K]"/>
    <tableColumn id="5" xr3:uid="{F682FC32-BDE6-4726-8E86-C5397E439066}" name="Yield Point[MPa]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openxmlformats.org/officeDocument/2006/relationships/image" Target="../media/image5.emf"/><Relationship Id="rId4" Type="http://schemas.openxmlformats.org/officeDocument/2006/relationships/oleObject" Target="../embeddings/oleObject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sml.k.u-tokyo.ac.jp/members/nabe/lecture2012/B3_20120608.pdf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2EFE5-B5B2-4A14-B9F4-D783BA09A4D1}">
  <sheetPr>
    <outlinePr summaryBelow="0"/>
  </sheetPr>
  <dimension ref="A1:K127"/>
  <sheetViews>
    <sheetView showGridLines="0" tabSelected="1" zoomScaleNormal="100" workbookViewId="0"/>
  </sheetViews>
  <sheetFormatPr defaultRowHeight="17.649999999999999" outlineLevelRow="1"/>
  <cols>
    <col min="1" max="1" width="9" style="88"/>
    <col min="2" max="2" width="9.625" style="189" bestFit="1" customWidth="1"/>
    <col min="3" max="3" width="32.9375" style="93" bestFit="1" customWidth="1"/>
    <col min="4" max="4" width="18.125" style="3" bestFit="1" customWidth="1"/>
    <col min="5" max="5" width="14.625" style="3" bestFit="1" customWidth="1"/>
    <col min="6" max="6" width="12" style="3" bestFit="1" customWidth="1"/>
    <col min="7" max="7" width="9.875" style="3" bestFit="1" customWidth="1"/>
    <col min="8" max="8" width="11.375" style="88" customWidth="1"/>
    <col min="9" max="9" width="13.125" style="88" bestFit="1" customWidth="1"/>
    <col min="10" max="10" width="18.0625" style="88" bestFit="1" customWidth="1"/>
    <col min="11" max="11" width="17" style="88" bestFit="1" customWidth="1"/>
    <col min="12" max="16384" width="9" style="88"/>
  </cols>
  <sheetData>
    <row r="1" spans="1:7">
      <c r="A1"/>
      <c r="B1"/>
      <c r="C1"/>
      <c r="D1" s="169" t="s">
        <v>59</v>
      </c>
      <c r="E1" s="169" t="s">
        <v>58</v>
      </c>
      <c r="F1" s="169" t="s">
        <v>60</v>
      </c>
    </row>
    <row r="2" spans="1:7" ht="25.9">
      <c r="A2" s="97" t="s">
        <v>355</v>
      </c>
      <c r="B2" s="97"/>
      <c r="C2" s="97"/>
      <c r="D2" s="97"/>
      <c r="E2" s="97"/>
      <c r="F2" s="97"/>
    </row>
    <row r="3" spans="1:7">
      <c r="B3" s="191" t="s">
        <v>39</v>
      </c>
      <c r="C3" s="89" t="s">
        <v>37</v>
      </c>
      <c r="D3" s="203">
        <v>45</v>
      </c>
      <c r="E3" s="203"/>
      <c r="F3" s="203"/>
      <c r="G3" s="3" t="s">
        <v>115</v>
      </c>
    </row>
    <row r="4" spans="1:7">
      <c r="B4" s="191"/>
      <c r="C4" s="89" t="s">
        <v>351</v>
      </c>
      <c r="D4" s="187">
        <f>$D$3+(D$32+D$23)/2</f>
        <v>44.95</v>
      </c>
      <c r="E4" s="187">
        <f>$D$3+(E$32+E$23)/2</f>
        <v>44.965000000000003</v>
      </c>
      <c r="F4" s="187">
        <f>$D$3+(F$32+F$23)/2</f>
        <v>44.98</v>
      </c>
      <c r="G4" s="3" t="s">
        <v>116</v>
      </c>
    </row>
    <row r="5" spans="1:7">
      <c r="B5" s="191"/>
      <c r="C5" s="91" t="s">
        <v>295</v>
      </c>
      <c r="D5" s="171">
        <v>0.12</v>
      </c>
      <c r="E5" s="171">
        <v>0.15</v>
      </c>
      <c r="F5" s="171">
        <v>0.18</v>
      </c>
      <c r="G5" s="3" t="s">
        <v>115</v>
      </c>
    </row>
    <row r="6" spans="1:7">
      <c r="B6" s="191"/>
      <c r="C6" s="91" t="s">
        <v>296</v>
      </c>
      <c r="D6" s="171">
        <v>0.1</v>
      </c>
      <c r="E6" s="171">
        <v>0.12</v>
      </c>
      <c r="F6" s="171">
        <v>0.15</v>
      </c>
      <c r="G6" s="3" t="s">
        <v>115</v>
      </c>
    </row>
    <row r="7" spans="1:7">
      <c r="B7" s="192"/>
      <c r="C7" s="176"/>
      <c r="D7" s="177"/>
      <c r="E7" s="177"/>
      <c r="F7" s="177"/>
    </row>
    <row r="8" spans="1:7" ht="25.9">
      <c r="A8" s="97" t="s">
        <v>356</v>
      </c>
      <c r="B8" s="97"/>
      <c r="C8" s="97"/>
      <c r="D8" s="97"/>
      <c r="E8" s="97"/>
      <c r="F8" s="97"/>
    </row>
    <row r="9" spans="1:7">
      <c r="B9" s="191" t="s">
        <v>39</v>
      </c>
      <c r="C9" s="89" t="s">
        <v>127</v>
      </c>
      <c r="D9" s="205">
        <v>0.5</v>
      </c>
      <c r="E9" s="206"/>
      <c r="F9" s="207"/>
      <c r="G9" s="3" t="s">
        <v>115</v>
      </c>
    </row>
    <row r="10" spans="1:7">
      <c r="B10" s="191"/>
      <c r="C10" s="91" t="s">
        <v>292</v>
      </c>
      <c r="D10" s="171">
        <v>10</v>
      </c>
      <c r="E10" s="171">
        <f>(F10+D10)/2</f>
        <v>30</v>
      </c>
      <c r="F10" s="171">
        <v>50</v>
      </c>
      <c r="G10" s="3" t="s">
        <v>115</v>
      </c>
    </row>
    <row r="11" spans="1:7">
      <c r="B11" s="191"/>
      <c r="C11" s="91" t="s">
        <v>349</v>
      </c>
      <c r="D11" s="170">
        <f>D9*D10*9.81</f>
        <v>49.050000000000004</v>
      </c>
      <c r="E11" s="170">
        <f>D9*E10*9.81</f>
        <v>147.15</v>
      </c>
      <c r="F11" s="170">
        <f>D9*F10*9.81</f>
        <v>245.25</v>
      </c>
      <c r="G11" s="3" t="s">
        <v>116</v>
      </c>
    </row>
    <row r="12" spans="1:7">
      <c r="B12" s="191"/>
      <c r="C12" s="91" t="s">
        <v>293</v>
      </c>
      <c r="D12" s="171">
        <v>100</v>
      </c>
      <c r="E12" s="84">
        <f>(F12+D12)/2</f>
        <v>150</v>
      </c>
      <c r="F12" s="171">
        <v>200</v>
      </c>
      <c r="G12" s="3" t="s">
        <v>115</v>
      </c>
    </row>
    <row r="13" spans="1:7">
      <c r="B13" s="192"/>
      <c r="C13" s="176"/>
      <c r="D13" s="177"/>
      <c r="E13" s="178"/>
      <c r="F13" s="177"/>
    </row>
    <row r="14" spans="1:7">
      <c r="B14" s="191" t="s">
        <v>39</v>
      </c>
      <c r="C14" s="91" t="s">
        <v>290</v>
      </c>
      <c r="D14" s="208">
        <v>0.01</v>
      </c>
      <c r="E14" s="208"/>
      <c r="F14" s="208"/>
      <c r="G14" s="3" t="s">
        <v>115</v>
      </c>
    </row>
    <row r="15" spans="1:7">
      <c r="B15" s="191"/>
      <c r="C15" s="91" t="s">
        <v>289</v>
      </c>
      <c r="D15" s="173">
        <f>1000*(2*PI()/60)/(1^2) *0.5</f>
        <v>52.359877559829883</v>
      </c>
      <c r="E15" s="173">
        <f t="shared" ref="E15" si="0">1000*(2*PI()/60)/(1^2)</f>
        <v>104.71975511965977</v>
      </c>
      <c r="F15" s="173">
        <f>1000*(2*PI()/60)/(1^2) *2</f>
        <v>209.43951023931953</v>
      </c>
      <c r="G15" s="3" t="s">
        <v>115</v>
      </c>
    </row>
    <row r="16" spans="1:7">
      <c r="B16" s="191"/>
      <c r="C16" s="91" t="s">
        <v>347</v>
      </c>
      <c r="D16" s="174">
        <f>$D$14*D15</f>
        <v>0.52359877559829882</v>
      </c>
      <c r="E16" s="174">
        <f t="shared" ref="E16:F16" si="1">$D$14*E15</f>
        <v>1.0471975511965976</v>
      </c>
      <c r="F16" s="174">
        <f t="shared" si="1"/>
        <v>2.0943951023931953</v>
      </c>
      <c r="G16" s="3" t="s">
        <v>116</v>
      </c>
    </row>
    <row r="17" spans="1:7">
      <c r="B17" s="191"/>
      <c r="C17" s="91" t="s">
        <v>348</v>
      </c>
      <c r="D17" s="174">
        <f>D16/($D$3/2/1000)</f>
        <v>23.271056693257727</v>
      </c>
      <c r="E17" s="174">
        <f t="shared" ref="E17:F17" si="2">E16/($D$3/2/1000)</f>
        <v>46.542113386515453</v>
      </c>
      <c r="F17" s="174">
        <f t="shared" si="2"/>
        <v>93.084226773030906</v>
      </c>
      <c r="G17" s="3" t="s">
        <v>116</v>
      </c>
    </row>
    <row r="18" spans="1:7">
      <c r="B18" s="191"/>
      <c r="C18" s="91" t="s">
        <v>294</v>
      </c>
      <c r="D18" s="169">
        <v>0</v>
      </c>
      <c r="E18" s="169">
        <v>100</v>
      </c>
      <c r="F18" s="169">
        <v>200</v>
      </c>
      <c r="G18" s="3" t="s">
        <v>115</v>
      </c>
    </row>
    <row r="19" spans="1:7">
      <c r="B19" s="192"/>
      <c r="C19" s="175"/>
      <c r="D19" s="175"/>
      <c r="E19" s="175"/>
      <c r="F19" s="175"/>
      <c r="G19" s="175"/>
    </row>
    <row r="20" spans="1:7">
      <c r="B20" s="191" t="s">
        <v>39</v>
      </c>
      <c r="C20" s="87" t="s">
        <v>291</v>
      </c>
      <c r="D20" s="174">
        <f>SQRT((D11+D12)^2+(D17+D18)^2)</f>
        <v>150.85570781253463</v>
      </c>
      <c r="E20" s="174">
        <f t="shared" ref="E20" si="3">SQRT((E11+E12)^2+E17^2)</f>
        <v>300.77282260617108</v>
      </c>
      <c r="F20" s="174">
        <f>SQRT((F11+F12)^2+F17^2)</f>
        <v>454.87606638944311</v>
      </c>
      <c r="G20" s="3" t="s">
        <v>116</v>
      </c>
    </row>
    <row r="21" spans="1:7">
      <c r="B21" s="192"/>
      <c r="C21" s="176"/>
      <c r="D21" s="177"/>
      <c r="E21" s="178"/>
      <c r="F21" s="177"/>
    </row>
    <row r="22" spans="1:7" ht="25.9">
      <c r="A22" s="97" t="s">
        <v>357</v>
      </c>
      <c r="B22" s="97"/>
      <c r="C22" s="97"/>
      <c r="D22" s="97"/>
      <c r="E22" s="97"/>
      <c r="F22" s="97"/>
    </row>
    <row r="23" spans="1:7">
      <c r="B23" s="190" t="s">
        <v>107</v>
      </c>
      <c r="C23" s="89" t="s">
        <v>105</v>
      </c>
      <c r="D23" s="8">
        <v>0</v>
      </c>
      <c r="E23" s="103">
        <f>AVERAGE(D23,F23)</f>
        <v>5.0000000000000001E-3</v>
      </c>
      <c r="F23" s="8">
        <v>0.01</v>
      </c>
      <c r="G23" s="3" t="s">
        <v>115</v>
      </c>
    </row>
    <row r="24" spans="1:7" outlineLevel="1">
      <c r="B24" s="190"/>
      <c r="C24" s="89" t="s">
        <v>74</v>
      </c>
      <c r="D24" s="103">
        <f>IF(C23=C24,D23,$D$3+D23)</f>
        <v>45</v>
      </c>
      <c r="E24" s="103">
        <f>IF(D23=D24,E23,$D$3+E23)</f>
        <v>45.005000000000003</v>
      </c>
      <c r="F24" s="103">
        <f>IF(E23=E24,F23,$D$3+F23)</f>
        <v>45.01</v>
      </c>
      <c r="G24" s="3" t="s">
        <v>116</v>
      </c>
    </row>
    <row r="25" spans="1:7">
      <c r="B25" s="190"/>
      <c r="C25" s="89" t="s">
        <v>104</v>
      </c>
      <c r="D25" s="169">
        <f>E25-0.1</f>
        <v>29.9</v>
      </c>
      <c r="E25" s="169">
        <v>30</v>
      </c>
      <c r="F25" s="169">
        <f>E25+0.1</f>
        <v>30.1</v>
      </c>
      <c r="G25" s="3" t="s">
        <v>115</v>
      </c>
    </row>
    <row r="26" spans="1:7">
      <c r="B26" s="190"/>
      <c r="C26" s="89" t="s">
        <v>69</v>
      </c>
      <c r="D26" s="203" t="s">
        <v>119</v>
      </c>
      <c r="E26" s="203"/>
      <c r="F26" s="203"/>
      <c r="G26" s="3" t="s">
        <v>115</v>
      </c>
    </row>
    <row r="27" spans="1:7">
      <c r="B27" s="190"/>
      <c r="C27" s="89" t="s">
        <v>114</v>
      </c>
      <c r="D27" s="209" cm="1">
        <f t="array" ref="D27">INDEX(Youngs_Modulus_List, MATCH(D26,Material_List, 0))</f>
        <v>205000</v>
      </c>
      <c r="E27" s="210"/>
      <c r="F27" s="211"/>
      <c r="G27" s="3" t="s">
        <v>116</v>
      </c>
    </row>
    <row r="28" spans="1:7">
      <c r="B28" s="190"/>
      <c r="C28" s="89" t="s">
        <v>70</v>
      </c>
      <c r="D28" s="197" cm="1">
        <f t="array" ref="D28">INDEX(Poissons_Ratio_List, MATCH(D26,Material_List, 0))</f>
        <v>0.3</v>
      </c>
      <c r="E28" s="197"/>
      <c r="F28" s="197"/>
      <c r="G28" s="3" t="s">
        <v>116</v>
      </c>
    </row>
    <row r="29" spans="1:7">
      <c r="B29" s="190"/>
      <c r="C29" s="89" t="s">
        <v>71</v>
      </c>
      <c r="D29" s="197" cm="1">
        <f t="array" ref="D29">INDEX(Linear_Expansion_Coefficient_List, MATCH(D26,Material_List, 0))</f>
        <v>11.9</v>
      </c>
      <c r="E29" s="197"/>
      <c r="F29" s="197"/>
      <c r="G29" s="3" t="s">
        <v>116</v>
      </c>
    </row>
    <row r="30" spans="1:7">
      <c r="B30" s="190"/>
      <c r="C30" s="89" t="s">
        <v>73</v>
      </c>
      <c r="D30" s="197" cm="1">
        <f t="array" ref="D30">INDEX(Yield_Point_List, MATCH(D26,Material_List, 0))</f>
        <v>345</v>
      </c>
      <c r="E30" s="197"/>
      <c r="F30" s="197"/>
      <c r="G30" s="3" t="s">
        <v>116</v>
      </c>
    </row>
    <row r="31" spans="1:7" ht="25.9">
      <c r="A31" s="97" t="s">
        <v>360</v>
      </c>
      <c r="B31" s="97"/>
      <c r="C31" s="97"/>
      <c r="D31" s="97"/>
      <c r="E31" s="97"/>
      <c r="F31" s="97"/>
    </row>
    <row r="32" spans="1:7">
      <c r="B32" s="190" t="s">
        <v>106</v>
      </c>
      <c r="C32" s="89" t="s">
        <v>93</v>
      </c>
      <c r="D32" s="169">
        <v>-0.1</v>
      </c>
      <c r="E32" s="170">
        <f>AVERAGE(D32,F32)</f>
        <v>-7.5000000000000011E-2</v>
      </c>
      <c r="F32" s="169">
        <v>-0.05</v>
      </c>
      <c r="G32" s="3" t="s">
        <v>115</v>
      </c>
    </row>
    <row r="33" spans="1:10" outlineLevel="1">
      <c r="B33" s="190"/>
      <c r="C33" s="89" t="s">
        <v>94</v>
      </c>
      <c r="D33" s="103">
        <f>IF(C32=C33,D32,$D$3+D32)</f>
        <v>44.9</v>
      </c>
      <c r="E33" s="103">
        <f>IF(D32=D33,E32,$D$3+E32)</f>
        <v>44.924999999999997</v>
      </c>
      <c r="F33" s="103">
        <f>IF(E32=E33,F32,$D$3+F32)</f>
        <v>44.95</v>
      </c>
      <c r="G33" s="3" t="s">
        <v>116</v>
      </c>
      <c r="J33"/>
    </row>
    <row r="34" spans="1:10">
      <c r="B34" s="190"/>
      <c r="C34" s="89" t="s">
        <v>74</v>
      </c>
      <c r="D34" s="169">
        <v>79</v>
      </c>
      <c r="E34" s="169">
        <v>80</v>
      </c>
      <c r="F34" s="169">
        <v>81</v>
      </c>
      <c r="G34" s="3" t="s">
        <v>115</v>
      </c>
      <c r="J34"/>
    </row>
    <row r="35" spans="1:10">
      <c r="B35" s="190"/>
      <c r="C35" s="89" t="s">
        <v>69</v>
      </c>
      <c r="D35" s="212" t="s">
        <v>110</v>
      </c>
      <c r="E35" s="213"/>
      <c r="F35" s="214"/>
      <c r="G35" s="3" t="s">
        <v>115</v>
      </c>
      <c r="J35"/>
    </row>
    <row r="36" spans="1:10">
      <c r="B36" s="190"/>
      <c r="C36" s="89" t="s">
        <v>114</v>
      </c>
      <c r="D36" s="197" cm="1">
        <f t="array" ref="D36">INDEX(Youngs_Modulus_List, MATCH(D35,Material_List, 0))</f>
        <v>71000</v>
      </c>
      <c r="E36" s="197"/>
      <c r="F36" s="197"/>
      <c r="G36" s="3" t="s">
        <v>116</v>
      </c>
      <c r="J36"/>
    </row>
    <row r="37" spans="1:10">
      <c r="B37" s="190"/>
      <c r="C37" s="89" t="s">
        <v>70</v>
      </c>
      <c r="D37" s="197" cm="1">
        <f t="array" ref="D37">INDEX(Poissons_Ratio_List, MATCH(D35,Material_List, 0))</f>
        <v>0.33</v>
      </c>
      <c r="E37" s="197"/>
      <c r="F37" s="197"/>
      <c r="G37" s="3" t="s">
        <v>116</v>
      </c>
      <c r="J37"/>
    </row>
    <row r="38" spans="1:10">
      <c r="B38" s="190"/>
      <c r="C38" s="89" t="s">
        <v>71</v>
      </c>
      <c r="D38" s="197" cm="1">
        <f t="array" ref="D38">INDEX(Linear_Expansion_Coefficient_List, MATCH(D35,Material_List, 0))</f>
        <v>21</v>
      </c>
      <c r="E38" s="197"/>
      <c r="F38" s="197"/>
      <c r="G38" s="3" t="s">
        <v>116</v>
      </c>
    </row>
    <row r="39" spans="1:10">
      <c r="B39" s="190"/>
      <c r="C39" s="89" t="s">
        <v>73</v>
      </c>
      <c r="D39" s="197" cm="1">
        <f t="array" ref="D39">INDEX(Yield_Point_List, MATCH(D35,Material_List, 0))</f>
        <v>150</v>
      </c>
      <c r="E39" s="197"/>
      <c r="F39" s="197"/>
      <c r="G39" s="3" t="s">
        <v>116</v>
      </c>
    </row>
    <row r="40" spans="1:10" ht="25.9">
      <c r="A40" s="97" t="s">
        <v>361</v>
      </c>
      <c r="B40" s="97"/>
      <c r="C40" s="97"/>
      <c r="D40" s="97"/>
      <c r="E40" s="97"/>
      <c r="F40" s="97"/>
      <c r="G40"/>
    </row>
    <row r="41" spans="1:10">
      <c r="B41" s="190"/>
      <c r="C41" s="89" t="s">
        <v>69</v>
      </c>
      <c r="D41" s="203" t="s">
        <v>110</v>
      </c>
      <c r="E41" s="203"/>
      <c r="F41" s="203"/>
      <c r="G41" s="186" t="s">
        <v>115</v>
      </c>
    </row>
    <row r="42" spans="1:10" customFormat="1">
      <c r="B42" s="194"/>
      <c r="C42" s="89" t="s">
        <v>73</v>
      </c>
      <c r="D42" s="204" cm="1">
        <f t="array" ref="D42">INDEX(Yield_Point_List, MATCH(D35,Material_List, 0))</f>
        <v>150</v>
      </c>
      <c r="E42" s="204"/>
      <c r="F42" s="204"/>
      <c r="G42" s="3" t="s">
        <v>116</v>
      </c>
    </row>
    <row r="43" spans="1:10" ht="25.9">
      <c r="A43" s="97" t="s">
        <v>358</v>
      </c>
    </row>
    <row r="44" spans="1:10">
      <c r="A44"/>
      <c r="B44" s="194" t="s">
        <v>39</v>
      </c>
      <c r="C44" s="90" t="s">
        <v>354</v>
      </c>
      <c r="D44" s="184">
        <f>E44-0.1</f>
        <v>14.9</v>
      </c>
      <c r="E44" s="184">
        <v>15</v>
      </c>
      <c r="F44" s="184">
        <f>E44+0.1</f>
        <v>15.1</v>
      </c>
      <c r="G44" s="186" t="s">
        <v>115</v>
      </c>
    </row>
    <row r="45" spans="1:10">
      <c r="A45"/>
      <c r="B45" s="194" t="s">
        <v>39</v>
      </c>
      <c r="C45" s="90" t="s">
        <v>350</v>
      </c>
      <c r="D45" s="184">
        <v>0.69</v>
      </c>
      <c r="E45" s="184">
        <v>0.7</v>
      </c>
      <c r="F45" s="184">
        <v>0.71</v>
      </c>
      <c r="G45" s="186" t="s">
        <v>115</v>
      </c>
    </row>
    <row r="46" spans="1:10">
      <c r="A46"/>
      <c r="B46" s="190" t="s">
        <v>39</v>
      </c>
      <c r="C46" s="90" t="s">
        <v>353</v>
      </c>
      <c r="D46" s="99">
        <f>D$44*(D$4*PI()*D$45)</f>
        <v>1451.8271975164721</v>
      </c>
      <c r="E46" s="99">
        <f>E$44*(E$4*PI()*E$45)</f>
        <v>1483.2479935209831</v>
      </c>
      <c r="F46" s="99">
        <f>F$44*(F$4*PI()*F$45)</f>
        <v>1514.972047464345</v>
      </c>
      <c r="G46" s="186" t="s">
        <v>116</v>
      </c>
    </row>
    <row r="47" spans="1:10">
      <c r="A47"/>
      <c r="B47" s="190" t="s">
        <v>39</v>
      </c>
      <c r="C47" s="90" t="s">
        <v>352</v>
      </c>
      <c r="D47" s="173">
        <f>((45/2)^2-(38/2))*PI()</f>
        <v>1530.7410204616267</v>
      </c>
      <c r="E47" s="173">
        <f>((45/2)^2-(38/2))*PI()</f>
        <v>1530.7410204616267</v>
      </c>
      <c r="F47" s="173">
        <f>((45/2)^2-(38/2))*PI()</f>
        <v>1530.7410204616267</v>
      </c>
      <c r="G47" s="186" t="s">
        <v>115</v>
      </c>
    </row>
    <row r="48" spans="1:10">
      <c r="A48"/>
      <c r="B48" s="193"/>
      <c r="C48" s="168"/>
      <c r="D48" s="188"/>
      <c r="E48" s="188"/>
      <c r="F48" s="188"/>
      <c r="G48" s="186"/>
    </row>
    <row r="49" spans="1:7" customFormat="1" ht="25.9">
      <c r="A49" s="97" t="s">
        <v>120</v>
      </c>
      <c r="B49" s="189"/>
      <c r="C49" s="93"/>
      <c r="D49" s="3"/>
      <c r="E49" s="3"/>
      <c r="F49" s="3"/>
      <c r="G49" s="3"/>
    </row>
    <row r="50" spans="1:7">
      <c r="A50"/>
      <c r="B50" s="190" t="s">
        <v>107</v>
      </c>
      <c r="C50" s="89" t="s">
        <v>148</v>
      </c>
      <c r="D50" s="198">
        <v>20</v>
      </c>
      <c r="E50" s="198"/>
      <c r="F50" s="198"/>
      <c r="G50" s="3" t="s">
        <v>116</v>
      </c>
    </row>
    <row r="51" spans="1:7">
      <c r="A51"/>
      <c r="B51" s="190" t="s">
        <v>106</v>
      </c>
      <c r="C51" s="89" t="s">
        <v>148</v>
      </c>
      <c r="D51" s="198">
        <v>20</v>
      </c>
      <c r="E51" s="198"/>
      <c r="F51" s="198"/>
      <c r="G51" s="3" t="s">
        <v>116</v>
      </c>
    </row>
    <row r="52" spans="1:7">
      <c r="B52" s="191" t="s">
        <v>39</v>
      </c>
      <c r="C52" s="91" t="s">
        <v>136</v>
      </c>
      <c r="D52" s="108">
        <f>D$24*(1+D$29*10^-6*(D50-20)) - F$33*(1+D$38*10^-6*(D51-20))</f>
        <v>4.9999999999997158E-2</v>
      </c>
      <c r="E52" s="103">
        <f>E$24*(1+D$29*10^-6*(D50-20)) - E$33*(1+D$38*10^-6*(D51-20))</f>
        <v>8.00000000000054E-2</v>
      </c>
      <c r="F52" s="103">
        <f>F$24*(1+D$29*10^-6*(D50-20)) - D$33*(1+D$38*10^-6*(D51-20))</f>
        <v>0.10999999999999943</v>
      </c>
      <c r="G52" s="3" t="s">
        <v>115</v>
      </c>
    </row>
    <row r="53" spans="1:7">
      <c r="B53" s="191" t="s">
        <v>39</v>
      </c>
      <c r="C53" s="91" t="s">
        <v>287</v>
      </c>
      <c r="D53" s="185">
        <f>(D52/$D$3)*(1/(($D$3^2+F$25^2)/($D$3^2-F$25^2)*(1/$D$36)+(D$34^2+$D$3^2)/(D$34^2-$D$3^2)*(1/$D$27)-($D$37/$D$36)+($D$28/$D$27)))</f>
        <v>25.677604056406292</v>
      </c>
      <c r="E53" s="185">
        <f>(E52/$D$3)*(1/(($D$3^2+E$25^2)/($D$3^2-E$25^2)*(1/$D$36)+(E$34^2+$D$3^2)/(E$34^2-$D$3^2)*(1/$D$27)-($D$37/$D$36)+($D$28/$D$27)))</f>
        <v>41.508764237321017</v>
      </c>
      <c r="F53" s="185">
        <f>(F52/$D$3)*(1/(($D$3^2+D$25^2)/($D$3^2-D$25^2)*(1/$D$36)+(F$34^2+$D$3^2)/(F$34^2-$D$3^2)*(1/$D$27)-($D$37/$D$36)+($D$28/$D$27)))</f>
        <v>57.651783437804184</v>
      </c>
      <c r="G53" s="3" t="s">
        <v>117</v>
      </c>
    </row>
    <row r="54" spans="1:7">
      <c r="B54" s="190" t="s">
        <v>107</v>
      </c>
      <c r="C54" s="89" t="s">
        <v>367</v>
      </c>
      <c r="D54" s="99">
        <f>D$30/F53</f>
        <v>5.9842034266328019</v>
      </c>
      <c r="E54" s="99">
        <f>D$30/E53</f>
        <v>8.3114977364179499</v>
      </c>
      <c r="F54" s="99">
        <f>D$30/D53</f>
        <v>13.435833002258875</v>
      </c>
      <c r="G54" s="3" t="s">
        <v>117</v>
      </c>
    </row>
    <row r="55" spans="1:7">
      <c r="B55" s="190" t="s">
        <v>106</v>
      </c>
      <c r="C55" s="89" t="s">
        <v>368</v>
      </c>
      <c r="D55" s="99">
        <f>D$39/F53</f>
        <v>2.6018275767968704</v>
      </c>
      <c r="E55" s="99">
        <f>D$39/E53</f>
        <v>3.6136946680078044</v>
      </c>
      <c r="F55" s="99">
        <f>D$39/D53</f>
        <v>5.8416665227212494</v>
      </c>
      <c r="G55" s="3" t="s">
        <v>117</v>
      </c>
    </row>
    <row r="56" spans="1:7">
      <c r="B56" s="190" t="s">
        <v>107</v>
      </c>
      <c r="C56" s="89" t="s">
        <v>282</v>
      </c>
      <c r="D56" s="105">
        <f>D53*2*F$24^2/(F$24^2-D$25^2)</f>
        <v>91.917511471535803</v>
      </c>
      <c r="E56" s="105">
        <f>E53*2*E$24^2/(E$24^2-E$25^2)</f>
        <v>149.40499479255146</v>
      </c>
      <c r="F56" s="105">
        <f>F53*2*D$24^2/(D$24^2-F$25^2)</f>
        <v>208.66113452587334</v>
      </c>
      <c r="G56" s="3" t="s">
        <v>117</v>
      </c>
    </row>
    <row r="57" spans="1:7">
      <c r="B57" s="190" t="s">
        <v>106</v>
      </c>
      <c r="C57" s="89" t="s">
        <v>282</v>
      </c>
      <c r="D57" s="105">
        <f>D53* (1+(F$34/D$33)^2)/((F$34/D$33)^2-1)</f>
        <v>48.457107005260134</v>
      </c>
      <c r="E57" s="105">
        <f>E53* (1+(E$34/E$33)^2)/((E$34/E$33)^2-1)</f>
        <v>79.747095704921506</v>
      </c>
      <c r="F57" s="105">
        <f>F53* (1+(D$34/F$33)^2)/((D$34/F$33)^2-1)</f>
        <v>112.85170835923442</v>
      </c>
      <c r="G57" s="3" t="s">
        <v>117</v>
      </c>
    </row>
    <row r="58" spans="1:7" outlineLevel="1">
      <c r="B58" s="190" t="s">
        <v>107</v>
      </c>
      <c r="C58" s="89" t="s">
        <v>365</v>
      </c>
      <c r="D58" s="174">
        <f>D$30/F56</f>
        <v>1.6533984672513178</v>
      </c>
      <c r="E58" s="174">
        <f>D$30/E56</f>
        <v>2.3091597471626155</v>
      </c>
      <c r="F58" s="174">
        <f>D$30/D56</f>
        <v>3.7533653215452478</v>
      </c>
      <c r="G58" s="3" t="s">
        <v>117</v>
      </c>
    </row>
    <row r="59" spans="1:7" outlineLevel="1">
      <c r="B59" s="190" t="s">
        <v>106</v>
      </c>
      <c r="C59" s="89" t="s">
        <v>365</v>
      </c>
      <c r="D59" s="174">
        <f>D$39/F57</f>
        <v>1.3291779289907915</v>
      </c>
      <c r="E59" s="174">
        <f>D$39/E57</f>
        <v>1.8809462422935976</v>
      </c>
      <c r="F59" s="174">
        <f>D$39/D57</f>
        <v>3.0955211582011519</v>
      </c>
      <c r="G59" s="3" t="s">
        <v>117</v>
      </c>
    </row>
    <row r="60" spans="1:7">
      <c r="B60" s="190" t="s">
        <v>39</v>
      </c>
      <c r="C60" s="91" t="s">
        <v>103</v>
      </c>
      <c r="D60" s="99">
        <f>D53*D$46*D$5/1000</f>
        <v>4.4735332723379928</v>
      </c>
      <c r="E60" s="99">
        <f>E53*E$46*E$5/1000</f>
        <v>9.2351686902812915</v>
      </c>
      <c r="F60" s="99">
        <f>F53*F$46*F$5/1000</f>
        <v>15.721351271053418</v>
      </c>
      <c r="G60" s="3" t="s">
        <v>117</v>
      </c>
    </row>
    <row r="61" spans="1:7">
      <c r="B61" s="190" t="s">
        <v>39</v>
      </c>
      <c r="C61" s="91" t="s">
        <v>363</v>
      </c>
      <c r="D61" s="99">
        <f>D53*D$46*D$6/1000</f>
        <v>3.7279443936149943</v>
      </c>
      <c r="E61" s="99">
        <f>E53*E$46*E$6/1000</f>
        <v>7.3881349522250321</v>
      </c>
      <c r="F61" s="99">
        <f>F53*F$46*F$6/1000</f>
        <v>13.101126059211181</v>
      </c>
      <c r="G61" s="3" t="s">
        <v>117</v>
      </c>
    </row>
    <row r="62" spans="1:7">
      <c r="B62" s="190" t="s">
        <v>39</v>
      </c>
      <c r="C62" s="91" t="s">
        <v>364</v>
      </c>
      <c r="D62" s="99">
        <f>(D61*1000)/F$20</f>
        <v>8.1955166892058617</v>
      </c>
      <c r="E62" s="99">
        <f>(E61*1000)/E$20</f>
        <v>24.563838209208754</v>
      </c>
      <c r="F62" s="99">
        <f>(F61*1000)/D$20</f>
        <v>86.845411745982375</v>
      </c>
      <c r="G62" s="3" t="s">
        <v>117</v>
      </c>
    </row>
    <row r="63" spans="1:7">
      <c r="B63" s="195"/>
      <c r="C63"/>
      <c r="D63"/>
      <c r="E63"/>
      <c r="F63"/>
    </row>
    <row r="64" spans="1:7">
      <c r="B64" s="190" t="s">
        <v>107</v>
      </c>
      <c r="C64" s="89" t="s">
        <v>148</v>
      </c>
      <c r="D64" s="199">
        <v>100</v>
      </c>
      <c r="E64" s="199"/>
      <c r="F64" s="199"/>
      <c r="G64" s="3" t="s">
        <v>115</v>
      </c>
    </row>
    <row r="65" spans="1:11">
      <c r="B65" s="190" t="s">
        <v>106</v>
      </c>
      <c r="C65" s="89" t="s">
        <v>148</v>
      </c>
      <c r="D65" s="199">
        <v>100</v>
      </c>
      <c r="E65" s="199"/>
      <c r="F65" s="199"/>
      <c r="G65" s="3" t="s">
        <v>115</v>
      </c>
    </row>
    <row r="66" spans="1:11" outlineLevel="1">
      <c r="B66" s="191" t="s">
        <v>39</v>
      </c>
      <c r="C66" s="91" t="str">
        <f>CONCATENATE("締め代(i:",D64,"℃/o:",D65,"℃)[mm]")</f>
        <v>締め代(i:100℃/o:100℃)[mm]</v>
      </c>
      <c r="D66" s="108">
        <f>D$24*(1+D$29*10^-6*(D64-20)) - F$33*(1+D$38*10^-6*(D65-20))</f>
        <v>1.7324000000009221E-2</v>
      </c>
      <c r="E66" s="103">
        <f>E$24*(1+D$29*10^-6*(D64-20)) - E$33*(1+D$38*10^-6*(D65-20))</f>
        <v>4.7370760000013945E-2</v>
      </c>
      <c r="F66" s="103">
        <f>F$24*(1+D$29*10^-6*(D64-20)) - D$33*(1+D$38*10^-6*(D65-20))</f>
        <v>7.7417520000011564E-2</v>
      </c>
      <c r="G66" s="3" t="s">
        <v>117</v>
      </c>
    </row>
    <row r="67" spans="1:11" outlineLevel="1">
      <c r="B67" s="191" t="s">
        <v>39</v>
      </c>
      <c r="C67" s="91" t="s">
        <v>288</v>
      </c>
      <c r="D67" s="185">
        <f>(D66/$D$3)*(1/(($D$3^2+F25^2)/($D$3^2-F25^2)*(1/$D$36)+(D34^2+$D$3^2)/(D34^2-$D$3^2)*(1/$D$27)-($D$37/$D$36)+($D$28/$D$27)))</f>
        <v>8.896776253468893</v>
      </c>
      <c r="E67" s="185">
        <f>(E66/$D$3)*(1/(($D$3^2+E25^2)/($D$3^2-E25^2)*(1/$D$36)+(E34^2+$D$3^2)/(E34^2-$D$3^2)*(1/$D$27)-($D$37/$D$36)+($D$28/$D$27)))</f>
        <v>24.578771357289536</v>
      </c>
      <c r="F67" s="185">
        <f>(F66/$D$3)*(1/(($D$3^2+D$25^2)/($D$3^2-D$25^2)*(1/$D$36)+(F$34^2+$D$3^2)/(F$34^2-$D$3^2)*(1/$D$27)-($D$37/$D$36)+($D$28/$D$27)))</f>
        <v>40.57507361211421</v>
      </c>
      <c r="G67" s="3" t="s">
        <v>117</v>
      </c>
    </row>
    <row r="68" spans="1:11">
      <c r="B68" s="190" t="s">
        <v>107</v>
      </c>
      <c r="C68" s="89" t="s">
        <v>366</v>
      </c>
      <c r="D68" s="174">
        <f>D$30/F67</f>
        <v>8.5027572173521779</v>
      </c>
      <c r="E68" s="174">
        <f>D$30/E67</f>
        <v>14.0365030857281</v>
      </c>
      <c r="F68" s="174">
        <f>D$30/D67</f>
        <v>38.778091094005312</v>
      </c>
      <c r="G68" s="3" t="s">
        <v>117</v>
      </c>
    </row>
    <row r="69" spans="1:11">
      <c r="B69" s="190" t="s">
        <v>106</v>
      </c>
      <c r="C69" s="89" t="s">
        <v>366</v>
      </c>
      <c r="D69" s="99">
        <f>D$39/F67</f>
        <v>3.6968509640661642</v>
      </c>
      <c r="E69" s="99">
        <f>D$39/E67</f>
        <v>6.1028274285774344</v>
      </c>
      <c r="F69" s="99">
        <f>D$39/D67</f>
        <v>16.860039606089266</v>
      </c>
      <c r="G69" s="3" t="s">
        <v>117</v>
      </c>
    </row>
    <row r="70" spans="1:11">
      <c r="B70" s="190" t="s">
        <v>107</v>
      </c>
      <c r="C70" s="89" t="s">
        <v>282</v>
      </c>
      <c r="D70" s="105">
        <f>D67*2*F$24^2/(F$24^2-D$25^2)</f>
        <v>31.847579374676485</v>
      </c>
      <c r="E70" s="105">
        <f>E67*2*E$24^2/(E$24^2-E$25^2)</f>
        <v>88.46785188901012</v>
      </c>
      <c r="F70" s="105">
        <f>F67*2*D$24^2/(D$24^2-F$25^2)</f>
        <v>146.854795958018</v>
      </c>
      <c r="G70" s="3" t="s">
        <v>117</v>
      </c>
    </row>
    <row r="71" spans="1:11">
      <c r="B71" s="190" t="s">
        <v>106</v>
      </c>
      <c r="C71" s="89" t="s">
        <v>282</v>
      </c>
      <c r="D71" s="105">
        <f>D67* (1+(F$34/D$33)^2)/((F$34/D$33)^2-1)</f>
        <v>16.789418435192424</v>
      </c>
      <c r="E71" s="105">
        <f>E67* (1+(E$34/E$33)^2)/((E$34/E$33)^2-1)</f>
        <v>47.221006641696547</v>
      </c>
      <c r="F71" s="105">
        <f>F67* (1+(D$34/F$33)^2)/((D$34/F$33)^2-1)</f>
        <v>79.424539899423152</v>
      </c>
      <c r="G71" s="3" t="s">
        <v>117</v>
      </c>
    </row>
    <row r="72" spans="1:11">
      <c r="B72" s="190" t="s">
        <v>107</v>
      </c>
      <c r="C72" s="89" t="s">
        <v>365</v>
      </c>
      <c r="D72" s="174">
        <f>D$30/F70</f>
        <v>2.3492593329987437</v>
      </c>
      <c r="E72" s="174">
        <f>D$30/E70</f>
        <v>3.8997216800610195</v>
      </c>
      <c r="F72" s="174">
        <f>D$30/D70</f>
        <v>10.832848422832594</v>
      </c>
      <c r="G72" s="3" t="s">
        <v>117</v>
      </c>
    </row>
    <row r="73" spans="1:11">
      <c r="B73" s="190" t="s">
        <v>106</v>
      </c>
      <c r="C73" s="89" t="s">
        <v>365</v>
      </c>
      <c r="D73" s="174">
        <f>D$39/F71</f>
        <v>1.8885850669068771</v>
      </c>
      <c r="E73" s="174">
        <f>D$39/E71</f>
        <v>3.1765523581098063</v>
      </c>
      <c r="F73" s="174">
        <f>D$39/D71</f>
        <v>8.9341986787096737</v>
      </c>
      <c r="G73" s="3" t="s">
        <v>117</v>
      </c>
    </row>
    <row r="74" spans="1:11">
      <c r="B74" s="190" t="s">
        <v>39</v>
      </c>
      <c r="C74" s="91" t="s">
        <v>103</v>
      </c>
      <c r="D74" s="99">
        <f>D67*D$46*D$5/1000</f>
        <v>1.549989808200581</v>
      </c>
      <c r="E74" s="99">
        <f>E67*E$46*E$5/1000</f>
        <v>5.4684619948366073</v>
      </c>
      <c r="F74" s="99">
        <f>F67*F$46*F$5/1000</f>
        <v>11.064618422309014</v>
      </c>
      <c r="G74" s="3" t="s">
        <v>117</v>
      </c>
    </row>
    <row r="75" spans="1:11">
      <c r="B75" s="190" t="s">
        <v>39</v>
      </c>
      <c r="C75" s="91" t="s">
        <v>363</v>
      </c>
      <c r="D75" s="99">
        <f>D67*D$46*D$6/1000</f>
        <v>1.2916581735004842</v>
      </c>
      <c r="E75" s="99">
        <f>E67*E$46*E$6/1000</f>
        <v>4.374769595869286</v>
      </c>
      <c r="F75" s="99">
        <f>F67*F$46*F$6/1000</f>
        <v>9.2205153519241776</v>
      </c>
      <c r="G75" s="3" t="s">
        <v>117</v>
      </c>
    </row>
    <row r="76" spans="1:11">
      <c r="B76" s="190" t="s">
        <v>39</v>
      </c>
      <c r="C76" s="91" t="s">
        <v>364</v>
      </c>
      <c r="D76" s="99">
        <f>(D75*1000)/F$20</f>
        <v>2.8395826224777201</v>
      </c>
      <c r="E76" s="99">
        <f>(E75*1000)/E$20</f>
        <v>14.545096056094021</v>
      </c>
      <c r="F76" s="99">
        <f>(F75*1000)/D$20</f>
        <v>61.121421825035135</v>
      </c>
      <c r="G76" s="3" t="s">
        <v>117</v>
      </c>
    </row>
    <row r="77" spans="1:11">
      <c r="A77"/>
      <c r="B77" s="195"/>
      <c r="C77"/>
      <c r="D77"/>
      <c r="E77"/>
      <c r="F77"/>
      <c r="G77"/>
    </row>
    <row r="78" spans="1:11">
      <c r="A78"/>
      <c r="B78" s="190" t="s">
        <v>107</v>
      </c>
      <c r="C78" s="89" t="s">
        <v>148</v>
      </c>
      <c r="D78" s="199">
        <v>-40</v>
      </c>
      <c r="E78" s="199"/>
      <c r="F78" s="199"/>
      <c r="G78" s="3" t="s">
        <v>115</v>
      </c>
      <c r="I78"/>
      <c r="J78"/>
      <c r="K78"/>
    </row>
    <row r="79" spans="1:11">
      <c r="A79"/>
      <c r="B79" s="190" t="s">
        <v>106</v>
      </c>
      <c r="C79" s="89" t="s">
        <v>148</v>
      </c>
      <c r="D79" s="199">
        <v>-40</v>
      </c>
      <c r="E79" s="199"/>
      <c r="F79" s="199"/>
      <c r="G79" s="3" t="s">
        <v>115</v>
      </c>
      <c r="I79"/>
      <c r="J79"/>
      <c r="K79"/>
    </row>
    <row r="80" spans="1:11">
      <c r="A80"/>
      <c r="B80" s="191" t="s">
        <v>39</v>
      </c>
      <c r="C80" s="91" t="str">
        <f>CONCATENATE("締め代(i:",D78,"℃/o:",D79,"℃)[mm]")</f>
        <v>締め代(i:-40℃/o:-40℃)[mm]</v>
      </c>
      <c r="D80" s="108">
        <f>D$24*(1+D$29*10^-6*(D78-20)) - F$33*(1+D$38*10^-6*(D79-20))</f>
        <v>7.4506999999996992E-2</v>
      </c>
      <c r="E80" s="103">
        <f>E$24*(1+D$29*10^-6*(D78-20)) - E$33*(1+D$38*10^-6*(D79-20))</f>
        <v>0.10447193000000965</v>
      </c>
      <c r="F80" s="103">
        <f>F$24*(1+D$29*10^-6*(D78-20)) - D$33*(1+D$38*10^-6*(D79-20))</f>
        <v>0.1344368600000081</v>
      </c>
      <c r="G80" s="3" t="s">
        <v>117</v>
      </c>
      <c r="I80"/>
      <c r="J80"/>
      <c r="K80"/>
    </row>
    <row r="81" spans="1:11">
      <c r="A81"/>
      <c r="B81" s="191" t="s">
        <v>39</v>
      </c>
      <c r="C81" s="91" t="s">
        <v>288</v>
      </c>
      <c r="D81" s="185">
        <f>(D80/$D$3)*(1/(($D$3^2+F$25^2)/($D$3^2-F$25^2)*(1/$D$36)+(D$34^2+$D$3^2)/(D$34^2-$D$3^2)*(1/$D$27)-($D$37/$D$36)+($D$28/$D$27)))</f>
        <v>38.2632249086139</v>
      </c>
      <c r="E81" s="185">
        <f>(E80/$D$3)*(1/(($D$3^2+E$25^2)/($D$3^2-E$25^2)*(1/$D$36)+(E$34^2+$D$3^2)/(E$34^2-$D$3^2)*(1/$D$27)-($D$37/$D$36)+($D$28/$D$27)))</f>
        <v>54.206258897350153</v>
      </c>
      <c r="F81" s="185">
        <f>(F80/$D$3)*(1/(($D$3^2+D$25^2)/($D$3^2-D$25^2)*(1/$D$36)+(F$34^2+$D$3^2)/(F$34^2-$D$3^2)*(1/$D$27)-($D$37/$D$36)+($D$28/$D$27)))</f>
        <v>70.459315807080969</v>
      </c>
      <c r="G81" s="3" t="s">
        <v>117</v>
      </c>
      <c r="I81"/>
      <c r="J81"/>
      <c r="K81"/>
    </row>
    <row r="82" spans="1:11">
      <c r="A82"/>
      <c r="B82" s="190" t="s">
        <v>107</v>
      </c>
      <c r="C82" s="89" t="s">
        <v>366</v>
      </c>
      <c r="D82" s="99">
        <f>D$30/F81</f>
        <v>4.8964426640845762</v>
      </c>
      <c r="E82" s="99">
        <f>D$30/E81</f>
        <v>6.3645786855226998</v>
      </c>
      <c r="F82" s="99">
        <f>D$30/D81</f>
        <v>9.0164903983911948</v>
      </c>
      <c r="G82" s="3" t="s">
        <v>117</v>
      </c>
      <c r="I82"/>
      <c r="J82"/>
      <c r="K82"/>
    </row>
    <row r="83" spans="1:11">
      <c r="A83"/>
      <c r="B83" s="190" t="s">
        <v>106</v>
      </c>
      <c r="C83" s="89" t="s">
        <v>366</v>
      </c>
      <c r="D83" s="99">
        <f>D$39/F81</f>
        <v>2.1288881148193806</v>
      </c>
      <c r="E83" s="99">
        <f>D$39/E81</f>
        <v>2.7672081241403044</v>
      </c>
      <c r="F83" s="99">
        <f>D$39/D81</f>
        <v>3.9202132166918235</v>
      </c>
      <c r="G83" s="3" t="s">
        <v>117</v>
      </c>
      <c r="I83"/>
      <c r="J83"/>
      <c r="K83"/>
    </row>
    <row r="84" spans="1:11">
      <c r="A84"/>
      <c r="B84" s="190" t="s">
        <v>107</v>
      </c>
      <c r="C84" s="89" t="s">
        <v>282</v>
      </c>
      <c r="D84" s="105">
        <f>D81*2*F$24^2/(F$24^2-D$25^2)</f>
        <v>136.96996054419662</v>
      </c>
      <c r="E84" s="105">
        <f>E81*2*E$24^2/(E$24^2-E$25^2)</f>
        <v>195.10785197022733</v>
      </c>
      <c r="F84" s="105">
        <f>F81*2*D$24^2/(D$24^2-F$25^2)</f>
        <v>255.01588845179845</v>
      </c>
      <c r="G84" s="3" t="s">
        <v>117</v>
      </c>
      <c r="I84"/>
      <c r="J84"/>
      <c r="K84"/>
    </row>
    <row r="85" spans="1:11">
      <c r="A85"/>
      <c r="B85" s="190" t="s">
        <v>106</v>
      </c>
      <c r="C85" s="89" t="s">
        <v>282</v>
      </c>
      <c r="D85" s="105">
        <f>D81* (1+(F$34/D$33)^2)/((F$34/D$33)^2-1)</f>
        <v>72.207873432819525</v>
      </c>
      <c r="E85" s="105">
        <f>E81* (1+(E$34/E$33)^2)/((E$34/E$33)^2-1)</f>
        <v>104.14166250235083</v>
      </c>
      <c r="F85" s="105">
        <f>F81* (1+(D$34/F$33)^2)/((D$34/F$33)^2-1)</f>
        <v>137.92208470411109</v>
      </c>
      <c r="G85" s="3" t="s">
        <v>117</v>
      </c>
      <c r="I85"/>
      <c r="J85"/>
      <c r="K85"/>
    </row>
    <row r="86" spans="1:11">
      <c r="B86" s="190" t="s">
        <v>107</v>
      </c>
      <c r="C86" s="89" t="s">
        <v>365</v>
      </c>
      <c r="D86" s="174">
        <f>D$30/F84</f>
        <v>1.3528568831318517</v>
      </c>
      <c r="E86" s="174">
        <f>D$30/E84</f>
        <v>1.7682527715627028</v>
      </c>
      <c r="F86" s="174">
        <f>D$30/D84</f>
        <v>2.5188004627385254</v>
      </c>
      <c r="G86" s="3" t="s">
        <v>117</v>
      </c>
      <c r="I86"/>
      <c r="J86"/>
      <c r="K86"/>
    </row>
    <row r="87" spans="1:11">
      <c r="B87" s="190" t="s">
        <v>106</v>
      </c>
      <c r="C87" s="89" t="s">
        <v>365</v>
      </c>
      <c r="D87" s="174">
        <f>D$39/F85</f>
        <v>1.0875705679898913</v>
      </c>
      <c r="E87" s="174">
        <f>D$39/E85</f>
        <v>1.4403457405590583</v>
      </c>
      <c r="F87" s="174">
        <f>D$39/D85</f>
        <v>2.0773357927450449</v>
      </c>
      <c r="G87" s="3" t="s">
        <v>117</v>
      </c>
      <c r="I87"/>
      <c r="J87"/>
      <c r="K87"/>
    </row>
    <row r="88" spans="1:11">
      <c r="A88"/>
      <c r="B88" s="190" t="s">
        <v>39</v>
      </c>
      <c r="C88" s="91" t="s">
        <v>103</v>
      </c>
      <c r="D88" s="99">
        <f>D81*D$46*D$5/1000</f>
        <v>6.6661908704418469</v>
      </c>
      <c r="E88" s="99">
        <f>E81*E$46*E$5/1000</f>
        <v>12.060198711866033</v>
      </c>
      <c r="F88" s="99">
        <f>F81*F$46*F$5/1000</f>
        <v>19.21390090761426</v>
      </c>
      <c r="G88" s="3" t="s">
        <v>117</v>
      </c>
      <c r="I88"/>
      <c r="J88"/>
      <c r="K88"/>
    </row>
    <row r="89" spans="1:11">
      <c r="A89"/>
      <c r="B89" s="190" t="s">
        <v>39</v>
      </c>
      <c r="C89" s="91" t="s">
        <v>363</v>
      </c>
      <c r="D89" s="99">
        <f>D81*D$46*D$6/1000</f>
        <v>5.5551590587015394</v>
      </c>
      <c r="E89" s="99">
        <f>E81*E$46*E$6/1000</f>
        <v>9.648158969492826</v>
      </c>
      <c r="F89" s="99">
        <f>F81*F$46*F$6/1000</f>
        <v>16.01158408967855</v>
      </c>
      <c r="G89" s="3" t="s">
        <v>117</v>
      </c>
      <c r="I89"/>
      <c r="J89"/>
      <c r="K89"/>
    </row>
    <row r="90" spans="1:11">
      <c r="A90"/>
      <c r="B90" s="190" t="s">
        <v>39</v>
      </c>
      <c r="C90" s="91" t="s">
        <v>364</v>
      </c>
      <c r="D90" s="99">
        <f>(D89*1000)/F$20</f>
        <v>12.212467239253423</v>
      </c>
      <c r="E90" s="99">
        <f>(E89*1000)/E$20</f>
        <v>32.07789482404808</v>
      </c>
      <c r="F90" s="99">
        <f>(F89*1000)/D$20</f>
        <v>106.13840418670685</v>
      </c>
      <c r="G90" s="3" t="s">
        <v>117</v>
      </c>
      <c r="I90"/>
      <c r="J90"/>
      <c r="K90"/>
    </row>
    <row r="91" spans="1:11">
      <c r="A91"/>
      <c r="B91" s="195"/>
      <c r="C91"/>
      <c r="D91"/>
      <c r="E91"/>
      <c r="F91"/>
      <c r="G91"/>
      <c r="I91"/>
      <c r="J91"/>
      <c r="K91"/>
    </row>
    <row r="92" spans="1:11">
      <c r="A92"/>
      <c r="B92" s="196" t="s">
        <v>39</v>
      </c>
      <c r="C92" s="90" t="s">
        <v>359</v>
      </c>
      <c r="D92" s="200">
        <f>F60</f>
        <v>15.721351271053418</v>
      </c>
      <c r="E92" s="201"/>
      <c r="F92" s="202"/>
      <c r="G92" s="3" t="s">
        <v>116</v>
      </c>
      <c r="I92"/>
      <c r="J92"/>
      <c r="K92"/>
    </row>
    <row r="93" spans="1:11">
      <c r="A93"/>
      <c r="B93" s="190" t="s">
        <v>39</v>
      </c>
      <c r="C93" s="89" t="s">
        <v>111</v>
      </c>
      <c r="D93" s="84">
        <f>E93*(1-0.05)</f>
        <v>19</v>
      </c>
      <c r="E93" s="84">
        <v>20</v>
      </c>
      <c r="F93" s="84">
        <f>E93*(1+0.05)</f>
        <v>21</v>
      </c>
      <c r="G93" s="3" t="s">
        <v>115</v>
      </c>
      <c r="I93"/>
      <c r="J93"/>
      <c r="K93"/>
    </row>
    <row r="94" spans="1:11">
      <c r="B94" s="190" t="s">
        <v>39</v>
      </c>
      <c r="C94" s="89" t="s">
        <v>113</v>
      </c>
      <c r="D94" s="172">
        <f>(D93-F60)*1000/F47</f>
        <v>2.1418703001490331</v>
      </c>
      <c r="E94" s="172">
        <f>(E93-E$60)*1000/E47</f>
        <v>7.0324314602037328</v>
      </c>
      <c r="F94" s="172">
        <f>(F93-D60)*1000/D47</f>
        <v>10.796383259317183</v>
      </c>
      <c r="G94" s="3" t="s">
        <v>116</v>
      </c>
      <c r="I94"/>
      <c r="J94"/>
      <c r="K94"/>
    </row>
    <row r="95" spans="1:11">
      <c r="B95" s="190" t="s">
        <v>107</v>
      </c>
      <c r="C95" s="89" t="s">
        <v>112</v>
      </c>
      <c r="D95" s="105">
        <f>D30/F94</f>
        <v>31.955145692171314</v>
      </c>
      <c r="E95" s="105">
        <f>D30/E94</f>
        <v>49.058423384904941</v>
      </c>
      <c r="F95" s="105">
        <f>D30/D94</f>
        <v>161.07417894351241</v>
      </c>
      <c r="G95" s="3" t="s">
        <v>117</v>
      </c>
      <c r="I95"/>
      <c r="J95"/>
      <c r="K95"/>
    </row>
    <row r="96" spans="1:11">
      <c r="B96" s="190" t="s">
        <v>106</v>
      </c>
      <c r="C96" s="89" t="s">
        <v>112</v>
      </c>
      <c r="D96" s="105">
        <f>D39/F94</f>
        <v>13.893541605291876</v>
      </c>
      <c r="E96" s="105">
        <f>D39/E94</f>
        <v>21.329749297784758</v>
      </c>
      <c r="F96" s="105">
        <f>D39/D94</f>
        <v>70.03225171457062</v>
      </c>
      <c r="G96" s="3" t="s">
        <v>117</v>
      </c>
      <c r="I96"/>
      <c r="J96"/>
      <c r="K96"/>
    </row>
    <row r="97" spans="1:11">
      <c r="B97" s="196" t="s">
        <v>362</v>
      </c>
      <c r="C97" s="89" t="s">
        <v>112</v>
      </c>
      <c r="D97" s="105">
        <f>$D$42/F94</f>
        <v>13.893541605291876</v>
      </c>
      <c r="E97" s="105">
        <f>$D$42/E94</f>
        <v>21.329749297784758</v>
      </c>
      <c r="F97" s="105">
        <f>$D$42/D94</f>
        <v>70.03225171457062</v>
      </c>
      <c r="G97" s="3" t="s">
        <v>117</v>
      </c>
      <c r="I97"/>
      <c r="J97"/>
      <c r="K97"/>
    </row>
    <row r="98" spans="1:11">
      <c r="A98"/>
      <c r="B98" s="195"/>
      <c r="C98"/>
      <c r="D98"/>
      <c r="E98"/>
      <c r="F98"/>
      <c r="G98"/>
      <c r="I98"/>
      <c r="J98"/>
      <c r="K98"/>
    </row>
    <row r="99" spans="1:11" customFormat="1">
      <c r="B99" s="195"/>
    </row>
    <row r="100" spans="1:11" customFormat="1">
      <c r="B100" s="195"/>
    </row>
    <row r="101" spans="1:11" customFormat="1">
      <c r="B101" s="195"/>
    </row>
    <row r="102" spans="1:11" customFormat="1">
      <c r="B102" s="195"/>
    </row>
    <row r="103" spans="1:11" customFormat="1">
      <c r="B103" s="195"/>
    </row>
    <row r="104" spans="1:11" customFormat="1">
      <c r="B104" s="195"/>
    </row>
    <row r="105" spans="1:11" customFormat="1">
      <c r="B105" s="195"/>
    </row>
    <row r="106" spans="1:11" customFormat="1">
      <c r="B106" s="195"/>
    </row>
    <row r="107" spans="1:11" customFormat="1">
      <c r="B107" s="195"/>
    </row>
    <row r="108" spans="1:11">
      <c r="A108"/>
      <c r="B108" s="195"/>
      <c r="C108"/>
      <c r="D108"/>
      <c r="E108"/>
      <c r="F108"/>
      <c r="G108"/>
      <c r="I108"/>
      <c r="J108"/>
      <c r="K108"/>
    </row>
    <row r="109" spans="1:11">
      <c r="A109"/>
      <c r="B109" s="195"/>
      <c r="C109"/>
      <c r="D109"/>
      <c r="E109"/>
      <c r="F109"/>
      <c r="G109"/>
      <c r="I109"/>
      <c r="J109"/>
      <c r="K109"/>
    </row>
    <row r="110" spans="1:11" customFormat="1">
      <c r="A110" s="88"/>
      <c r="B110" s="189"/>
      <c r="C110" s="93"/>
      <c r="D110" s="3"/>
      <c r="E110" s="3"/>
      <c r="F110" s="3"/>
      <c r="G110" s="3"/>
    </row>
    <row r="111" spans="1:11" customFormat="1">
      <c r="A111" s="88"/>
      <c r="B111" s="189"/>
      <c r="C111" s="93"/>
      <c r="D111" s="3"/>
      <c r="E111" s="3"/>
      <c r="F111" s="3"/>
      <c r="G111" s="3"/>
    </row>
    <row r="112" spans="1:11" customFormat="1">
      <c r="A112" s="88"/>
      <c r="B112" s="189"/>
      <c r="C112" s="88"/>
      <c r="D112" s="88"/>
      <c r="E112" s="88"/>
      <c r="F112" s="88"/>
      <c r="G112" s="88"/>
    </row>
    <row r="113" spans="3:7">
      <c r="C113" s="88"/>
      <c r="D113" s="88"/>
      <c r="E113" s="88"/>
      <c r="F113" s="88"/>
      <c r="G113" s="88"/>
    </row>
    <row r="114" spans="3:7">
      <c r="C114" s="88"/>
      <c r="D114" s="88"/>
      <c r="E114" s="88"/>
      <c r="F114" s="88"/>
      <c r="G114" s="88"/>
    </row>
    <row r="127" spans="3:7" outlineLevel="1"/>
  </sheetData>
  <mergeCells count="22">
    <mergeCell ref="D38:F38"/>
    <mergeCell ref="D3:F3"/>
    <mergeCell ref="D9:F9"/>
    <mergeCell ref="D14:F14"/>
    <mergeCell ref="D26:F26"/>
    <mergeCell ref="D27:F27"/>
    <mergeCell ref="D28:F28"/>
    <mergeCell ref="D29:F29"/>
    <mergeCell ref="D30:F30"/>
    <mergeCell ref="D35:F35"/>
    <mergeCell ref="D36:F36"/>
    <mergeCell ref="D37:F37"/>
    <mergeCell ref="D78:F78"/>
    <mergeCell ref="D79:F79"/>
    <mergeCell ref="D92:F92"/>
    <mergeCell ref="D41:F41"/>
    <mergeCell ref="D42:F42"/>
    <mergeCell ref="D39:F39"/>
    <mergeCell ref="D50:F50"/>
    <mergeCell ref="D51:F51"/>
    <mergeCell ref="D64:F64"/>
    <mergeCell ref="D65:F65"/>
  </mergeCells>
  <phoneticPr fontId="1"/>
  <conditionalFormatting sqref="D86:D87 D82:D83 F82:F83 F86:F87">
    <cfRule type="top10" dxfId="11" priority="9" bottom="1" rank="1"/>
  </conditionalFormatting>
  <conditionalFormatting sqref="D68:D69 D72:D73 F72:F73 F68:F69">
    <cfRule type="top10" dxfId="10" priority="8" bottom="1" rank="1"/>
  </conditionalFormatting>
  <conditionalFormatting sqref="D58:D59 D54:D55 F54:F55 F58:F59">
    <cfRule type="top10" dxfId="9" priority="7" bottom="1" rank="1"/>
  </conditionalFormatting>
  <conditionalFormatting sqref="D76 D72:D73 D68:D69 D82:D83 D86:D87 D90 D62 D58:D59 D54:D55 F54:F55 F58:F59 F62 F90 F86:F87 F82:F83 F68:F69 F72:F73 F76">
    <cfRule type="cellIs" dxfId="8" priority="5" operator="lessThan">
      <formula>1</formula>
    </cfRule>
  </conditionalFormatting>
  <conditionalFormatting sqref="F1:F1000">
    <cfRule type="expression" dxfId="6" priority="16">
      <formula>AND(F1&lt;E1,ISNUMBER(E1))</formula>
    </cfRule>
  </conditionalFormatting>
  <conditionalFormatting sqref="D1:D1000">
    <cfRule type="expression" dxfId="7" priority="17">
      <formula>AND($D1&gt;$E1,ISNUMBER($E1))</formula>
    </cfRule>
  </conditionalFormatting>
  <dataValidations disablePrompts="1" count="3">
    <dataValidation type="list" allowBlank="1" showInputMessage="1" showErrorMessage="1" sqref="C23" xr:uid="{B053617F-D36E-441C-815C-9AFB4F513CE8}">
      <formula1>"外形[mm],外形公差[mm]"</formula1>
    </dataValidation>
    <dataValidation type="list" allowBlank="1" showInputMessage="1" showErrorMessage="1" sqref="C32" xr:uid="{DB66376E-8B00-483F-998A-EB309192F87A}">
      <formula1>"内径[mm],内径公差[mm]"</formula1>
    </dataValidation>
    <dataValidation type="list" allowBlank="1" showInputMessage="1" showErrorMessage="1" sqref="D35:F35 D26:F26 D41:F41" xr:uid="{BFCA024A-B59A-4835-866D-C60E90746B72}">
      <formula1>Material_List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C406A-A01B-4EBD-A54F-AB6DC774D0E4}">
  <dimension ref="A1:AR56"/>
  <sheetViews>
    <sheetView zoomScale="55" zoomScaleNormal="55" workbookViewId="0">
      <selection activeCell="I34" sqref="I34"/>
    </sheetView>
  </sheetViews>
  <sheetFormatPr defaultRowHeight="17.649999999999999"/>
  <cols>
    <col min="1" max="1" width="11" bestFit="1" customWidth="1"/>
    <col min="2" max="2" width="17.625" bestFit="1" customWidth="1"/>
    <col min="3" max="3" width="17.25" bestFit="1" customWidth="1"/>
    <col min="4" max="4" width="18" bestFit="1" customWidth="1"/>
    <col min="5" max="5" width="11.875" bestFit="1" customWidth="1"/>
    <col min="6" max="6" width="11.5" bestFit="1" customWidth="1"/>
    <col min="7" max="7" width="12.25" bestFit="1" customWidth="1"/>
    <col min="8" max="8" width="13.1875" bestFit="1" customWidth="1"/>
    <col min="9" max="9" width="13.3125" bestFit="1" customWidth="1"/>
    <col min="10" max="10" width="18.9375" bestFit="1" customWidth="1"/>
    <col min="11" max="11" width="19.0625" bestFit="1" customWidth="1"/>
    <col min="14" max="14" width="14.8125" bestFit="1" customWidth="1"/>
    <col min="15" max="17" width="17.25" bestFit="1" customWidth="1"/>
    <col min="18" max="18" width="15.3125" bestFit="1" customWidth="1"/>
    <col min="19" max="21" width="17.875" bestFit="1" customWidth="1"/>
    <col min="22" max="24" width="21.625" bestFit="1" customWidth="1"/>
    <col min="25" max="25" width="19.75" bestFit="1" customWidth="1"/>
    <col min="26" max="28" width="22.3125" bestFit="1" customWidth="1"/>
    <col min="29" max="31" width="18.75" bestFit="1" customWidth="1"/>
    <col min="32" max="32" width="16.8125" bestFit="1" customWidth="1"/>
    <col min="33" max="35" width="19.375" bestFit="1" customWidth="1"/>
    <col min="36" max="36" width="13.1875" bestFit="1" customWidth="1"/>
    <col min="37" max="39" width="18.875" bestFit="1" customWidth="1"/>
    <col min="40" max="40" width="16.9375" bestFit="1" customWidth="1"/>
    <col min="41" max="43" width="19.5" bestFit="1" customWidth="1"/>
  </cols>
  <sheetData>
    <row r="1" spans="1:44">
      <c r="A1" s="179"/>
      <c r="B1" s="179"/>
      <c r="C1" s="179"/>
      <c r="D1" s="179"/>
    </row>
    <row r="2" spans="1:44">
      <c r="A2" t="s">
        <v>297</v>
      </c>
      <c r="B2" s="179"/>
      <c r="C2" s="179"/>
      <c r="D2" s="179"/>
      <c r="O2" s="79" t="s">
        <v>60</v>
      </c>
      <c r="P2" s="79" t="s">
        <v>60</v>
      </c>
      <c r="Q2" s="79" t="s">
        <v>60</v>
      </c>
      <c r="R2" s="79" t="s">
        <v>60</v>
      </c>
      <c r="S2" s="79" t="s">
        <v>60</v>
      </c>
      <c r="T2" s="79" t="s">
        <v>60</v>
      </c>
      <c r="U2" s="79" t="s">
        <v>60</v>
      </c>
      <c r="V2" s="79" t="s">
        <v>60</v>
      </c>
      <c r="W2" s="79" t="s">
        <v>60</v>
      </c>
      <c r="X2" s="79" t="s">
        <v>60</v>
      </c>
      <c r="Y2" s="79" t="s">
        <v>60</v>
      </c>
      <c r="Z2" s="79" t="s">
        <v>60</v>
      </c>
      <c r="AA2" s="79" t="s">
        <v>60</v>
      </c>
      <c r="AB2" s="79" t="s">
        <v>60</v>
      </c>
      <c r="AC2" s="79" t="s">
        <v>60</v>
      </c>
      <c r="AD2" s="79" t="s">
        <v>60</v>
      </c>
      <c r="AE2" s="79" t="s">
        <v>60</v>
      </c>
      <c r="AF2" s="79" t="s">
        <v>60</v>
      </c>
      <c r="AG2" s="79" t="s">
        <v>60</v>
      </c>
      <c r="AH2" s="79" t="s">
        <v>60</v>
      </c>
      <c r="AI2" s="79" t="s">
        <v>60</v>
      </c>
      <c r="AJ2" s="79"/>
      <c r="AK2" s="79" t="s">
        <v>58</v>
      </c>
      <c r="AL2" s="79" t="s">
        <v>58</v>
      </c>
      <c r="AM2" s="79" t="s">
        <v>58</v>
      </c>
      <c r="AN2" s="79" t="s">
        <v>58</v>
      </c>
      <c r="AO2" s="79" t="s">
        <v>58</v>
      </c>
      <c r="AP2" s="79" t="s">
        <v>58</v>
      </c>
      <c r="AQ2" s="79" t="s">
        <v>58</v>
      </c>
    </row>
    <row r="3" spans="1:44">
      <c r="A3" s="180">
        <v>0.01</v>
      </c>
      <c r="B3" s="179"/>
      <c r="C3" s="179"/>
      <c r="D3" s="179"/>
      <c r="O3" s="79">
        <v>-30</v>
      </c>
      <c r="P3" s="79">
        <v>-20</v>
      </c>
      <c r="Q3" s="79">
        <v>-10</v>
      </c>
      <c r="R3" s="79">
        <v>0</v>
      </c>
      <c r="S3" s="79">
        <v>10</v>
      </c>
      <c r="T3" s="79">
        <v>20</v>
      </c>
      <c r="U3" s="79">
        <v>30</v>
      </c>
      <c r="V3" s="79">
        <v>-30</v>
      </c>
      <c r="W3" s="79">
        <v>-20</v>
      </c>
      <c r="X3" s="79">
        <v>-10</v>
      </c>
      <c r="Y3" s="79">
        <v>0</v>
      </c>
      <c r="Z3" s="79">
        <v>10</v>
      </c>
      <c r="AA3" s="79">
        <v>20</v>
      </c>
      <c r="AB3" s="79">
        <v>30</v>
      </c>
      <c r="AC3" s="79">
        <v>-30</v>
      </c>
      <c r="AD3" s="79">
        <v>-20</v>
      </c>
      <c r="AE3" s="79">
        <v>-10</v>
      </c>
      <c r="AF3" s="79">
        <v>0</v>
      </c>
      <c r="AG3" s="79">
        <v>10</v>
      </c>
      <c r="AH3" s="79">
        <v>20</v>
      </c>
      <c r="AI3" s="79">
        <v>30</v>
      </c>
      <c r="AJ3" s="79"/>
      <c r="AK3" s="79">
        <v>-30</v>
      </c>
      <c r="AL3" s="79">
        <v>-20</v>
      </c>
      <c r="AM3" s="79">
        <v>-10</v>
      </c>
      <c r="AN3" s="79">
        <v>0</v>
      </c>
      <c r="AO3" s="79">
        <v>10</v>
      </c>
      <c r="AP3" s="79">
        <v>20</v>
      </c>
      <c r="AQ3" s="79">
        <v>30</v>
      </c>
    </row>
    <row r="4" spans="1:44">
      <c r="A4" s="169" t="s">
        <v>298</v>
      </c>
      <c r="B4" s="181" t="s">
        <v>299</v>
      </c>
      <c r="C4" s="181"/>
      <c r="D4" s="181"/>
      <c r="E4" s="182" t="s">
        <v>300</v>
      </c>
      <c r="F4" s="182"/>
      <c r="G4" s="182"/>
      <c r="H4" s="182" t="s">
        <v>301</v>
      </c>
      <c r="I4" s="182"/>
      <c r="J4" s="183" t="s">
        <v>302</v>
      </c>
      <c r="K4" s="183"/>
      <c r="N4" s="79"/>
      <c r="O4" s="183" t="s">
        <v>303</v>
      </c>
      <c r="P4" s="183"/>
      <c r="Q4" s="183"/>
      <c r="R4" s="183"/>
      <c r="S4" s="183"/>
      <c r="T4" s="183"/>
      <c r="U4" s="183"/>
      <c r="V4" s="183" t="s">
        <v>288</v>
      </c>
      <c r="W4" s="183"/>
      <c r="X4" s="183"/>
      <c r="Y4" s="183"/>
      <c r="Z4" s="183"/>
      <c r="AA4" s="183"/>
      <c r="AB4" s="183"/>
      <c r="AC4" s="183" t="s">
        <v>314</v>
      </c>
      <c r="AD4" s="183"/>
      <c r="AE4" s="183"/>
      <c r="AF4" s="183"/>
      <c r="AG4" s="183"/>
      <c r="AH4" s="183"/>
      <c r="AI4" s="183"/>
      <c r="AJ4" s="183"/>
      <c r="AK4" s="183" t="s">
        <v>331</v>
      </c>
      <c r="AL4" s="183"/>
      <c r="AM4" s="183"/>
      <c r="AN4" s="183"/>
      <c r="AO4" s="183"/>
      <c r="AP4" s="183"/>
      <c r="AQ4" s="183"/>
    </row>
    <row r="5" spans="1:44">
      <c r="A5" t="s">
        <v>303</v>
      </c>
      <c r="B5" t="s">
        <v>304</v>
      </c>
      <c r="C5" t="s">
        <v>305</v>
      </c>
      <c r="D5" t="s">
        <v>306</v>
      </c>
      <c r="E5" t="s">
        <v>307</v>
      </c>
      <c r="F5" t="s">
        <v>308</v>
      </c>
      <c r="G5" t="s">
        <v>309</v>
      </c>
      <c r="H5" t="s">
        <v>310</v>
      </c>
      <c r="I5" t="s">
        <v>311</v>
      </c>
      <c r="J5" t="s">
        <v>312</v>
      </c>
      <c r="K5" t="s">
        <v>313</v>
      </c>
      <c r="N5" t="s">
        <v>330</v>
      </c>
      <c r="O5" t="s">
        <v>315</v>
      </c>
      <c r="P5" t="s">
        <v>316</v>
      </c>
      <c r="Q5" t="s">
        <v>317</v>
      </c>
      <c r="R5" t="s">
        <v>318</v>
      </c>
      <c r="S5" t="s">
        <v>319</v>
      </c>
      <c r="T5" t="s">
        <v>320</v>
      </c>
      <c r="U5" t="s">
        <v>321</v>
      </c>
      <c r="V5" t="s">
        <v>322</v>
      </c>
      <c r="W5" t="s">
        <v>324</v>
      </c>
      <c r="X5" t="s">
        <v>325</v>
      </c>
      <c r="Y5" t="s">
        <v>326</v>
      </c>
      <c r="Z5" t="s">
        <v>327</v>
      </c>
      <c r="AA5" t="s">
        <v>328</v>
      </c>
      <c r="AB5" t="s">
        <v>329</v>
      </c>
      <c r="AC5" t="s">
        <v>323</v>
      </c>
      <c r="AD5" t="s">
        <v>332</v>
      </c>
      <c r="AE5" t="s">
        <v>333</v>
      </c>
      <c r="AF5" t="s">
        <v>334</v>
      </c>
      <c r="AG5" t="s">
        <v>335</v>
      </c>
      <c r="AH5" t="s">
        <v>336</v>
      </c>
      <c r="AI5" t="s">
        <v>337</v>
      </c>
      <c r="AJ5" t="s">
        <v>345</v>
      </c>
      <c r="AK5" t="s">
        <v>338</v>
      </c>
      <c r="AL5" t="s">
        <v>339</v>
      </c>
      <c r="AM5" t="s">
        <v>340</v>
      </c>
      <c r="AN5" t="s">
        <v>341</v>
      </c>
      <c r="AO5" t="s">
        <v>342</v>
      </c>
      <c r="AP5" t="s">
        <v>343</v>
      </c>
      <c r="AQ5" t="s">
        <v>344</v>
      </c>
      <c r="AR5" t="s">
        <v>346</v>
      </c>
    </row>
    <row r="6" spans="1:44">
      <c r="A6" s="179">
        <v>0</v>
      </c>
      <c r="B6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0</v>
      </c>
      <c r="C6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0</v>
      </c>
      <c r="D6" s="101">
        <f>(テーブル3[[#This Row],[締め代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0</v>
      </c>
      <c r="E6" s="101">
        <f>テーブル3[[#This Row],[半径方向応力min]]*寸法→圧入力!D$46*寸法→圧入力!D$5/1000</f>
        <v>0</v>
      </c>
      <c r="F6" s="101">
        <f>テーブル3[[#This Row],[半径方向応力min]]*寸法→圧入力!E$46*寸法→圧入力!E$5/1000</f>
        <v>0</v>
      </c>
      <c r="G6" s="101">
        <f>テーブル3[[#This Row],[半径方向応力min]]*寸法→圧入力!F$46*寸法→圧入力!F$5/1000</f>
        <v>0</v>
      </c>
      <c r="H6" s="101">
        <f>寸法→圧入力!$D$30</f>
        <v>345</v>
      </c>
      <c r="I6" s="101">
        <f>寸法→圧入力!$D$39</f>
        <v>150</v>
      </c>
      <c r="J6" s="101">
        <f>テーブル3[[#This Row],[半径方向応力nor]]*2*寸法→圧入力!E$24^2/(寸法→圧入力!E$24^2-寸法→圧入力!E$25^2)</f>
        <v>0</v>
      </c>
      <c r="K6" s="101">
        <f>テーブル3[[#This Row],[半径方向応力nor]]* (1+(寸法→圧入力!E$34/寸法→圧入力!E$33)^2)/((寸法→圧入力!E$34/寸法→圧入力!E$33)^2-1)</f>
        <v>0</v>
      </c>
      <c r="N6">
        <v>-50</v>
      </c>
      <c r="O6" s="179">
        <f>寸法→圧入力!F$24*(1+寸法→圧入力!D$29*10^-6*(テーブル4[[#This Row],[inner温度'[℃']]]-20)) - 寸法→圧入力!D$33*(1+寸法→圧入力!D$38*10^-6*(テーブル4[[#This Row],[inner温度'[℃']]]+O$3-20))</f>
        <v>0.16679667000000364</v>
      </c>
      <c r="P6" s="179">
        <f>寸法→圧入力!F$24*(1+寸法→圧入力!D$29*10^-6*(テーブル4[[#This Row],[inner温度'[℃']]]-20)) - 寸法→圧入力!D$33*(1+寸法→圧入力!D$38*10^-6*(テーブル4[[#This Row],[inner温度'[℃']]]+P$3-20))</f>
        <v>0.15736766999999929</v>
      </c>
      <c r="Q6" s="179">
        <f>寸法→圧入力!F$24*(1+寸法→圧入力!D$29*10^-6*(テーブル4[[#This Row],[inner温度'[℃']]]-20)) - 寸法→圧入力!D$33*(1+寸法→圧入力!D$38*10^-6*(テーブル4[[#This Row],[inner温度'[℃']]]+Q$3-20))</f>
        <v>0.14793867000000205</v>
      </c>
      <c r="R6" s="179">
        <f>寸法→圧入力!F$24*(1+寸法→圧入力!D$29*10^-6*(テーブル4[[#This Row],[inner温度'[℃']]]-20)) - 寸法→圧入力!D$33*(1+寸法→圧入力!D$38*10^-6*(テーブル4[[#This Row],[inner温度'[℃']]]+R$3-20))</f>
        <v>0.1385096700000048</v>
      </c>
      <c r="S6" s="179">
        <f>寸法→圧入力!F$24*(1+寸法→圧入力!D$29*10^-6*(テーブル4[[#This Row],[inner温度'[℃']]]-20)) - 寸法→圧入力!D$33*(1+寸法→圧入力!D$38*10^-6*(テーブル4[[#This Row],[inner温度'[℃']]]+S$3-20))</f>
        <v>0.12908067000000756</v>
      </c>
      <c r="T6" s="179">
        <f>寸法→圧入力!F$24*(1+寸法→圧入力!D$29*10^-6*(テーブル4[[#This Row],[inner温度'[℃']]]-20)) - 寸法→圧入力!D$33*(1+寸法→圧入力!D$38*10^-6*(テーブル4[[#This Row],[inner温度'[℃']]]+T$3-20))</f>
        <v>0.11965167000000321</v>
      </c>
      <c r="U6" s="179">
        <f>寸法→圧入力!F$24*(1+寸法→圧入力!D$29*10^-6*(テーブル4[[#This Row],[inner温度'[℃']]]-20)) - 寸法→圧入力!D$33*(1+寸法→圧入力!D$38*10^-6*(テーブル4[[#This Row],[inner温度'[℃']]]+U$3-20))</f>
        <v>0.11022266999999886</v>
      </c>
      <c r="V6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87.419322699883182</v>
      </c>
      <c r="W6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82.477516645016735</v>
      </c>
      <c r="X6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77.535710590153997</v>
      </c>
      <c r="Y6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72.593904535291273</v>
      </c>
      <c r="Z6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67.652098480428549</v>
      </c>
      <c r="AA6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62.710292425562109</v>
      </c>
      <c r="AB6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57.768486370695655</v>
      </c>
      <c r="AC6" s="101">
        <f>テーブル4[[#This Row],[半径方向応力:Δ-30℃]]*2*寸法→圧入力!D$24^2/(寸法→圧入力!D$24^2-寸法→圧入力!F$25^2)</f>
        <v>316.39983997580583</v>
      </c>
      <c r="AD6" s="101">
        <f>テーブル4[[#This Row],[半径方向応力:Δ-20℃]]*2*寸法→圧入力!D$24^2/(寸法→圧入力!D$24^2-寸法→圧入力!F$25^2)</f>
        <v>298.51378690812061</v>
      </c>
      <c r="AE6" s="101">
        <f>テーブル4[[#This Row],[半径方向応力:Δ-10℃]]*2*寸法→圧入力!D$24^2/(寸法→圧入力!D$24^2-寸法→圧入力!F$25^2)</f>
        <v>280.62773384044874</v>
      </c>
      <c r="AF6" s="101">
        <f>テーブル4[[#This Row],[半径方向応力:Δ0℃]]*2*寸法→圧入力!D$24^2/(寸法→圧入力!D$24^2-寸法→圧入力!F$25^2)</f>
        <v>262.74168077277699</v>
      </c>
      <c r="AG6" s="101">
        <f>テーブル4[[#This Row],[半径方向応力:Δ+10℃]]*2*寸法→圧入力!D$24^2/(寸法→圧入力!D$24^2-寸法→圧入力!F$25^2)</f>
        <v>244.85562770510521</v>
      </c>
      <c r="AH6" s="101">
        <f>テーブル4[[#This Row],[半径方向応力:Δ+20℃]]*2*寸法→圧入力!D$24^2/(寸法→圧入力!D$24^2-寸法→圧入力!F$25^2)</f>
        <v>226.96957463741998</v>
      </c>
      <c r="AI6" s="101">
        <f>テーブル4[[#This Row],[半径方向応力:Δ+30℃]]*2*寸法→圧入力!D$24^2/(寸法→圧入力!D$24^2-寸法→圧入力!F$25^2)</f>
        <v>209.0835215697347</v>
      </c>
      <c r="AJ6" s="101">
        <f>寸法→圧入力!$D$30</f>
        <v>345</v>
      </c>
      <c r="AK6" s="101">
        <f>テーブル4[[#This Row],[半径方向応力:Δ-30℃]]* (1+(寸法→圧入力!D$34/寸法→圧入力!F$33)^2)/((寸法→圧入力!D$34/寸法→圧入力!F$33)^2-1)</f>
        <v>171.1208105284725</v>
      </c>
      <c r="AL6" s="101">
        <f>テーブル4[[#This Row],[半径方向応力:Δ-20℃]]* (1+(寸法→圧入力!D$34/寸法→圧入力!F$33)^2)/((寸法→圧入力!D$34/寸法→圧入力!F$33)^2-1)</f>
        <v>161.4473672728387</v>
      </c>
      <c r="AM6" s="101">
        <f>テーブル4[[#This Row],[半径方向応力:Δ-10℃]]* (1+(寸法→圧入力!D$34/寸法→圧入力!F$33)^2)/((寸法→圧入力!D$34/寸法→圧入力!F$33)^2-1)</f>
        <v>151.77392401721215</v>
      </c>
      <c r="AN6" s="101">
        <f>テーブル4[[#This Row],[半径方向応力:Δ0℃]]* (1+(寸法→圧入力!D$34/寸法→圧入力!F$33)^2)/((寸法→圧入力!D$34/寸法→圧入力!F$33)^2-1)</f>
        <v>142.10048076158566</v>
      </c>
      <c r="AO6" s="101">
        <f>テーブル4[[#This Row],[半径方向応力:Δ+10℃]]* (1+(寸法→圧入力!D$34/寸法→圧入力!F$33)^2)/((寸法→圧入力!D$34/寸法→圧入力!F$33)^2-1)</f>
        <v>132.42703750595916</v>
      </c>
      <c r="AP6" s="101">
        <f>テーブル4[[#This Row],[半径方向応力:Δ+20℃]]* (1+(寸法→圧入力!D$34/寸法→圧入力!F$33)^2)/((寸法→圧入力!D$34/寸法→圧入力!F$33)^2-1)</f>
        <v>122.75359425032536</v>
      </c>
      <c r="AQ6" s="101">
        <f>テーブル4[[#This Row],[半径方向応力:Δ+30℃]]* (1+(寸法→圧入力!D$34/寸法→圧入力!F$33)^2)/((寸法→圧入力!D$34/寸法→圧入力!F$33)^2-1)</f>
        <v>113.08015099469155</v>
      </c>
      <c r="AR6" s="101">
        <f>寸法→圧入力!$D$39</f>
        <v>150</v>
      </c>
    </row>
    <row r="7" spans="1:44">
      <c r="A7" s="179">
        <f t="shared" ref="A7:A38" si="0">$A$6+($A$3*(ROW(A7)-ROW($A$6)))</f>
        <v>0.01</v>
      </c>
      <c r="B7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5.13552081128155</v>
      </c>
      <c r="C7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5.1885955296647772</v>
      </c>
      <c r="D7" s="101">
        <f>(A7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5.2410712216185891</v>
      </c>
      <c r="E7" s="101">
        <f>テーブル3[[#This Row],[半径方向応力min]]*寸法→圧入力!D$46*寸法→圧入力!D$5/1000</f>
        <v>0.89470665446764941</v>
      </c>
      <c r="F7" s="101">
        <f>テーブル3[[#This Row],[半径方向応力min]]*寸法→圧入力!E$46*寸法→圧入力!E$5/1000</f>
        <v>1.1425876408527915</v>
      </c>
      <c r="G7" s="101">
        <f>テーブル3[[#This Row],[半径方向応力min]]*寸法→圧入力!F$46*寸法→圧入力!F$5/1000</f>
        <v>1.4004306860873335</v>
      </c>
      <c r="H7" s="101">
        <f>寸法→圧入力!$D$30</f>
        <v>345</v>
      </c>
      <c r="I7" s="101">
        <f>寸法→圧入力!$D$39</f>
        <v>150</v>
      </c>
      <c r="J7" s="101">
        <f>テーブル3[[#This Row],[半径方向応力nor]]*2*寸法→圧入力!E$24^2/(寸法→圧入力!E$24^2-寸法→圧入力!E$25^2)</f>
        <v>18.675624349067672</v>
      </c>
      <c r="K7" s="101">
        <f>テーブル3[[#This Row],[半径方向応力nor]]* (1+(寸法→圧入力!E$34/寸法→圧入力!E$33)^2)/((寸法→圧入力!E$34/寸法→圧入力!E$33)^2-1)</f>
        <v>9.968386963114515</v>
      </c>
      <c r="N7">
        <f>N6+5</f>
        <v>-45</v>
      </c>
      <c r="O7" s="179">
        <f>寸法→圧入力!F$24*(1+寸法→圧入力!D$29*10^-6*(テーブル4[[#This Row],[inner温度'[℃']]]-20)) - 寸法→圧入力!D$33*(1+寸法→圧入力!D$38*10^-6*(テーブル4[[#This Row],[inner温度'[℃']]]+O$3-20))</f>
        <v>0.16476026499999818</v>
      </c>
      <c r="P7" s="179">
        <f>寸法→圧入力!F$24*(1+寸法→圧入力!D$29*10^-6*(テーブル4[[#This Row],[inner温度'[℃']]]-20)) - 寸法→圧入力!D$33*(1+寸法→圧入力!D$38*10^-6*(テーブル4[[#This Row],[inner温度'[℃']]]+P$3-20))</f>
        <v>0.15533126500000805</v>
      </c>
      <c r="Q7" s="179">
        <f>寸法→圧入力!F$24*(1+寸法→圧入力!D$29*10^-6*(テーブル4[[#This Row],[inner温度'[℃']]]-20)) - 寸法→圧入力!D$33*(1+寸法→圧入力!D$38*10^-6*(テーブル4[[#This Row],[inner温度'[℃']]]+Q$3-20))</f>
        <v>0.14590226500000369</v>
      </c>
      <c r="R7" s="179">
        <f>寸法→圧入力!F$24*(1+寸法→圧入力!D$29*10^-6*(テーブル4[[#This Row],[inner温度'[℃']]]-20)) - 寸法→圧入力!D$33*(1+寸法→圧入力!D$38*10^-6*(テーブル4[[#This Row],[inner温度'[℃']]]+R$3-20))</f>
        <v>0.13647326499999934</v>
      </c>
      <c r="S7" s="179">
        <f>寸法→圧入力!F$24*(1+寸法→圧入力!D$29*10^-6*(テーブル4[[#This Row],[inner温度'[℃']]]-20)) - 寸法→圧入力!D$33*(1+寸法→圧入力!D$38*10^-6*(テーブル4[[#This Row],[inner温度'[℃']]]+S$3-20))</f>
        <v>0.1270442650000021</v>
      </c>
      <c r="T7" s="179">
        <f>寸法→圧入力!F$24*(1+寸法→圧入力!D$29*10^-6*(テーブル4[[#This Row],[inner温度'[℃']]]-20)) - 寸法→圧入力!D$33*(1+寸法→圧入力!D$38*10^-6*(テーブル4[[#This Row],[inner温度'[℃']]]+T$3-20))</f>
        <v>0.11761526500000485</v>
      </c>
      <c r="U7" s="179">
        <f>寸法→圧入力!F$24*(1+寸法→圧入力!D$29*10^-6*(テーブル4[[#This Row],[inner温度'[℃']]]-20)) - 寸法→圧入力!D$33*(1+寸法→圧入力!D$38*10^-6*(テーブル4[[#This Row],[inner温度'[℃']]]+U$3-20))</f>
        <v>0.10818626500000761</v>
      </c>
      <c r="V7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86.352028335774293</v>
      </c>
      <c r="W7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81.410222280915292</v>
      </c>
      <c r="X7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76.468416226048845</v>
      </c>
      <c r="Y7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71.526610171182398</v>
      </c>
      <c r="Z7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66.584804116319674</v>
      </c>
      <c r="AA7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61.642998061456957</v>
      </c>
      <c r="AB7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56.701192006594219</v>
      </c>
      <c r="AC7" s="101">
        <f>テーブル4[[#This Row],[半径方向応力:Δ-30℃]]*2*寸法→圧入力!D$24^2/(寸法→圧入力!D$24^2-寸法→圧入力!F$25^2)</f>
        <v>312.536943815303</v>
      </c>
      <c r="AD7" s="101">
        <f>テーブル4[[#This Row],[半径方向応力:Δ-20℃]]*2*寸法→圧入力!D$24^2/(寸法→圧入力!D$24^2-寸法→圧入力!F$25^2)</f>
        <v>294.65089074764478</v>
      </c>
      <c r="AE7" s="101">
        <f>テーブル4[[#This Row],[半径方向応力:Δ-10℃]]*2*寸法→圧入力!D$24^2/(寸法→圧入力!D$24^2-寸法→圧入力!F$25^2)</f>
        <v>276.7648376799595</v>
      </c>
      <c r="AF7" s="101">
        <f>テーブル4[[#This Row],[半径方向応力:Δ0℃]]*2*寸法→圧入力!D$24^2/(寸法→圧入力!D$24^2-寸法→圧入力!F$25^2)</f>
        <v>258.87878461227427</v>
      </c>
      <c r="AG7" s="101">
        <f>テーブル4[[#This Row],[半径方向応力:Δ+10℃]]*2*寸法→圧入力!D$24^2/(寸法→圧入力!D$24^2-寸法→圧入力!F$25^2)</f>
        <v>240.99273154460249</v>
      </c>
      <c r="AH7" s="101">
        <f>テーブル4[[#This Row],[半径方向応力:Δ+20℃]]*2*寸法→圧入力!D$24^2/(寸法→圧入力!D$24^2-寸法→圧入力!F$25^2)</f>
        <v>223.10667847693074</v>
      </c>
      <c r="AI7" s="101">
        <f>テーブル4[[#This Row],[半径方向応力:Δ+30℃]]*2*寸法→圧入力!D$24^2/(寸法→圧入力!D$24^2-寸法→圧入力!F$25^2)</f>
        <v>205.22062540925893</v>
      </c>
      <c r="AJ7" s="101">
        <f>寸法→圧入力!$D$30</f>
        <v>345</v>
      </c>
      <c r="AK7" s="101">
        <f>テーブル4[[#This Row],[半径方向応力:Δ-30℃]]* (1+(寸法→圧入力!D$34/寸法→圧入力!F$33)^2)/((寸法→圧入力!D$34/寸法→圧入力!F$33)^2-1)</f>
        <v>169.03161249972788</v>
      </c>
      <c r="AL7" s="101">
        <f>テーブル4[[#This Row],[半径方向応力:Δ-20℃]]* (1+(寸法→圧入力!D$34/寸法→圧入力!F$33)^2)/((寸法→圧入力!D$34/寸法→圧入力!F$33)^2-1)</f>
        <v>159.35816924410867</v>
      </c>
      <c r="AM7" s="101">
        <f>テーブル4[[#This Row],[半径方向応力:Δ-10℃]]* (1+(寸法→圧入力!D$34/寸法→圧入力!F$33)^2)/((寸法→圧入力!D$34/寸法→圧入力!F$33)^2-1)</f>
        <v>149.6847259884749</v>
      </c>
      <c r="AN7" s="101">
        <f>テーブル4[[#This Row],[半径方向応力:Δ0℃]]* (1+(寸法→圧入力!D$34/寸法→圧入力!F$33)^2)/((寸法→圧入力!D$34/寸法→圧入力!F$33)^2-1)</f>
        <v>140.0112827328411</v>
      </c>
      <c r="AO7" s="101">
        <f>テーブル4[[#This Row],[半径方向応力:Δ+10℃]]* (1+(寸法→圧入力!D$34/寸法→圧入力!F$33)^2)/((寸法→圧入力!D$34/寸法→圧入力!F$33)^2-1)</f>
        <v>130.33783947721457</v>
      </c>
      <c r="AP7" s="101">
        <f>テーブル4[[#This Row],[半径方向応力:Δ+20℃]]* (1+(寸法→圧入力!D$34/寸法→圧入力!F$33)^2)/((寸法→圧入力!D$34/寸法→圧入力!F$33)^2-1)</f>
        <v>120.66439622158808</v>
      </c>
      <c r="AQ7" s="101">
        <f>テーブル4[[#This Row],[半径方向応力:Δ+30℃]]* (1+(寸法→圧入力!D$34/寸法→圧入力!F$33)^2)/((寸法→圧入力!D$34/寸法→圧入力!F$33)^2-1)</f>
        <v>110.99095296596154</v>
      </c>
      <c r="AR7" s="101">
        <f>寸法→圧入力!$D$39</f>
        <v>150</v>
      </c>
    </row>
    <row r="8" spans="1:44">
      <c r="A8" s="179">
        <f t="shared" si="0"/>
        <v>0.02</v>
      </c>
      <c r="B8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10.2710416225631</v>
      </c>
      <c r="C8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10.377191059329554</v>
      </c>
      <c r="D8" s="101">
        <f>(A8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10.482142443237178</v>
      </c>
      <c r="E8" s="101">
        <f>テーブル3[[#This Row],[半径方向応力min]]*寸法→圧入力!D$46*寸法→圧入力!D$5/1000</f>
        <v>1.7894133089352988</v>
      </c>
      <c r="F8" s="101">
        <f>テーブル3[[#This Row],[半径方向応力min]]*寸法→圧入力!E$46*寸法→圧入力!E$5/1000</f>
        <v>2.285175281705583</v>
      </c>
      <c r="G8" s="101">
        <f>テーブル3[[#This Row],[半径方向応力min]]*寸法→圧入力!F$46*寸法→圧入力!F$5/1000</f>
        <v>2.8008613721746669</v>
      </c>
      <c r="H8" s="101">
        <f>寸法→圧入力!$D$30</f>
        <v>345</v>
      </c>
      <c r="I8" s="101">
        <f>寸法→圧入力!$D$39</f>
        <v>150</v>
      </c>
      <c r="J8" s="101">
        <f>テーブル3[[#This Row],[半径方向応力nor]]*2*寸法→圧入力!E$24^2/(寸法→圧入力!E$24^2-寸法→圧入力!E$25^2)</f>
        <v>37.351248698135343</v>
      </c>
      <c r="K8" s="101">
        <f>テーブル3[[#This Row],[半径方向応力nor]]* (1+(寸法→圧入力!E$34/寸法→圧入力!E$33)^2)/((寸法→圧入力!E$34/寸法→圧入力!E$33)^2-1)</f>
        <v>19.93677392622903</v>
      </c>
      <c r="N8">
        <f t="shared" ref="N8:N56" si="1">N7+5</f>
        <v>-40</v>
      </c>
      <c r="O8" s="179">
        <f>寸法→圧入力!F$24*(1+寸法→圧入力!D$29*10^-6*(テーブル4[[#This Row],[inner温度'[℃']]]-20)) - 寸法→圧入力!D$33*(1+寸法→圧入力!D$38*10^-6*(テーブル4[[#This Row],[inner温度'[℃']]]+O$3-20))</f>
        <v>0.16272385999999983</v>
      </c>
      <c r="P8" s="179">
        <f>寸法→圧入力!F$24*(1+寸法→圧入力!D$29*10^-6*(テーブル4[[#This Row],[inner温度'[℃']]]-20)) - 寸法→圧入力!D$33*(1+寸法→圧入力!D$38*10^-6*(テーブル4[[#This Row],[inner温度'[℃']]]+P$3-20))</f>
        <v>0.15329486000000259</v>
      </c>
      <c r="Q8" s="179">
        <f>寸法→圧入力!F$24*(1+寸法→圧入力!D$29*10^-6*(テーブル4[[#This Row],[inner温度'[℃']]]-20)) - 寸法→圧入力!D$33*(1+寸法→圧入力!D$38*10^-6*(テーブル4[[#This Row],[inner温度'[℃']]]+Q$3-20))</f>
        <v>0.14386586000000534</v>
      </c>
      <c r="R8" s="179">
        <f>寸法→圧入力!F$24*(1+寸法→圧入力!D$29*10^-6*(テーブル4[[#This Row],[inner温度'[℃']]]-20)) - 寸法→圧入力!D$33*(1+寸法→圧入力!D$38*10^-6*(テーブル4[[#This Row],[inner温度'[℃']]]+R$3-20))</f>
        <v>0.1344368600000081</v>
      </c>
      <c r="S8" s="179">
        <f>寸法→圧入力!F$24*(1+寸法→圧入力!D$29*10^-6*(テーブル4[[#This Row],[inner温度'[℃']]]-20)) - 寸法→圧入力!D$33*(1+寸法→圧入力!D$38*10^-6*(テーブル4[[#This Row],[inner温度'[℃']]]+S$3-20))</f>
        <v>0.12500786000000375</v>
      </c>
      <c r="T8" s="179">
        <f>寸法→圧入力!F$24*(1+寸法→圧入力!D$29*10^-6*(テーブル4[[#This Row],[inner温度'[℃']]]-20)) - 寸法→圧入力!D$33*(1+寸法→圧入力!D$38*10^-6*(テーブル4[[#This Row],[inner温度'[℃']]]+T$3-20))</f>
        <v>0.11557885999999939</v>
      </c>
      <c r="U8" s="179">
        <f>寸法→圧入力!F$24*(1+寸法→圧入力!D$29*10^-6*(テーブル4[[#This Row],[inner温度'[℃']]]-20)) - 寸法→圧入力!D$33*(1+寸法→圧入力!D$38*10^-6*(テーブル4[[#This Row],[inner温度'[℃']]]+U$3-20))</f>
        <v>0.10614986000000215</v>
      </c>
      <c r="V8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85.284733971669127</v>
      </c>
      <c r="W8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80.342927916806403</v>
      </c>
      <c r="X8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75.401121861943693</v>
      </c>
      <c r="Y8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70.459315807080969</v>
      </c>
      <c r="Z8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65.517509752214522</v>
      </c>
      <c r="AA8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60.575703697348068</v>
      </c>
      <c r="AB8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55.633897642485344</v>
      </c>
      <c r="AC8" s="101">
        <f>テーブル4[[#This Row],[半径方向応力:Δ-30℃]]*2*寸法→圧入力!D$24^2/(寸法→圧入力!D$24^2-寸法→圧入力!F$25^2)</f>
        <v>308.67404765481371</v>
      </c>
      <c r="AD8" s="101">
        <f>テーブル4[[#This Row],[半径方向応力:Δ-20℃]]*2*寸法→圧入力!D$24^2/(寸法→圧入力!D$24^2-寸法→圧入力!F$25^2)</f>
        <v>290.78799458714195</v>
      </c>
      <c r="AE8" s="101">
        <f>テーブル4[[#This Row],[半径方向応力:Δ-10℃]]*2*寸法→圧入力!D$24^2/(寸法→圧入力!D$24^2-寸法→圧入力!F$25^2)</f>
        <v>272.90194151947026</v>
      </c>
      <c r="AF8" s="101">
        <f>テーブル4[[#This Row],[半径方向応力:Δ0℃]]*2*寸法→圧入力!D$24^2/(寸法→圧入力!D$24^2-寸法→圧入力!F$25^2)</f>
        <v>255.01588845179845</v>
      </c>
      <c r="AG8" s="101">
        <f>テーブル4[[#This Row],[半径方向応力:Δ+10℃]]*2*寸法→圧入力!D$24^2/(寸法→圧入力!D$24^2-寸法→圧入力!F$25^2)</f>
        <v>237.12983538411322</v>
      </c>
      <c r="AH8" s="101">
        <f>テーブル4[[#This Row],[半径方向応力:Δ+20℃]]*2*寸法→圧入力!D$24^2/(寸法→圧入力!D$24^2-寸法→圧入力!F$25^2)</f>
        <v>219.24378231642797</v>
      </c>
      <c r="AI8" s="101">
        <f>テーブル4[[#This Row],[半径方向応力:Δ+30℃]]*2*寸法→圧入力!D$24^2/(寸法→圧入力!D$24^2-寸法→圧入力!F$25^2)</f>
        <v>201.35772924875619</v>
      </c>
      <c r="AJ8" s="101">
        <f>寸法→圧入力!$D$30</f>
        <v>345</v>
      </c>
      <c r="AK8" s="101">
        <f>テーブル4[[#This Row],[半径方向応力:Δ-30℃]]* (1+(寸法→圧入力!D$34/寸法→圧入力!F$33)^2)/((寸法→圧入力!D$34/寸法→圧入力!F$33)^2-1)</f>
        <v>166.94241447099057</v>
      </c>
      <c r="AL8" s="101">
        <f>テーブル4[[#This Row],[半径方向応力:Δ-20℃]]* (1+(寸法→圧入力!D$34/寸法→圧入力!F$33)^2)/((寸法→圧入力!D$34/寸法→圧入力!F$33)^2-1)</f>
        <v>157.2689712153641</v>
      </c>
      <c r="AM8" s="101">
        <f>テーブル4[[#This Row],[半径方向応力:Δ-10℃]]* (1+(寸法→圧入力!D$34/寸法→圧入力!F$33)^2)/((寸法→圧入力!D$34/寸法→圧入力!F$33)^2-1)</f>
        <v>147.59552795973761</v>
      </c>
      <c r="AN8" s="101">
        <f>テーブル4[[#This Row],[半径方向応力:Δ0℃]]* (1+(寸法→圧入力!D$34/寸法→圧入力!F$33)^2)/((寸法→圧入力!D$34/寸法→圧入力!F$33)^2-1)</f>
        <v>137.92208470411109</v>
      </c>
      <c r="AO8" s="101">
        <f>テーブル4[[#This Row],[半径方向応力:Δ+10℃]]* (1+(寸法→圧入力!D$34/寸法→圧入力!F$33)^2)/((寸法→圧入力!D$34/寸法→圧入力!F$33)^2-1)</f>
        <v>128.24864144847729</v>
      </c>
      <c r="AP8" s="101">
        <f>テーブル4[[#This Row],[半径方向応力:Δ+20℃]]* (1+(寸法→圧入力!D$34/寸法→圧入力!F$33)^2)/((寸法→圧入力!D$34/寸法→圧入力!F$33)^2-1)</f>
        <v>118.57519819284349</v>
      </c>
      <c r="AQ8" s="101">
        <f>テーブル4[[#This Row],[半径方向応力:Δ+30℃]]* (1+(寸法→圧入力!D$34/寸法→圧入力!F$33)^2)/((寸法→圧入力!D$34/寸法→圧入力!F$33)^2-1)</f>
        <v>108.90175493721698</v>
      </c>
      <c r="AR8" s="101">
        <f>寸法→圧入力!$D$39</f>
        <v>150</v>
      </c>
    </row>
    <row r="9" spans="1:44">
      <c r="A9" s="179">
        <f t="shared" si="0"/>
        <v>0.03</v>
      </c>
      <c r="B9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15.40656243384465</v>
      </c>
      <c r="C9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15.56578658899433</v>
      </c>
      <c r="D9" s="101">
        <f>(A9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15.723213664855766</v>
      </c>
      <c r="E9" s="101">
        <f>テーブル3[[#This Row],[半径方向応力min]]*寸法→圧入力!D$46*寸法→圧入力!D$5/1000</f>
        <v>2.6841199634029484</v>
      </c>
      <c r="F9" s="101">
        <f>テーブル3[[#This Row],[半径方向応力min]]*寸法→圧入力!E$46*寸法→圧入力!E$5/1000</f>
        <v>3.4277629225583741</v>
      </c>
      <c r="G9" s="101">
        <f>テーブル3[[#This Row],[半径方向応力min]]*寸法→圧入力!F$46*寸法→圧入力!F$5/1000</f>
        <v>4.201292058262001</v>
      </c>
      <c r="H9" s="101">
        <f>寸法→圧入力!$D$30</f>
        <v>345</v>
      </c>
      <c r="I9" s="101">
        <f>寸法→圧入力!$D$39</f>
        <v>150</v>
      </c>
      <c r="J9" s="101">
        <f>テーブル3[[#This Row],[半径方向応力nor]]*2*寸法→圧入力!E$24^2/(寸法→圧入力!E$24^2-寸法→圧入力!E$25^2)</f>
        <v>56.026873047203011</v>
      </c>
      <c r="K9" s="101">
        <f>テーブル3[[#This Row],[半径方向応力nor]]* (1+(寸法→圧入力!E$34/寸法→圧入力!E$33)^2)/((寸法→圧入力!E$34/寸法→圧入力!E$33)^2-1)</f>
        <v>29.905160889343541</v>
      </c>
      <c r="N9">
        <f t="shared" si="1"/>
        <v>-35</v>
      </c>
      <c r="O9" s="179">
        <f>寸法→圧入力!F$24*(1+寸法→圧入力!D$29*10^-6*(テーブル4[[#This Row],[inner温度'[℃']]]-20)) - 寸法→圧入力!D$33*(1+寸法→圧入力!D$38*10^-6*(テーブル4[[#This Row],[inner温度'[℃']]]+O$3-20))</f>
        <v>0.16068745500000148</v>
      </c>
      <c r="P9" s="179">
        <f>寸法→圧入力!F$24*(1+寸法→圧入力!D$29*10^-6*(テーブル4[[#This Row],[inner温度'[℃']]]-20)) - 寸法→圧入力!D$33*(1+寸法→圧入力!D$38*10^-6*(テーブル4[[#This Row],[inner温度'[℃']]]+P$3-20))</f>
        <v>0.15125845499999713</v>
      </c>
      <c r="Q9" s="179">
        <f>寸法→圧入力!F$24*(1+寸法→圧入力!D$29*10^-6*(テーブル4[[#This Row],[inner温度'[℃']]]-20)) - 寸法→圧入力!D$33*(1+寸法→圧入力!D$38*10^-6*(テーブル4[[#This Row],[inner温度'[℃']]]+Q$3-20))</f>
        <v>0.14182945499999278</v>
      </c>
      <c r="R9" s="179">
        <f>寸法→圧入力!F$24*(1+寸法→圧入力!D$29*10^-6*(テーブル4[[#This Row],[inner温度'[℃']]]-20)) - 寸法→圧入力!D$33*(1+寸法→圧入力!D$38*10^-6*(テーブル4[[#This Row],[inner温度'[℃']]]+R$3-20))</f>
        <v>0.13240045499999553</v>
      </c>
      <c r="S9" s="179">
        <f>寸法→圧入力!F$24*(1+寸法→圧入力!D$29*10^-6*(テーブル4[[#This Row],[inner温度'[℃']]]-20)) - 寸法→圧入力!D$33*(1+寸法→圧入力!D$38*10^-6*(テーブル4[[#This Row],[inner温度'[℃']]]+S$3-20))</f>
        <v>0.12297145499999829</v>
      </c>
      <c r="T9" s="179">
        <f>寸法→圧入力!F$24*(1+寸法→圧入力!D$29*10^-6*(テーブル4[[#This Row],[inner温度'[℃']]]-20)) - 寸法→圧入力!D$33*(1+寸法→圧入力!D$38*10^-6*(テーブル4[[#This Row],[inner温度'[℃']]]+T$3-20))</f>
        <v>0.11354245500000104</v>
      </c>
      <c r="U9" s="179">
        <f>寸法→圧入力!F$24*(1+寸法→圧入力!D$29*10^-6*(テーブル4[[#This Row],[inner温度'[℃']]]-20)) - 寸法→圧入力!D$33*(1+寸法→圧入力!D$38*10^-6*(テーブル4[[#This Row],[inner温度'[℃']]]+U$3-20))</f>
        <v>0.10411345499999669</v>
      </c>
      <c r="V9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84.217439607563975</v>
      </c>
      <c r="W9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79.275633552697528</v>
      </c>
      <c r="X9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74.333827497831081</v>
      </c>
      <c r="Y9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69.392021442968357</v>
      </c>
      <c r="Z9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64.450215388105633</v>
      </c>
      <c r="AA9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59.508409333242909</v>
      </c>
      <c r="AB9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54.566603278376462</v>
      </c>
      <c r="AC9" s="101">
        <f>テーブル4[[#This Row],[半径方向応力:Δ-30℃]]*2*寸法→圧入力!D$24^2/(寸法→圧入力!D$24^2-寸法→圧入力!F$25^2)</f>
        <v>304.81115149432452</v>
      </c>
      <c r="AD9" s="101">
        <f>テーブル4[[#This Row],[半径方向応力:Δ-20℃]]*2*寸法→圧入力!D$24^2/(寸法→圧入力!D$24^2-寸法→圧入力!F$25^2)</f>
        <v>286.92509842663924</v>
      </c>
      <c r="AE9" s="101">
        <f>テーブル4[[#This Row],[半径方向応力:Δ-10℃]]*2*寸法→圧入力!D$24^2/(寸法→圧入力!D$24^2-寸法→圧入力!F$25^2)</f>
        <v>269.03904535895401</v>
      </c>
      <c r="AF9" s="101">
        <f>テーブル4[[#This Row],[半径方向応力:Δ0℃]]*2*寸法→圧入力!D$24^2/(寸法→圧入力!D$24^2-寸法→圧入力!F$25^2)</f>
        <v>251.15299229128223</v>
      </c>
      <c r="AG9" s="101">
        <f>テーブル4[[#This Row],[半径方向応力:Δ+10℃]]*2*寸法→圧入力!D$24^2/(寸法→圧入力!D$24^2-寸法→圧入力!F$25^2)</f>
        <v>233.26693922361045</v>
      </c>
      <c r="AH9" s="101">
        <f>テーブル4[[#This Row],[半径方向応力:Δ+20℃]]*2*寸法→圧入力!D$24^2/(寸法→圧入力!D$24^2-寸法→圧入力!F$25^2)</f>
        <v>215.3808861559387</v>
      </c>
      <c r="AI9" s="101">
        <f>テーブル4[[#This Row],[半径方向応力:Δ+30℃]]*2*寸法→圧入力!D$24^2/(寸法→圧入力!D$24^2-寸法→圧入力!F$25^2)</f>
        <v>197.49483308825344</v>
      </c>
      <c r="AJ9" s="101">
        <f>寸法→圧入力!$D$30</f>
        <v>345</v>
      </c>
      <c r="AK9" s="101">
        <f>テーブル4[[#This Row],[半径方向応力:Δ-30℃]]* (1+(寸法→圧入力!D$34/寸法→圧入力!F$33)^2)/((寸法→圧入力!D$34/寸法→圧入力!F$33)^2-1)</f>
        <v>164.85321644225331</v>
      </c>
      <c r="AL9" s="101">
        <f>テーブル4[[#This Row],[半径方向応力:Δ-20℃]]* (1+(寸法→圧入力!D$34/寸法→圧入力!F$33)^2)/((寸法→圧入力!D$34/寸法→圧入力!F$33)^2-1)</f>
        <v>155.17977318661951</v>
      </c>
      <c r="AM9" s="101">
        <f>テーブル4[[#This Row],[半径方向応力:Δ-10℃]]* (1+(寸法→圧入力!D$34/寸法→圧入力!F$33)^2)/((寸法→圧入力!D$34/寸法→圧入力!F$33)^2-1)</f>
        <v>145.50632993098571</v>
      </c>
      <c r="AN9" s="101">
        <f>テーブル4[[#This Row],[半径方向応力:Δ0℃]]* (1+(寸法→圧入力!D$34/寸法→圧入力!F$33)^2)/((寸法→圧入力!D$34/寸法→圧入力!F$33)^2-1)</f>
        <v>135.83288667535922</v>
      </c>
      <c r="AO9" s="101">
        <f>テーブル4[[#This Row],[半径方向応力:Δ+10℃]]* (1+(寸法→圧入力!D$34/寸法→圧入力!F$33)^2)/((寸法→圧入力!D$34/寸法→圧入力!F$33)^2-1)</f>
        <v>126.15944341973271</v>
      </c>
      <c r="AP9" s="101">
        <f>テーブル4[[#This Row],[半径方向応力:Δ+20℃]]* (1+(寸法→圧入力!D$34/寸法→圧入力!F$33)^2)/((寸法→圧入力!D$34/寸法→圧入力!F$33)^2-1)</f>
        <v>116.48600016410619</v>
      </c>
      <c r="AQ9" s="101">
        <f>テーブル4[[#This Row],[半径方向応力:Δ+30℃]]* (1+(寸法→圧入力!D$34/寸法→圧入力!F$33)^2)/((寸法→圧入力!D$34/寸法→圧入力!F$33)^2-1)</f>
        <v>106.81255690847239</v>
      </c>
      <c r="AR9" s="101">
        <f>寸法→圧入力!$D$39</f>
        <v>150</v>
      </c>
    </row>
    <row r="10" spans="1:44">
      <c r="A10" s="179">
        <f t="shared" si="0"/>
        <v>0.04</v>
      </c>
      <c r="B10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20.5420832451262</v>
      </c>
      <c r="C10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20.754382118659109</v>
      </c>
      <c r="D10" s="101">
        <f>(A10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20.964284886474356</v>
      </c>
      <c r="E10" s="101">
        <f>テーブル3[[#This Row],[半径方向応力min]]*寸法→圧入力!D$46*寸法→圧入力!D$5/1000</f>
        <v>3.5788266178705976</v>
      </c>
      <c r="F10" s="101">
        <f>テーブル3[[#This Row],[半径方向応力min]]*寸法→圧入力!E$46*寸法→圧入力!E$5/1000</f>
        <v>4.5703505634111661</v>
      </c>
      <c r="G10" s="101">
        <f>テーブル3[[#This Row],[半径方向応力min]]*寸法→圧入力!F$46*寸法→圧入力!F$5/1000</f>
        <v>5.6017227443493338</v>
      </c>
      <c r="H10" s="101">
        <f>寸法→圧入力!$D$30</f>
        <v>345</v>
      </c>
      <c r="I10" s="101">
        <f>寸法→圧入力!$D$39</f>
        <v>150</v>
      </c>
      <c r="J10" s="101">
        <f>テーブル3[[#This Row],[半径方向応力nor]]*2*寸法→圧入力!E$24^2/(寸法→圧入力!E$24^2-寸法→圧入力!E$25^2)</f>
        <v>74.702497396270687</v>
      </c>
      <c r="K10" s="101">
        <f>テーブル3[[#This Row],[半径方向応力nor]]* (1+(寸法→圧入力!E$34/寸法→圧入力!E$33)^2)/((寸法→圧入力!E$34/寸法→圧入力!E$33)^2-1)</f>
        <v>39.87354785245806</v>
      </c>
      <c r="N10">
        <f t="shared" si="1"/>
        <v>-30</v>
      </c>
      <c r="O10" s="179">
        <f>寸法→圧入力!F$24*(1+寸法→圧入力!D$29*10^-6*(テーブル4[[#This Row],[inner温度'[℃']]]-20)) - 寸法→圧入力!D$33*(1+寸法→圧入力!D$38*10^-6*(テーブル4[[#This Row],[inner温度'[℃']]]+O$3-20))</f>
        <v>0.15865104999999602</v>
      </c>
      <c r="P10" s="179">
        <f>寸法→圧入力!F$24*(1+寸法→圧入力!D$29*10^-6*(テーブル4[[#This Row],[inner温度'[℃']]]-20)) - 寸法→圧入力!D$33*(1+寸法→圧入力!D$38*10^-6*(テーブル4[[#This Row],[inner温度'[℃']]]+P$3-20))</f>
        <v>0.14922204999999877</v>
      </c>
      <c r="Q10" s="179">
        <f>寸法→圧入力!F$24*(1+寸法→圧入力!D$29*10^-6*(テーブル4[[#This Row],[inner温度'[℃']]]-20)) - 寸法→圧入力!D$33*(1+寸法→圧入力!D$38*10^-6*(テーブル4[[#This Row],[inner温度'[℃']]]+Q$3-20))</f>
        <v>0.13979305000000153</v>
      </c>
      <c r="R10" s="179">
        <f>寸法→圧入力!F$24*(1+寸法→圧入力!D$29*10^-6*(テーブル4[[#This Row],[inner温度'[℃']]]-20)) - 寸法→圧入力!D$33*(1+寸法→圧入力!D$38*10^-6*(テーブル4[[#This Row],[inner温度'[℃']]]+R$3-20))</f>
        <v>0.13036404999999718</v>
      </c>
      <c r="S10" s="179">
        <f>寸法→圧入力!F$24*(1+寸法→圧入力!D$29*10^-6*(テーブル4[[#This Row],[inner温度'[℃']]]-20)) - 寸法→圧入力!D$33*(1+寸法→圧入力!D$38*10^-6*(テーブル4[[#This Row],[inner温度'[℃']]]+S$3-20))</f>
        <v>0.12093504999999283</v>
      </c>
      <c r="T10" s="179">
        <f>寸法→圧入力!F$24*(1+寸法→圧入力!D$29*10^-6*(テーブル4[[#This Row],[inner温度'[℃']]]-20)) - 寸法→圧入力!D$33*(1+寸法→圧入力!D$38*10^-6*(テーブル4[[#This Row],[inner温度'[℃']]]+T$3-20))</f>
        <v>0.11150604999999558</v>
      </c>
      <c r="U10" s="179">
        <f>寸法→圧入力!F$24*(1+寸法→圧入力!D$29*10^-6*(テーブル4[[#This Row],[inner温度'[℃']]]-20)) - 寸法→圧入力!D$33*(1+寸法→圧入力!D$38*10^-6*(テーブル4[[#This Row],[inner温度'[℃']]]+U$3-20))</f>
        <v>0.10207704999999834</v>
      </c>
      <c r="V10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83.1501452434551</v>
      </c>
      <c r="W10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78.208339188592376</v>
      </c>
      <c r="X10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73.266533133729652</v>
      </c>
      <c r="Y10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68.324727078863191</v>
      </c>
      <c r="Z10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63.382921023996751</v>
      </c>
      <c r="AA10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58.441114969134027</v>
      </c>
      <c r="AB10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53.49930891427131</v>
      </c>
      <c r="AC10" s="101">
        <f>テーブル4[[#This Row],[半径方向応力:Δ-30℃]]*2*寸法→圧入力!D$24^2/(寸法→圧入力!D$24^2-寸法→圧入力!F$25^2)</f>
        <v>300.94825533382181</v>
      </c>
      <c r="AD10" s="101">
        <f>テーブル4[[#This Row],[半径方向応力:Δ-20℃]]*2*寸法→圧入力!D$24^2/(寸法→圧入力!D$24^2-寸法→圧入力!F$25^2)</f>
        <v>283.06220226615</v>
      </c>
      <c r="AE10" s="101">
        <f>テーブル4[[#This Row],[半径方向応力:Δ-10℃]]*2*寸法→圧入力!D$24^2/(寸法→圧入力!D$24^2-寸法→圧入力!F$25^2)</f>
        <v>265.17614919847824</v>
      </c>
      <c r="AF10" s="101">
        <f>テーブル4[[#This Row],[半径方向応力:Δ0℃]]*2*寸法→圧入力!D$24^2/(寸法→圧入力!D$24^2-寸法→圧入力!F$25^2)</f>
        <v>247.29009613079293</v>
      </c>
      <c r="AG10" s="101">
        <f>テーブル4[[#This Row],[半径方向応力:Δ+10℃]]*2*寸法→圧入力!D$24^2/(寸法→圧入力!D$24^2-寸法→圧入力!F$25^2)</f>
        <v>229.40404306310771</v>
      </c>
      <c r="AH10" s="101">
        <f>テーブル4[[#This Row],[半径方向応力:Δ+20℃]]*2*寸法→圧入力!D$24^2/(寸法→圧入力!D$24^2-寸法→圧入力!F$25^2)</f>
        <v>211.51798999543593</v>
      </c>
      <c r="AI10" s="101">
        <f>テーブル4[[#This Row],[半径方向応力:Δ+30℃]]*2*寸法→圧入力!D$24^2/(寸法→圧入力!D$24^2-寸法→圧入力!F$25^2)</f>
        <v>193.63193692776417</v>
      </c>
      <c r="AJ10" s="101">
        <f>寸法→圧入力!$D$30</f>
        <v>345</v>
      </c>
      <c r="AK10" s="101">
        <f>テーブル4[[#This Row],[半径方向応力:Δ-30℃]]* (1+(寸法→圧入力!D$34/寸法→圧入力!F$33)^2)/((寸法→圧入力!D$34/寸法→圧入力!F$33)^2-1)</f>
        <v>162.76401841350875</v>
      </c>
      <c r="AL10" s="101">
        <f>テーブル4[[#This Row],[半径方向応力:Δ-20℃]]* (1+(寸法→圧入力!D$34/寸法→圧入力!F$33)^2)/((寸法→圧入力!D$34/寸法→圧入力!F$33)^2-1)</f>
        <v>153.09057515788223</v>
      </c>
      <c r="AM10" s="101">
        <f>テーブル4[[#This Row],[半径方向応力:Δ-10℃]]* (1+(寸法→圧入力!D$34/寸法→圧入力!F$33)^2)/((寸法→圧入力!D$34/寸法→圧入力!F$33)^2-1)</f>
        <v>143.4171319022557</v>
      </c>
      <c r="AN10" s="101">
        <f>テーブル4[[#This Row],[半径方向応力:Δ0℃]]* (1+(寸法→圧入力!D$34/寸法→圧入力!F$33)^2)/((寸法→圧入力!D$34/寸法→圧入力!F$33)^2-1)</f>
        <v>133.74368864662191</v>
      </c>
      <c r="AO10" s="101">
        <f>テーブル4[[#This Row],[半径方向応力:Δ+10℃]]* (1+(寸法→圧入力!D$34/寸法→圧入力!F$33)^2)/((寸法→圧入力!D$34/寸法→圧入力!F$33)^2-1)</f>
        <v>124.07024539098812</v>
      </c>
      <c r="AP10" s="101">
        <f>テーブル4[[#This Row],[半径方向応力:Δ+20℃]]* (1+(寸法→圧入力!D$34/寸法→圧入力!F$33)^2)/((寸法→圧入力!D$34/寸法→圧入力!F$33)^2-1)</f>
        <v>114.39680213536161</v>
      </c>
      <c r="AQ10" s="101">
        <f>テーブル4[[#This Row],[半径方向応力:Δ+30℃]]* (1+(寸法→圧入力!D$34/寸法→圧入力!F$33)^2)/((寸法→圧入力!D$34/寸法→圧入力!F$33)^2-1)</f>
        <v>104.7233588797351</v>
      </c>
      <c r="AR10" s="101">
        <f>寸法→圧入力!$D$39</f>
        <v>150</v>
      </c>
    </row>
    <row r="11" spans="1:44">
      <c r="A11" s="179">
        <f t="shared" si="0"/>
        <v>0.05</v>
      </c>
      <c r="B11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25.677604056407752</v>
      </c>
      <c r="C11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25.942977648323883</v>
      </c>
      <c r="D11" s="101">
        <f>(A11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26.205356108092946</v>
      </c>
      <c r="E11" s="101">
        <f>テーブル3[[#This Row],[半径方向応力min]]*寸法→圧入力!D$46*寸法→圧入力!D$5/1000</f>
        <v>4.4735332723382468</v>
      </c>
      <c r="F11" s="101">
        <f>テーブル3[[#This Row],[半径方向応力min]]*寸法→圧入力!E$46*寸法→圧入力!E$5/1000</f>
        <v>5.712938204263958</v>
      </c>
      <c r="G11" s="101">
        <f>テーブル3[[#This Row],[半径方向応力min]]*寸法→圧入力!F$46*寸法→圧入力!F$5/1000</f>
        <v>7.0021534304366675</v>
      </c>
      <c r="H11" s="101">
        <f>寸法→圧入力!$D$30</f>
        <v>345</v>
      </c>
      <c r="I11" s="101">
        <f>寸法→圧入力!$D$39</f>
        <v>150</v>
      </c>
      <c r="J11" s="101">
        <f>テーブル3[[#This Row],[半径方向応力nor]]*2*寸法→圧入力!E$24^2/(寸法→圧入力!E$24^2-寸法→圧入力!E$25^2)</f>
        <v>93.378121745338348</v>
      </c>
      <c r="K11" s="101">
        <f>テーブル3[[#This Row],[半径方向応力nor]]* (1+(寸法→圧入力!E$34/寸法→圧入力!E$33)^2)/((寸法→圧入力!E$34/寸法→圧入力!E$33)^2-1)</f>
        <v>49.841934815572571</v>
      </c>
      <c r="N11">
        <f t="shared" si="1"/>
        <v>-25</v>
      </c>
      <c r="O11" s="179">
        <f>寸法→圧入力!F$24*(1+寸法→圧入力!D$29*10^-6*(テーブル4[[#This Row],[inner温度'[℃']]]-20)) - 寸法→圧入力!D$33*(1+寸法→圧入力!D$38*10^-6*(テーブル4[[#This Row],[inner温度'[℃']]]+O$3-20))</f>
        <v>0.15661464499999767</v>
      </c>
      <c r="P11" s="179">
        <f>寸法→圧入力!F$24*(1+寸法→圧入力!D$29*10^-6*(テーブル4[[#This Row],[inner温度'[℃']]]-20)) - 寸法→圧入力!D$33*(1+寸法→圧入力!D$38*10^-6*(テーブル4[[#This Row],[inner温度'[℃']]]+P$3-20))</f>
        <v>0.14718564499999331</v>
      </c>
      <c r="Q11" s="179">
        <f>寸法→圧入力!F$24*(1+寸法→圧入力!D$29*10^-6*(テーブル4[[#This Row],[inner温度'[℃']]]-20)) - 寸法→圧入力!D$33*(1+寸法→圧入力!D$38*10^-6*(テーブル4[[#This Row],[inner温度'[℃']]]+Q$3-20))</f>
        <v>0.13775664499999607</v>
      </c>
      <c r="R11" s="179">
        <f>寸法→圧入力!F$24*(1+寸法→圧入力!D$29*10^-6*(テーブル4[[#This Row],[inner温度'[℃']]]-20)) - 寸法→圧入力!D$33*(1+寸法→圧入力!D$38*10^-6*(テーブル4[[#This Row],[inner温度'[℃']]]+R$3-20))</f>
        <v>0.12832764499999882</v>
      </c>
      <c r="S11" s="179">
        <f>寸法→圧入力!F$24*(1+寸法→圧入力!D$29*10^-6*(テーブル4[[#This Row],[inner温度'[℃']]]-20)) - 寸法→圧入力!D$33*(1+寸法→圧入力!D$38*10^-6*(テーブル4[[#This Row],[inner温度'[℃']]]+S$3-20))</f>
        <v>0.11889864500000158</v>
      </c>
      <c r="T11" s="179">
        <f>寸法→圧入力!F$24*(1+寸法→圧入力!D$29*10^-6*(テーブル4[[#This Row],[inner温度'[℃']]]-20)) - 寸法→圧入力!D$33*(1+寸法→圧入力!D$38*10^-6*(テーブル4[[#This Row],[inner温度'[℃']]]+T$3-20))</f>
        <v>0.10946964499999723</v>
      </c>
      <c r="U11" s="179">
        <f>寸法→圧入力!F$24*(1+寸法→圧入力!D$29*10^-6*(テーブル4[[#This Row],[inner温度'[℃']]]-20)) - 寸法→圧入力!D$33*(1+寸法→圧入力!D$38*10^-6*(テーブル4[[#This Row],[inner温度'[℃']]]+U$3-20))</f>
        <v>0.10004064499999288</v>
      </c>
      <c r="V11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82.082850879349934</v>
      </c>
      <c r="W11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77.141044824483501</v>
      </c>
      <c r="X11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72.199238769620777</v>
      </c>
      <c r="Y11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67.257432714758039</v>
      </c>
      <c r="Z11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62.315626659895322</v>
      </c>
      <c r="AA11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57.373820605028875</v>
      </c>
      <c r="AB11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52.432014550162428</v>
      </c>
      <c r="AC11" s="101">
        <f>テーブル4[[#This Row],[半径方向応力:Δ-30℃]]*2*寸法→圧入力!D$24^2/(寸法→圧入力!D$24^2-寸法→圧入力!F$25^2)</f>
        <v>297.08535917333245</v>
      </c>
      <c r="AD11" s="101">
        <f>テーブル4[[#This Row],[半径方向応力:Δ-20℃]]*2*寸法→圧入力!D$24^2/(寸法→圧入力!D$24^2-寸法→圧入力!F$25^2)</f>
        <v>279.19930610564722</v>
      </c>
      <c r="AE11" s="101">
        <f>テーブル4[[#This Row],[半径方向応力:Δ-10℃]]*2*寸法→圧入力!D$24^2/(寸法→圧入力!D$24^2-寸法→圧入力!F$25^2)</f>
        <v>261.31325303797553</v>
      </c>
      <c r="AF11" s="101">
        <f>テーブル4[[#This Row],[半径方向応力:Δ0℃]]*2*寸法→圧入力!D$24^2/(寸法→圧入力!D$24^2-寸法→圧入力!F$25^2)</f>
        <v>243.42719997030369</v>
      </c>
      <c r="AG11" s="101">
        <f>テーブル4[[#This Row],[半径方向応力:Δ+10℃]]*2*寸法→圧入力!D$24^2/(寸法→圧入力!D$24^2-寸法→圧入力!F$25^2)</f>
        <v>225.54114690263191</v>
      </c>
      <c r="AH11" s="101">
        <f>テーブル4[[#This Row],[半径方向応力:Δ+20℃]]*2*寸法→圧入力!D$24^2/(寸法→圧入力!D$24^2-寸法→圧入力!F$25^2)</f>
        <v>207.65509383494668</v>
      </c>
      <c r="AI11" s="101">
        <f>テーブル4[[#This Row],[半径方向応力:Δ+30℃]]*2*寸法→圧入力!D$24^2/(寸法→圧入力!D$24^2-寸法→圧入力!F$25^2)</f>
        <v>189.76904076726143</v>
      </c>
      <c r="AJ11" s="101">
        <f>寸法→圧入力!$D$30</f>
        <v>345</v>
      </c>
      <c r="AK11" s="101">
        <f>テーブル4[[#This Row],[半径方向応力:Δ-30℃]]* (1+(寸法→圧入力!D$34/寸法→圧入力!F$33)^2)/((寸法→圧入力!D$34/寸法→圧入力!F$33)^2-1)</f>
        <v>160.67482038477144</v>
      </c>
      <c r="AL11" s="101">
        <f>テーブル4[[#This Row],[半径方向応力:Δ-20℃]]* (1+(寸法→圧入力!D$34/寸法→圧入力!F$33)^2)/((寸法→圧入力!D$34/寸法→圧入力!F$33)^2-1)</f>
        <v>151.00137712913764</v>
      </c>
      <c r="AM11" s="101">
        <f>テーブル4[[#This Row],[半径方向応力:Δ-10℃]]* (1+(寸法→圧入力!D$34/寸法→圧入力!F$33)^2)/((寸法→圧入力!D$34/寸法→圧入力!F$33)^2-1)</f>
        <v>141.32793387351117</v>
      </c>
      <c r="AN11" s="101">
        <f>テーブル4[[#This Row],[半径方向応力:Δ0℃]]* (1+(寸法→圧入力!D$34/寸法→圧入力!F$33)^2)/((寸法→圧入力!D$34/寸法→圧入力!F$33)^2-1)</f>
        <v>131.65449061788462</v>
      </c>
      <c r="AO11" s="101">
        <f>テーブル4[[#This Row],[半径方向応力:Δ+10℃]]* (1+(寸法→圧入力!D$34/寸法→圧入力!F$33)^2)/((寸法→圧入力!D$34/寸法→圧入力!F$33)^2-1)</f>
        <v>121.98104736225811</v>
      </c>
      <c r="AP11" s="101">
        <f>テーブル4[[#This Row],[半径方向応力:Δ+20℃]]* (1+(寸法→圧入力!D$34/寸法→圧入力!F$33)^2)/((寸法→圧入力!D$34/寸法→圧入力!F$33)^2-1)</f>
        <v>112.30760410662432</v>
      </c>
      <c r="AQ11" s="101">
        <f>テーブル4[[#This Row],[半径方向応力:Δ+30℃]]* (1+(寸法→圧入力!D$34/寸法→圧入力!F$33)^2)/((寸法→圧入力!D$34/寸法→圧入力!F$33)^2-1)</f>
        <v>102.63416085099053</v>
      </c>
      <c r="AR11" s="101">
        <f>寸法→圧入力!$D$39</f>
        <v>150</v>
      </c>
    </row>
    <row r="12" spans="1:44">
      <c r="A12" s="179">
        <f t="shared" si="0"/>
        <v>0.06</v>
      </c>
      <c r="B12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30.8131248676893</v>
      </c>
      <c r="C12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31.13157317798866</v>
      </c>
      <c r="D12" s="101">
        <f>(A12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31.446427329711533</v>
      </c>
      <c r="E12" s="101">
        <f>テーブル3[[#This Row],[半径方向応力min]]*寸法→圧入力!D$46*寸法→圧入力!D$5/1000</f>
        <v>5.3682399268058969</v>
      </c>
      <c r="F12" s="101">
        <f>テーブル3[[#This Row],[半径方向応力min]]*寸法→圧入力!E$46*寸法→圧入力!E$5/1000</f>
        <v>6.8555258451167482</v>
      </c>
      <c r="G12" s="101">
        <f>テーブル3[[#This Row],[半径方向応力min]]*寸法→圧入力!F$46*寸法→圧入力!F$5/1000</f>
        <v>8.4025841165240021</v>
      </c>
      <c r="H12" s="101">
        <f>寸法→圧入力!$D$30</f>
        <v>345</v>
      </c>
      <c r="I12" s="101">
        <f>寸法→圧入力!$D$39</f>
        <v>150</v>
      </c>
      <c r="J12" s="101">
        <f>テーブル3[[#This Row],[半径方向応力nor]]*2*寸法→圧入力!E$24^2/(寸法→圧入力!E$24^2-寸法→圧入力!E$25^2)</f>
        <v>112.05374609440602</v>
      </c>
      <c r="K12" s="101">
        <f>テーブル3[[#This Row],[半径方向応力nor]]* (1+(寸法→圧入力!E$34/寸法→圧入力!E$33)^2)/((寸法→圧入力!E$34/寸法→圧入力!E$33)^2-1)</f>
        <v>59.810321778687083</v>
      </c>
      <c r="N12">
        <f>N11+5</f>
        <v>-20</v>
      </c>
      <c r="O12" s="179">
        <f>寸法→圧入力!F$24*(1+寸法→圧入力!D$29*10^-6*(テーブル4[[#This Row],[inner温度'[℃']]]-20)) - 寸法→圧入力!D$33*(1+寸法→圧入力!D$38*10^-6*(テーブル4[[#This Row],[inner温度'[℃']]]+O$3-20))</f>
        <v>0.15457823999999931</v>
      </c>
      <c r="P12" s="179">
        <f>寸法→圧入力!F$24*(1+寸法→圧入力!D$29*10^-6*(テーブル4[[#This Row],[inner温度'[℃']]]-20)) - 寸法→圧入力!D$33*(1+寸法→圧入力!D$38*10^-6*(テーブル4[[#This Row],[inner温度'[℃']]]+P$3-20))</f>
        <v>0.14514924000000207</v>
      </c>
      <c r="Q12" s="179">
        <f>寸法→圧入力!F$24*(1+寸法→圧入力!D$29*10^-6*(テーブル4[[#This Row],[inner温度'[℃']]]-20)) - 寸法→圧入力!D$33*(1+寸法→圧入力!D$38*10^-6*(テーブル4[[#This Row],[inner温度'[℃']]]+Q$3-20))</f>
        <v>0.13572023999999772</v>
      </c>
      <c r="R12" s="179">
        <f>寸法→圧入力!F$24*(1+寸法→圧入力!D$29*10^-6*(テーブル4[[#This Row],[inner温度'[℃']]]-20)) - 寸法→圧入力!D$33*(1+寸法→圧入力!D$38*10^-6*(テーブル4[[#This Row],[inner温度'[℃']]]+R$3-20))</f>
        <v>0.12629123999999337</v>
      </c>
      <c r="S12" s="179">
        <f>寸法→圧入力!F$24*(1+寸法→圧入力!D$29*10^-6*(テーブル4[[#This Row],[inner温度'[℃']]]-20)) - 寸法→圧入力!D$33*(1+寸法→圧入力!D$38*10^-6*(テーブル4[[#This Row],[inner温度'[℃']]]+S$3-20))</f>
        <v>0.11686223999999612</v>
      </c>
      <c r="T12" s="179">
        <f>寸法→圧入力!F$24*(1+寸法→圧入力!D$29*10^-6*(テーブル4[[#This Row],[inner温度'[℃']]]-20)) - 寸法→圧入力!D$33*(1+寸法→圧入力!D$38*10^-6*(テーブル4[[#This Row],[inner温度'[℃']]]+T$3-20))</f>
        <v>0.10743323999999888</v>
      </c>
      <c r="U12" s="179">
        <f>寸法→圧入力!F$24*(1+寸法→圧入力!D$29*10^-6*(テーブル4[[#This Row],[inner温度'[℃']]]-20)) - 寸法→圧入力!D$33*(1+寸法→圧入力!D$38*10^-6*(テーブル4[[#This Row],[inner温度'[℃']]]+U$3-20))</f>
        <v>9.800424000000163E-2</v>
      </c>
      <c r="V12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81.015556515244782</v>
      </c>
      <c r="W12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76.073750460382058</v>
      </c>
      <c r="X12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71.131944405515611</v>
      </c>
      <c r="Y12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66.190138350649164</v>
      </c>
      <c r="Z12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61.24833229578644</v>
      </c>
      <c r="AA12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56.306526240923716</v>
      </c>
      <c r="AB12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51.364720186061</v>
      </c>
      <c r="AC12" s="101">
        <f>テーブル4[[#This Row],[半径方向応力:Δ-30℃]]*2*寸法→圧入力!D$24^2/(寸法→圧入力!D$24^2-寸法→圧入力!F$25^2)</f>
        <v>293.22246301284321</v>
      </c>
      <c r="AD12" s="101">
        <f>テーブル4[[#This Row],[半径方向応力:Δ-20℃]]*2*寸法→圧入力!D$24^2/(寸法→圧入力!D$24^2-寸法→圧入力!F$25^2)</f>
        <v>275.33640994517145</v>
      </c>
      <c r="AE12" s="101">
        <f>テーブル4[[#This Row],[半径方向応力:Δ-10℃]]*2*寸法→圧入力!D$24^2/(寸法→圧入力!D$24^2-寸法→圧入力!F$25^2)</f>
        <v>257.45035687748617</v>
      </c>
      <c r="AF12" s="101">
        <f>テーブル4[[#This Row],[半径方向応力:Δ0℃]]*2*寸法→圧入力!D$24^2/(寸法→圧入力!D$24^2-寸法→圧入力!F$25^2)</f>
        <v>239.56430380980095</v>
      </c>
      <c r="AG12" s="101">
        <f>テーブル4[[#This Row],[半径方向応力:Δ+10℃]]*2*寸法→圧入力!D$24^2/(寸法→圧入力!D$24^2-寸法→圧入力!F$25^2)</f>
        <v>221.67825074212919</v>
      </c>
      <c r="AH12" s="101">
        <f>テーブル4[[#This Row],[半径方向応力:Δ+20℃]]*2*寸法→圧入力!D$24^2/(寸法→圧入力!D$24^2-寸法→圧入力!F$25^2)</f>
        <v>203.79219767445741</v>
      </c>
      <c r="AI12" s="101">
        <f>テーブル4[[#This Row],[半径方向応力:Δ+30℃]]*2*寸法→圧入力!D$24^2/(寸法→圧入力!D$24^2-寸法→圧入力!F$25^2)</f>
        <v>185.90614460678566</v>
      </c>
      <c r="AJ12" s="101">
        <f>寸法→圧入力!$D$30</f>
        <v>345</v>
      </c>
      <c r="AK12" s="101">
        <f>テーブル4[[#This Row],[半径方向応力:Δ-30℃]]* (1+(寸法→圧入力!D$34/寸法→圧入力!F$33)^2)/((寸法→圧入力!D$34/寸法→圧入力!F$33)^2-1)</f>
        <v>158.58562235603415</v>
      </c>
      <c r="AL12" s="101">
        <f>テーブル4[[#This Row],[半径方向応力:Δ-20℃]]* (1+(寸法→圧入力!D$34/寸法→圧入力!F$33)^2)/((寸法→圧入力!D$34/寸法→圧入力!F$33)^2-1)</f>
        <v>148.91217910040763</v>
      </c>
      <c r="AM12" s="101">
        <f>テーブル4[[#This Row],[半径方向応力:Δ-10℃]]* (1+(寸法→圧入力!D$34/寸法→圧入力!F$33)^2)/((寸法→圧入力!D$34/寸法→圧入力!F$33)^2-1)</f>
        <v>139.23873584477386</v>
      </c>
      <c r="AN12" s="101">
        <f>テーブル4[[#This Row],[半径方向応力:Δ0℃]]* (1+(寸法→圧入力!D$34/寸法→圧入力!F$33)^2)/((寸法→圧入力!D$34/寸法→圧入力!F$33)^2-1)</f>
        <v>129.56529258914003</v>
      </c>
      <c r="AO12" s="101">
        <f>テーブル4[[#This Row],[半径方向応力:Δ+10℃]]* (1+(寸法→圧入力!D$34/寸法→圧入力!F$33)^2)/((寸法→圧入力!D$34/寸法→圧入力!F$33)^2-1)</f>
        <v>119.89184933351353</v>
      </c>
      <c r="AP12" s="101">
        <f>テーブル4[[#This Row],[半径方向応力:Δ+20℃]]* (1+(寸法→圧入力!D$34/寸法→圧入力!F$33)^2)/((寸法→圧入力!D$34/寸法→圧入力!F$33)^2-1)</f>
        <v>110.21840607788702</v>
      </c>
      <c r="AQ12" s="101">
        <f>テーブル4[[#This Row],[半径方向応力:Δ+30℃]]* (1+(寸法→圧入力!D$34/寸法→圧入力!F$33)^2)/((寸法→圧入力!D$34/寸法→圧入力!F$33)^2-1)</f>
        <v>100.54496282226053</v>
      </c>
      <c r="AR12" s="101">
        <f>寸法→圧入力!$D$39</f>
        <v>150</v>
      </c>
    </row>
    <row r="13" spans="1:44">
      <c r="A13" s="179">
        <f t="shared" si="0"/>
        <v>7.0000000000000007E-2</v>
      </c>
      <c r="B13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35.948645678970855</v>
      </c>
      <c r="C13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36.320168707653437</v>
      </c>
      <c r="D13" s="101">
        <f>(A13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36.687498551330123</v>
      </c>
      <c r="E13" s="101">
        <f>テーブル3[[#This Row],[半径方向応力min]]*寸法→圧入力!D$46*寸法→圧入力!D$5/1000</f>
        <v>6.262946581273547</v>
      </c>
      <c r="F13" s="101">
        <f>テーブル3[[#This Row],[半径方向応力min]]*寸法→圧入力!E$46*寸法→圧入力!E$5/1000</f>
        <v>7.998113485969542</v>
      </c>
      <c r="G13" s="101">
        <f>テーブル3[[#This Row],[半径方向応力min]]*寸法→圧入力!F$46*寸法→圧入力!F$5/1000</f>
        <v>9.8030148026113366</v>
      </c>
      <c r="H13" s="101">
        <f>寸法→圧入力!$D$30</f>
        <v>345</v>
      </c>
      <c r="I13" s="101">
        <f>寸法→圧入力!$D$39</f>
        <v>150</v>
      </c>
      <c r="J13" s="101">
        <f>テーブル3[[#This Row],[半径方向応力nor]]*2*寸法→圧入力!E$24^2/(寸法→圧入力!E$24^2-寸法→圧入力!E$25^2)</f>
        <v>130.7293704434737</v>
      </c>
      <c r="K13" s="101">
        <f>テーブル3[[#This Row],[半径方向応力nor]]* (1+(寸法→圧入力!E$34/寸法→圧入力!E$33)^2)/((寸法→圧入力!E$34/寸法→圧入力!E$33)^2-1)</f>
        <v>69.778708741801594</v>
      </c>
      <c r="N13">
        <f t="shared" si="1"/>
        <v>-15</v>
      </c>
      <c r="O13" s="179">
        <f>寸法→圧入力!F$24*(1+寸法→圧入力!D$29*10^-6*(テーブル4[[#This Row],[inner温度'[℃']]]-20)) - 寸法→圧入力!D$33*(1+寸法→圧入力!D$38*10^-6*(テーブル4[[#This Row],[inner温度'[℃']]]+O$3-20))</f>
        <v>0.15254183499999385</v>
      </c>
      <c r="P13" s="179">
        <f>寸法→圧入力!F$24*(1+寸法→圧入力!D$29*10^-6*(テーブル4[[#This Row],[inner温度'[℃']]]-20)) - 寸法→圧入力!D$33*(1+寸法→圧入力!D$38*10^-6*(テーブル4[[#This Row],[inner温度'[℃']]]+P$3-20))</f>
        <v>0.14311283499999661</v>
      </c>
      <c r="Q13" s="179">
        <f>寸法→圧入力!F$24*(1+寸法→圧入力!D$29*10^-6*(テーブル4[[#This Row],[inner温度'[℃']]]-20)) - 寸法→圧入力!D$33*(1+寸法→圧入力!D$38*10^-6*(テーブル4[[#This Row],[inner温度'[℃']]]+Q$3-20))</f>
        <v>0.13368383499999936</v>
      </c>
      <c r="R13" s="179">
        <f>寸法→圧入力!F$24*(1+寸法→圧入力!D$29*10^-6*(テーブル4[[#This Row],[inner温度'[℃']]]-20)) - 寸法→圧入力!D$33*(1+寸法→圧入力!D$38*10^-6*(テーブル4[[#This Row],[inner温度'[℃']]]+R$3-20))</f>
        <v>0.12425483500000212</v>
      </c>
      <c r="S13" s="179">
        <f>寸法→圧入力!F$24*(1+寸法→圧入力!D$29*10^-6*(テーブル4[[#This Row],[inner温度'[℃']]]-20)) - 寸法→圧入力!D$33*(1+寸法→圧入力!D$38*10^-6*(テーブル4[[#This Row],[inner温度'[℃']]]+S$3-20))</f>
        <v>0.11482583499999777</v>
      </c>
      <c r="T13" s="179">
        <f>寸法→圧入力!F$24*(1+寸法→圧入力!D$29*10^-6*(テーブル4[[#This Row],[inner温度'[℃']]]-20)) - 寸法→圧入力!D$33*(1+寸法→圧入力!D$38*10^-6*(テーブル4[[#This Row],[inner温度'[℃']]]+T$3-20))</f>
        <v>0.10539683499999342</v>
      </c>
      <c r="U13" s="179">
        <f>寸法→圧入力!F$24*(1+寸法→圧入力!D$29*10^-6*(テーブル4[[#This Row],[inner温度'[℃']]]-20)) - 寸法→圧入力!D$33*(1+寸法→圧入力!D$38*10^-6*(テーブル4[[#This Row],[inner温度'[℃']]]+U$3-20))</f>
        <v>9.5967834999996171E-2</v>
      </c>
      <c r="V13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79.948262151135907</v>
      </c>
      <c r="W13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75.006456096273169</v>
      </c>
      <c r="X13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70.064650041410445</v>
      </c>
      <c r="Y13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65.122843986547736</v>
      </c>
      <c r="Z13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60.181037931681281</v>
      </c>
      <c r="AA13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55.239231876814841</v>
      </c>
      <c r="AB13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50.29742582195211</v>
      </c>
      <c r="AC13" s="101">
        <f>テーブル4[[#This Row],[半径方向応力:Δ-30℃]]*2*寸法→圧入力!D$24^2/(寸法→圧入力!D$24^2-寸法→圧入力!F$25^2)</f>
        <v>289.35956685234049</v>
      </c>
      <c r="AD13" s="101">
        <f>テーブル4[[#This Row],[半径方向応力:Δ-20℃]]*2*寸法→圧入力!D$24^2/(寸法→圧入力!D$24^2-寸法→圧入力!F$25^2)</f>
        <v>271.47351378466868</v>
      </c>
      <c r="AE13" s="101">
        <f>テーブル4[[#This Row],[半径方向応力:Δ-10℃]]*2*寸法→圧入力!D$24^2/(寸法→圧入力!D$24^2-寸法→圧入力!F$25^2)</f>
        <v>253.5874607169969</v>
      </c>
      <c r="AF13" s="101">
        <f>テーブル4[[#This Row],[半径方向応力:Δ0℃]]*2*寸法→圧入力!D$24^2/(寸法→圧入力!D$24^2-寸法→圧入力!F$25^2)</f>
        <v>235.70140764932518</v>
      </c>
      <c r="AG13" s="101">
        <f>テーブル4[[#This Row],[半径方向応力:Δ+10℃]]*2*寸法→圧入力!D$24^2/(寸法→圧入力!D$24^2-寸法→圧入力!F$25^2)</f>
        <v>217.81535458163989</v>
      </c>
      <c r="AH13" s="101">
        <f>テーブル4[[#This Row],[半径方向応力:Δ+20℃]]*2*寸法→圧入力!D$24^2/(寸法→圧入力!D$24^2-寸法→圧入力!F$25^2)</f>
        <v>199.92930151395467</v>
      </c>
      <c r="AI13" s="101">
        <f>テーブル4[[#This Row],[半径方向応力:Δ+30℃]]*2*寸法→圧入力!D$24^2/(寸法→圧入力!D$24^2-寸法→圧入力!F$25^2)</f>
        <v>182.04324844628289</v>
      </c>
      <c r="AJ13" s="101">
        <f>寸法→圧入力!$D$30</f>
        <v>345</v>
      </c>
      <c r="AK13" s="101">
        <f>テーブル4[[#This Row],[半径方向応力:Δ-30℃]]* (1+(寸法→圧入力!D$34/寸法→圧入力!F$33)^2)/((寸法→圧入力!D$34/寸法→圧入力!F$33)^2-1)</f>
        <v>156.49642432728959</v>
      </c>
      <c r="AL13" s="101">
        <f>テーブル4[[#This Row],[半径方向応力:Δ-20℃]]* (1+(寸法→圧入力!D$34/寸法→圧入力!F$33)^2)/((寸法→圧入力!D$34/寸法→圧入力!F$33)^2-1)</f>
        <v>146.82298107166304</v>
      </c>
      <c r="AM13" s="101">
        <f>テーブル4[[#This Row],[半径方向応力:Δ-10℃]]* (1+(寸法→圧入力!D$34/寸法→圧入力!F$33)^2)/((寸法→圧入力!D$34/寸法→圧入力!F$33)^2-1)</f>
        <v>137.14953781603654</v>
      </c>
      <c r="AN13" s="101">
        <f>テーブル4[[#This Row],[半径方向応力:Δ0℃]]* (1+(寸法→圧入力!D$34/寸法→圧入力!F$33)^2)/((寸法→圧入力!D$34/寸法→圧入力!F$33)^2-1)</f>
        <v>127.47609456041005</v>
      </c>
      <c r="AO13" s="101">
        <f>テーブル4[[#This Row],[半径方向応力:Δ+10℃]]* (1+(寸法→圧入力!D$34/寸法→圧入力!F$33)^2)/((寸法→圧入力!D$34/寸法→圧入力!F$33)^2-1)</f>
        <v>117.80265130477623</v>
      </c>
      <c r="AP13" s="101">
        <f>テーブル4[[#This Row],[半径方向応力:Δ+20℃]]* (1+(寸法→圧入力!D$34/寸法→圧入力!F$33)^2)/((寸法→圧入力!D$34/寸法→圧入力!F$33)^2-1)</f>
        <v>108.12920804914246</v>
      </c>
      <c r="AQ13" s="101">
        <f>テーブル4[[#This Row],[半径方向応力:Δ+30℃]]* (1+(寸法→圧入力!D$34/寸法→圧入力!F$33)^2)/((寸法→圧入力!D$34/寸法→圧入力!F$33)^2-1)</f>
        <v>98.455764793515939</v>
      </c>
      <c r="AR13" s="101">
        <f>寸法→圧入力!$D$39</f>
        <v>150</v>
      </c>
    </row>
    <row r="14" spans="1:44">
      <c r="A14" s="179">
        <f t="shared" si="0"/>
        <v>0.08</v>
      </c>
      <c r="B14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41.0841664902524</v>
      </c>
      <c r="C14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41.508764237318218</v>
      </c>
      <c r="D14" s="101">
        <f>(A14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41.928569772948713</v>
      </c>
      <c r="E14" s="101">
        <f>テーブル3[[#This Row],[半径方向応力min]]*寸法→圧入力!D$46*寸法→圧入力!D$5/1000</f>
        <v>7.1576532357411953</v>
      </c>
      <c r="F14" s="101">
        <f>テーブル3[[#This Row],[半径方向応力min]]*寸法→圧入力!E$46*寸法→圧入力!E$5/1000</f>
        <v>9.1407011268223322</v>
      </c>
      <c r="G14" s="101">
        <f>テーブル3[[#This Row],[半径方向応力min]]*寸法→圧入力!F$46*寸法→圧入力!F$5/1000</f>
        <v>11.203445488698668</v>
      </c>
      <c r="H14" s="101">
        <f>寸法→圧入力!$D$30</f>
        <v>345</v>
      </c>
      <c r="I14" s="101">
        <f>寸法→圧入力!$D$39</f>
        <v>150</v>
      </c>
      <c r="J14" s="101">
        <f>テーブル3[[#This Row],[半径方向応力nor]]*2*寸法→圧入力!E$24^2/(寸法→圧入力!E$24^2-寸法→圧入力!E$25^2)</f>
        <v>149.40499479254137</v>
      </c>
      <c r="K14" s="101">
        <f>テーブル3[[#This Row],[半径方向応力nor]]* (1+(寸法→圧入力!E$34/寸法→圧入力!E$33)^2)/((寸法→圧入力!E$34/寸法→圧入力!E$33)^2-1)</f>
        <v>79.74709570491612</v>
      </c>
      <c r="N14">
        <f t="shared" si="1"/>
        <v>-10</v>
      </c>
      <c r="O14" s="179">
        <f>寸法→圧入力!F$24*(1+寸法→圧入力!D$29*10^-6*(テーブル4[[#This Row],[inner温度'[℃']]]-20)) - 寸法→圧入力!D$33*(1+寸法→圧入力!D$38*10^-6*(テーブル4[[#This Row],[inner温度'[℃']]]+O$3-20))</f>
        <v>0.1505054300000026</v>
      </c>
      <c r="P14" s="179">
        <f>寸法→圧入力!F$24*(1+寸法→圧入力!D$29*10^-6*(テーブル4[[#This Row],[inner温度'[℃']]]-20)) - 寸法→圧入力!D$33*(1+寸法→圧入力!D$38*10^-6*(テーブル4[[#This Row],[inner温度'[℃']]]+P$3-20))</f>
        <v>0.14107642999999825</v>
      </c>
      <c r="Q14" s="179">
        <f>寸法→圧入力!F$24*(1+寸法→圧入力!D$29*10^-6*(テーブル4[[#This Row],[inner温度'[℃']]]-20)) - 寸法→圧入力!D$33*(1+寸法→圧入力!D$38*10^-6*(テーブル4[[#This Row],[inner温度'[℃']]]+Q$3-20))</f>
        <v>0.1316474299999939</v>
      </c>
      <c r="R14" s="179">
        <f>寸法→圧入力!F$24*(1+寸法→圧入力!D$29*10^-6*(テーブル4[[#This Row],[inner温度'[℃']]]-20)) - 寸法→圧入力!D$33*(1+寸法→圧入力!D$38*10^-6*(テーブル4[[#This Row],[inner温度'[℃']]]+R$3-20))</f>
        <v>0.12221842999999666</v>
      </c>
      <c r="S14" s="179">
        <f>寸法→圧入力!F$24*(1+寸法→圧入力!D$29*10^-6*(テーブル4[[#This Row],[inner温度'[℃']]]-20)) - 寸法→圧入力!D$33*(1+寸法→圧入力!D$38*10^-6*(テーブル4[[#This Row],[inner温度'[℃']]]+S$3-20))</f>
        <v>0.11278942999999941</v>
      </c>
      <c r="T14" s="179">
        <f>寸法→圧入力!F$24*(1+寸法→圧入力!D$29*10^-6*(テーブル4[[#This Row],[inner温度'[℃']]]-20)) - 寸法→圧入力!D$33*(1+寸法→圧入力!D$38*10^-6*(テーブル4[[#This Row],[inner温度'[℃']]]+T$3-20))</f>
        <v>0.10336043000000217</v>
      </c>
      <c r="U14" s="179">
        <f>寸法→圧入力!F$24*(1+寸法→圧入力!D$29*10^-6*(テーブル4[[#This Row],[inner温度'[℃']]]-20)) - 寸法→圧入力!D$33*(1+寸法→圧入力!D$38*10^-6*(テーブル4[[#This Row],[inner温度'[℃']]]+U$3-20))</f>
        <v>9.3931429999997818E-2</v>
      </c>
      <c r="V14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78.880967787034479</v>
      </c>
      <c r="W14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73.939161732168017</v>
      </c>
      <c r="X14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68.99735567730157</v>
      </c>
      <c r="Y14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64.055549622438846</v>
      </c>
      <c r="Z14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59.11374356757613</v>
      </c>
      <c r="AA14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54.171937512713406</v>
      </c>
      <c r="AB14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49.230131457846952</v>
      </c>
      <c r="AC14" s="101">
        <f>テーブル4[[#This Row],[半径方向応力:Δ-30℃]]*2*寸法→圧入力!D$24^2/(寸法→圧入力!D$24^2-寸法→圧入力!F$25^2)</f>
        <v>285.49667069186472</v>
      </c>
      <c r="AD14" s="101">
        <f>テーブル4[[#This Row],[半径方向応力:Δ-20℃]]*2*寸法→圧入力!D$24^2/(寸法→圧入力!D$24^2-寸法→圧入力!F$25^2)</f>
        <v>267.61061762417944</v>
      </c>
      <c r="AE14" s="101">
        <f>テーブル4[[#This Row],[半径方向応力:Δ-10℃]]*2*寸法→圧入力!D$24^2/(寸法→圧入力!D$24^2-寸法→圧入力!F$25^2)</f>
        <v>249.72456455649419</v>
      </c>
      <c r="AF14" s="101">
        <f>テーブル4[[#This Row],[半径方向応力:Δ0℃]]*2*寸法→圧入力!D$24^2/(寸法→圧入力!D$24^2-寸法→圧入力!F$25^2)</f>
        <v>231.83851148882241</v>
      </c>
      <c r="AG14" s="101">
        <f>テーブル4[[#This Row],[半径方向応力:Δ+10℃]]*2*寸法→圧入力!D$24^2/(寸法→圧入力!D$24^2-寸法→圧入力!F$25^2)</f>
        <v>213.95245842115065</v>
      </c>
      <c r="AH14" s="101">
        <f>テーブル4[[#This Row],[半径方向応力:Δ+20℃]]*2*寸法→圧入力!D$24^2/(寸法→圧入力!D$24^2-寸法→圧入力!F$25^2)</f>
        <v>196.06640535347887</v>
      </c>
      <c r="AI14" s="101">
        <f>テーブル4[[#This Row],[半径方向応力:Δ+30℃]]*2*寸法→圧入力!D$24^2/(寸法→圧入力!D$24^2-寸法→圧入力!F$25^2)</f>
        <v>178.18035228579362</v>
      </c>
      <c r="AJ14" s="101">
        <f>寸法→圧入力!$D$30</f>
        <v>345</v>
      </c>
      <c r="AK14" s="101">
        <f>テーブル4[[#This Row],[半径方向応力:Δ-30℃]]* (1+(寸法→圧入力!D$34/寸法→圧入力!F$33)^2)/((寸法→圧入力!D$34/寸法→圧入力!F$33)^2-1)</f>
        <v>154.40722629855961</v>
      </c>
      <c r="AL14" s="101">
        <f>テーブル4[[#This Row],[半径方向応力:Δ-20℃]]* (1+(寸法→圧入力!D$34/寸法→圧入力!F$33)^2)/((寸法→圧入力!D$34/寸法→圧入力!F$33)^2-1)</f>
        <v>144.73378304292575</v>
      </c>
      <c r="AM14" s="101">
        <f>テーブル4[[#This Row],[半径方向応力:Δ-10℃]]* (1+(寸法→圧入力!D$34/寸法→圧入力!F$33)^2)/((寸法→圧入力!D$34/寸法→圧入力!F$33)^2-1)</f>
        <v>135.06033978729195</v>
      </c>
      <c r="AN14" s="101">
        <f>テーブル4[[#This Row],[半径方向応力:Δ0℃]]* (1+(寸法→圧入力!D$34/寸法→圧入力!F$33)^2)/((寸法→圧入力!D$34/寸法→圧入力!F$33)^2-1)</f>
        <v>125.38689653166547</v>
      </c>
      <c r="AO14" s="101">
        <f>テーブル4[[#This Row],[半径方向応力:Δ+10℃]]* (1+(寸法→圧入力!D$34/寸法→圧入力!F$33)^2)/((寸法→圧入力!D$34/寸法→圧入力!F$33)^2-1)</f>
        <v>115.71345327603896</v>
      </c>
      <c r="AP14" s="101">
        <f>テーブル4[[#This Row],[半径方向応力:Δ+20℃]]* (1+(寸法→圧入力!D$34/寸法→圧入力!F$33)^2)/((寸法→圧入力!D$34/寸法→圧入力!F$33)^2-1)</f>
        <v>106.04001002041245</v>
      </c>
      <c r="AQ14" s="101">
        <f>テーブル4[[#This Row],[半径方向応力:Δ+30℃]]* (1+(寸法→圧入力!D$34/寸法→圧入力!F$33)^2)/((寸法→圧入力!D$34/寸法→圧入力!F$33)^2-1)</f>
        <v>96.366566764778639</v>
      </c>
      <c r="AR14" s="101">
        <f>寸法→圧入力!$D$39</f>
        <v>150</v>
      </c>
    </row>
    <row r="15" spans="1:44">
      <c r="A15" s="179">
        <f t="shared" si="0"/>
        <v>0.09</v>
      </c>
      <c r="B15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46.219687301533952</v>
      </c>
      <c r="C15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46.697359766982991</v>
      </c>
      <c r="D15" s="101">
        <f>(A15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47.169640994567303</v>
      </c>
      <c r="E15" s="101">
        <f>テーブル3[[#This Row],[半径方向応力min]]*寸法→圧入力!D$46*寸法→圧入力!D$5/1000</f>
        <v>8.0523598902088445</v>
      </c>
      <c r="F15" s="101">
        <f>テーブル3[[#This Row],[半径方向応力min]]*寸法→圧入力!E$46*寸法→圧入力!E$5/1000</f>
        <v>10.283288767675124</v>
      </c>
      <c r="G15" s="101">
        <f>テーブル3[[#This Row],[半径方向応力min]]*寸法→圧入力!F$46*寸法→圧入力!F$5/1000</f>
        <v>12.603876174786002</v>
      </c>
      <c r="H15" s="101">
        <f>寸法→圧入力!$D$30</f>
        <v>345</v>
      </c>
      <c r="I15" s="101">
        <f>寸法→圧入力!$D$39</f>
        <v>150</v>
      </c>
      <c r="J15" s="101">
        <f>テーブル3[[#This Row],[半径方向応力nor]]*2*寸法→圧入力!E$24^2/(寸法→圧入力!E$24^2-寸法→圧入力!E$25^2)</f>
        <v>168.08061914160905</v>
      </c>
      <c r="K15" s="101">
        <f>テーブル3[[#This Row],[半径方向応力nor]]* (1+(寸法→圧入力!E$34/寸法→圧入力!E$33)^2)/((寸法→圧入力!E$34/寸法→圧入力!E$33)^2-1)</f>
        <v>89.715482668030631</v>
      </c>
      <c r="N15">
        <f t="shared" si="1"/>
        <v>-5</v>
      </c>
      <c r="O15" s="179">
        <f>寸法→圧入力!F$24*(1+寸法→圧入力!D$29*10^-6*(テーブル4[[#This Row],[inner温度'[℃']]]-20)) - 寸法→圧入力!D$33*(1+寸法→圧入力!D$38*10^-6*(テーブル4[[#This Row],[inner温度'[℃']]]+O$3-20))</f>
        <v>0.14846902500000425</v>
      </c>
      <c r="P15" s="179">
        <f>寸法→圧入力!F$24*(1+寸法→圧入力!D$29*10^-6*(テーブル4[[#This Row],[inner温度'[℃']]]-20)) - 寸法→圧入力!D$33*(1+寸法→圧入力!D$38*10^-6*(テーブル4[[#This Row],[inner温度'[℃']]]+P$3-20))</f>
        <v>0.13904002500000701</v>
      </c>
      <c r="Q15" s="179">
        <f>寸法→圧入力!F$24*(1+寸法→圧入力!D$29*10^-6*(テーブル4[[#This Row],[inner温度'[℃']]]-20)) - 寸法→圧入力!D$33*(1+寸法→圧入力!D$38*10^-6*(テーブル4[[#This Row],[inner温度'[℃']]]+Q$3-20))</f>
        <v>0.12961102500000976</v>
      </c>
      <c r="R15" s="179">
        <f>寸法→圧入力!F$24*(1+寸法→圧入力!D$29*10^-6*(テーブル4[[#This Row],[inner温度'[℃']]]-20)) - 寸法→圧入力!D$33*(1+寸法→圧入力!D$38*10^-6*(テーブル4[[#This Row],[inner温度'[℃']]]+R$3-20))</f>
        <v>0.12018202500000541</v>
      </c>
      <c r="S15" s="179">
        <f>寸法→圧入力!F$24*(1+寸法→圧入力!D$29*10^-6*(テーブル4[[#This Row],[inner温度'[℃']]]-20)) - 寸法→圧入力!D$33*(1+寸法→圧入力!D$38*10^-6*(テーブル4[[#This Row],[inner温度'[℃']]]+S$3-20))</f>
        <v>0.11075302500000106</v>
      </c>
      <c r="T15" s="179">
        <f>寸法→圧入力!F$24*(1+寸法→圧入力!D$29*10^-6*(テーブル4[[#This Row],[inner温度'[℃']]]-20)) - 寸法→圧入力!D$33*(1+寸法→圧入力!D$38*10^-6*(テーブル4[[#This Row],[inner温度'[℃']]]+T$3-20))</f>
        <v>0.10132402500000381</v>
      </c>
      <c r="U15" s="179">
        <f>寸法→圧入力!F$24*(1+寸法→圧入力!D$29*10^-6*(テーブル4[[#This Row],[inner温度'[℃']]]-20)) - 寸法→圧入力!D$33*(1+寸法→圧入力!D$38*10^-6*(テーブル4[[#This Row],[inner温度'[℃']]]+U$3-20))</f>
        <v>9.1895025000006569E-2</v>
      </c>
      <c r="V15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77.813673422929313</v>
      </c>
      <c r="W15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72.871867368066589</v>
      </c>
      <c r="X15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67.930061313203865</v>
      </c>
      <c r="Y15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62.988255258337418</v>
      </c>
      <c r="Z15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58.046449203470971</v>
      </c>
      <c r="AA15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53.10464314860824</v>
      </c>
      <c r="AB15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48.162837093745516</v>
      </c>
      <c r="AC15" s="101">
        <f>テーブル4[[#This Row],[半径方向応力:Δ-30℃]]*2*寸法→圧入力!D$24^2/(寸法→圧入力!D$24^2-寸法→圧入力!F$25^2)</f>
        <v>281.63377453137542</v>
      </c>
      <c r="AD15" s="101">
        <f>テーブル4[[#This Row],[半径方向応力:Δ-20℃]]*2*寸法→圧入力!D$24^2/(寸法→圧入力!D$24^2-寸法→圧入力!F$25^2)</f>
        <v>263.74772146370367</v>
      </c>
      <c r="AE15" s="101">
        <f>テーブル4[[#This Row],[半径方向応力:Δ-10℃]]*2*寸法→圧入力!D$24^2/(寸法→圧入力!D$24^2-寸法→圧入力!F$25^2)</f>
        <v>245.86166839603189</v>
      </c>
      <c r="AF15" s="101">
        <f>テーブル4[[#This Row],[半径方向応力:Δ0℃]]*2*寸法→圧入力!D$24^2/(寸法→圧入力!D$24^2-寸法→圧入力!F$25^2)</f>
        <v>227.97561532834661</v>
      </c>
      <c r="AG15" s="101">
        <f>テーブル4[[#This Row],[半径方向応力:Δ+10℃]]*2*寸法→圧入力!D$24^2/(寸法→圧入力!D$24^2-寸法→圧入力!F$25^2)</f>
        <v>210.08956226066138</v>
      </c>
      <c r="AH15" s="101">
        <f>テーブル4[[#This Row],[半径方向応力:Δ+20℃]]*2*寸法→圧入力!D$24^2/(寸法→圧入力!D$24^2-寸法→圧入力!F$25^2)</f>
        <v>192.2035091929896</v>
      </c>
      <c r="AI15" s="101">
        <f>テーブル4[[#This Row],[半径方向応力:Δ+30℃]]*2*寸法→圧入力!D$24^2/(寸法→圧入力!D$24^2-寸法→圧入力!F$25^2)</f>
        <v>174.31745612531782</v>
      </c>
      <c r="AJ15" s="101">
        <f>寸法→圧入力!$D$30</f>
        <v>345</v>
      </c>
      <c r="AK15" s="101">
        <f>テーブル4[[#This Row],[半径方向応力:Δ-30℃]]* (1+(寸法→圧入力!D$34/寸法→圧入力!F$33)^2)/((寸法→圧入力!D$34/寸法→圧入力!F$33)^2-1)</f>
        <v>152.31802826982229</v>
      </c>
      <c r="AL15" s="101">
        <f>テーブル4[[#This Row],[半径方向応力:Δ-20℃]]* (1+(寸法→圧入力!D$34/寸法→圧入力!F$33)^2)/((寸法→圧入力!D$34/寸法→圧入力!F$33)^2-1)</f>
        <v>142.64458501419577</v>
      </c>
      <c r="AM15" s="101">
        <f>テーブル4[[#This Row],[半径方向応力:Δ-10℃]]* (1+(寸法→圧入力!D$34/寸法→圧入力!F$33)^2)/((寸法→圧入力!D$34/寸法→圧入力!F$33)^2-1)</f>
        <v>132.97114175856925</v>
      </c>
      <c r="AN15" s="101">
        <f>テーブル4[[#This Row],[半径方向応力:Δ0℃]]* (1+(寸法→圧入力!D$34/寸法→圧入力!F$33)^2)/((寸法→圧入力!D$34/寸法→圧入力!F$33)^2-1)</f>
        <v>123.29769850293548</v>
      </c>
      <c r="AO15" s="101">
        <f>テーブル4[[#This Row],[半径方向応力:Δ+10℃]]* (1+(寸法→圧入力!D$34/寸法→圧入力!F$33)^2)/((寸法→圧入力!D$34/寸法→圧入力!F$33)^2-1)</f>
        <v>113.62425524730166</v>
      </c>
      <c r="AP15" s="101">
        <f>テーブル4[[#This Row],[半径方向応力:Δ+20℃]]* (1+(寸法→圧入力!D$34/寸法→圧入力!F$33)^2)/((寸法→圧入力!D$34/寸法→圧入力!F$33)^2-1)</f>
        <v>103.95081199167515</v>
      </c>
      <c r="AQ15" s="101">
        <f>テーブル4[[#This Row],[半径方向応力:Δ+30℃]]* (1+(寸法→圧入力!D$34/寸法→圧入力!F$33)^2)/((寸法→圧入力!D$34/寸法→圧入力!F$33)^2-1)</f>
        <v>94.277368736048629</v>
      </c>
      <c r="AR15" s="101">
        <f>寸法→圧入力!$D$39</f>
        <v>150</v>
      </c>
    </row>
    <row r="16" spans="1:44">
      <c r="A16" s="179">
        <f t="shared" si="0"/>
        <v>0.1</v>
      </c>
      <c r="B16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51.355208112815504</v>
      </c>
      <c r="C16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51.885955296647765</v>
      </c>
      <c r="D16" s="101">
        <f>(A16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52.410712216185892</v>
      </c>
      <c r="E16" s="101">
        <f>テーブル3[[#This Row],[半径方向応力min]]*寸法→圧入力!D$46*寸法→圧入力!D$5/1000</f>
        <v>8.9470665446764936</v>
      </c>
      <c r="F16" s="101">
        <f>テーブル3[[#This Row],[半径方向応力min]]*寸法→圧入力!E$46*寸法→圧入力!E$5/1000</f>
        <v>11.425876408527916</v>
      </c>
      <c r="G16" s="101">
        <f>テーブル3[[#This Row],[半径方向応力min]]*寸法→圧入力!F$46*寸法→圧入力!F$5/1000</f>
        <v>14.004306860873335</v>
      </c>
      <c r="H16" s="101">
        <f>寸法→圧入力!$D$30</f>
        <v>345</v>
      </c>
      <c r="I16" s="101">
        <f>寸法→圧入力!$D$39</f>
        <v>150</v>
      </c>
      <c r="J16" s="101">
        <f>テーブル3[[#This Row],[半径方向応力nor]]*2*寸法→圧入力!E$24^2/(寸法→圧入力!E$24^2-寸法→圧入力!E$25^2)</f>
        <v>186.7562434906767</v>
      </c>
      <c r="K16" s="101">
        <f>テーブル3[[#This Row],[半径方向応力nor]]* (1+(寸法→圧入力!E$34/寸法→圧入力!E$33)^2)/((寸法→圧入力!E$34/寸法→圧入力!E$33)^2-1)</f>
        <v>99.683869631145143</v>
      </c>
      <c r="N16">
        <f t="shared" si="1"/>
        <v>0</v>
      </c>
      <c r="O16" s="179">
        <f>寸法→圧入力!F$24*(1+寸法→圧入力!D$29*10^-6*(テーブル4[[#This Row],[inner温度'[℃']]]-20)) - 寸法→圧入力!D$33*(1+寸法→圧入力!D$38*10^-6*(テーブル4[[#This Row],[inner温度'[℃']]]+O$3-20))</f>
        <v>0.14643261999999879</v>
      </c>
      <c r="P16" s="179">
        <f>寸法→圧入力!F$24*(1+寸法→圧入力!D$29*10^-6*(テーブル4[[#This Row],[inner温度'[℃']]]-20)) - 寸法→圧入力!D$33*(1+寸法→圧入力!D$38*10^-6*(テーブル4[[#This Row],[inner温度'[℃']]]+P$3-20))</f>
        <v>0.13700361999999444</v>
      </c>
      <c r="Q16" s="179">
        <f>寸法→圧入力!F$24*(1+寸法→圧入力!D$29*10^-6*(テーブル4[[#This Row],[inner温度'[℃']]]-20)) - 寸法→圧入力!D$33*(1+寸法→圧入力!D$38*10^-6*(テーブル4[[#This Row],[inner温度'[℃']]]+Q$3-20))</f>
        <v>0.1275746199999972</v>
      </c>
      <c r="R16" s="179">
        <f>寸法→圧入力!F$24*(1+寸法→圧入力!D$29*10^-6*(テーブル4[[#This Row],[inner温度'[℃']]]-20)) - 寸法→圧入力!D$33*(1+寸法→圧入力!D$38*10^-6*(テーブル4[[#This Row],[inner温度'[℃']]]+R$3-20))</f>
        <v>0.11814561999999995</v>
      </c>
      <c r="S16" s="179">
        <f>寸法→圧入力!F$24*(1+寸法→圧入力!D$29*10^-6*(テーブル4[[#This Row],[inner温度'[℃']]]-20)) - 寸法→圧入力!D$33*(1+寸法→圧入力!D$38*10^-6*(テーブル4[[#This Row],[inner温度'[℃']]]+S$3-20))</f>
        <v>0.10871662000000271</v>
      </c>
      <c r="T16" s="179">
        <f>寸法→圧入力!F$24*(1+寸法→圧入力!D$29*10^-6*(テーブル4[[#This Row],[inner温度'[℃']]]-20)) - 寸法→圧入力!D$33*(1+寸法→圧入力!D$38*10^-6*(テーブル4[[#This Row],[inner温度'[℃']]]+T$3-20))</f>
        <v>9.9287619999998356E-2</v>
      </c>
      <c r="U16" s="179">
        <f>寸法→圧入力!F$24*(1+寸法→圧入力!D$29*10^-6*(テーブル4[[#This Row],[inner温度'[℃']]]-20)) - 寸法→圧入力!D$33*(1+寸法→圧入力!D$38*10^-6*(テーブル4[[#This Row],[inner温度'[℃']]]+U$3-20))</f>
        <v>8.9858619999994005E-2</v>
      </c>
      <c r="V16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76.746379058820423</v>
      </c>
      <c r="W16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71.804573003953976</v>
      </c>
      <c r="X16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66.862766949091267</v>
      </c>
      <c r="Y16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61.920960894228536</v>
      </c>
      <c r="Z16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56.979154839365805</v>
      </c>
      <c r="AA16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52.037348784499358</v>
      </c>
      <c r="AB16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47.095542729632918</v>
      </c>
      <c r="AC16" s="101">
        <f>テーブル4[[#This Row],[半径方向応力:Δ-30℃]]*2*寸法→圧入力!D$24^2/(寸法→圧入力!D$24^2-寸法→圧入力!F$25^2)</f>
        <v>277.77087837087265</v>
      </c>
      <c r="AD16" s="101">
        <f>テーブル4[[#This Row],[半径方向応力:Δ-20℃]]*2*寸法→圧入力!D$24^2/(寸法→圧入力!D$24^2-寸法→圧入力!F$25^2)</f>
        <v>259.88482530318737</v>
      </c>
      <c r="AE16" s="101">
        <f>テーブル4[[#This Row],[半径方向応力:Δ-10℃]]*2*寸法→圧入力!D$24^2/(寸法→圧入力!D$24^2-寸法→圧入力!F$25^2)</f>
        <v>241.99877223551564</v>
      </c>
      <c r="AF16" s="101">
        <f>テーブル4[[#This Row],[半径方向応力:Δ0℃]]*2*寸法→圧入力!D$24^2/(寸法→圧入力!D$24^2-寸法→圧入力!F$25^2)</f>
        <v>224.11271916784389</v>
      </c>
      <c r="AG16" s="101">
        <f>テーブル4[[#This Row],[半径方向応力:Δ+10℃]]*2*寸法→圧入力!D$24^2/(寸法→圧入力!D$24^2-寸法→圧入力!F$25^2)</f>
        <v>206.22666610017208</v>
      </c>
      <c r="AH16" s="101">
        <f>テーブル4[[#This Row],[半径方向応力:Δ+20℃]]*2*寸法→圧入力!D$24^2/(寸法→圧入力!D$24^2-寸法→圧入力!F$25^2)</f>
        <v>188.34061303248683</v>
      </c>
      <c r="AI16" s="101">
        <f>テーブル4[[#This Row],[半径方向応力:Δ+30℃]]*2*寸法→圧入力!D$24^2/(寸法→圧入力!D$24^2-寸法→圧入力!F$25^2)</f>
        <v>170.4545599648016</v>
      </c>
      <c r="AJ16" s="101">
        <f>寸法→圧入力!$D$30</f>
        <v>345</v>
      </c>
      <c r="AK16" s="101">
        <f>テーブル4[[#This Row],[半径方向応力:Δ-30℃]]* (1+(寸法→圧入力!D$34/寸法→圧入力!F$33)^2)/((寸法→圧入力!D$34/寸法→圧入力!F$33)^2-1)</f>
        <v>150.22883024107767</v>
      </c>
      <c r="AL16" s="101">
        <f>テーブル4[[#This Row],[半径方向応力:Δ-20℃]]* (1+(寸法→圧入力!D$34/寸法→圧入力!F$33)^2)/((寸法→圧入力!D$34/寸法→圧入力!F$33)^2-1)</f>
        <v>140.5553869854439</v>
      </c>
      <c r="AM16" s="101">
        <f>テーブル4[[#This Row],[半径方向応力:Δ-10℃]]* (1+(寸法→圧入力!D$34/寸法→圧入力!F$33)^2)/((寸法→圧入力!D$34/寸法→圧入力!F$33)^2-1)</f>
        <v>130.88194372981741</v>
      </c>
      <c r="AN16" s="101">
        <f>テーブル4[[#This Row],[半径方向応力:Δ0℃]]* (1+(寸法→圧入力!D$34/寸法→圧入力!F$33)^2)/((寸法→圧入力!D$34/寸法→圧入力!F$33)^2-1)</f>
        <v>121.20850047419088</v>
      </c>
      <c r="AO16" s="101">
        <f>テーブル4[[#This Row],[半径方向応力:Δ+10℃]]* (1+(寸法→圧入力!D$34/寸法→圧入力!F$33)^2)/((寸法→圧入力!D$34/寸法→圧入力!F$33)^2-1)</f>
        <v>111.53505721856435</v>
      </c>
      <c r="AP16" s="101">
        <f>テーブル4[[#This Row],[半径方向応力:Δ+20℃]]* (1+(寸法→圧入力!D$34/寸法→圧入力!F$33)^2)/((寸法→圧入力!D$34/寸法→圧入力!F$33)^2-1)</f>
        <v>101.86161396293056</v>
      </c>
      <c r="AQ16" s="101">
        <f>テーブル4[[#This Row],[半径方向応力:Δ+30℃]]* (1+(寸法→圧入力!D$34/寸法→圧入力!F$33)^2)/((寸法→圧入力!D$34/寸法→圧入力!F$33)^2-1)</f>
        <v>92.188170707296777</v>
      </c>
      <c r="AR16" s="101">
        <f>寸法→圧入力!$D$39</f>
        <v>150</v>
      </c>
    </row>
    <row r="17" spans="1:44">
      <c r="A17" s="179">
        <f t="shared" si="0"/>
        <v>0.11</v>
      </c>
      <c r="B17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56.490728924097048</v>
      </c>
      <c r="C17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57.074550826312546</v>
      </c>
      <c r="D17" s="101">
        <f>(A17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57.651783437804475</v>
      </c>
      <c r="E17" s="101">
        <f>テーブル3[[#This Row],[半径方向応力min]]*寸法→圧入力!D$46*寸法→圧入力!D$5/1000</f>
        <v>9.8417731991441428</v>
      </c>
      <c r="F17" s="101">
        <f>テーブル3[[#This Row],[半径方向応力min]]*寸法→圧入力!E$46*寸法→圧入力!E$5/1000</f>
        <v>12.568464049380708</v>
      </c>
      <c r="G17" s="101">
        <f>テーブル3[[#This Row],[半径方向応力min]]*寸法→圧入力!F$46*寸法→圧入力!F$5/1000</f>
        <v>15.404737546960666</v>
      </c>
      <c r="H17" s="101">
        <f>寸法→圧入力!$D$30</f>
        <v>345</v>
      </c>
      <c r="I17" s="101">
        <f>寸法→圧入力!$D$39</f>
        <v>150</v>
      </c>
      <c r="J17" s="101">
        <f>テーブル3[[#This Row],[半径方向応力nor]]*2*寸法→圧入力!E$24^2/(寸法→圧入力!E$24^2-寸法→圧入力!E$25^2)</f>
        <v>205.43186783974437</v>
      </c>
      <c r="K17" s="101">
        <f>テーブル3[[#This Row],[半径方向応力nor]]* (1+(寸法→圧入力!E$34/寸法→圧入力!E$33)^2)/((寸法→圧入力!E$34/寸法→圧入力!E$33)^2-1)</f>
        <v>109.65225659425965</v>
      </c>
      <c r="N17">
        <f t="shared" si="1"/>
        <v>5</v>
      </c>
      <c r="O17" s="179">
        <f>寸法→圧入力!F$24*(1+寸法→圧入力!D$29*10^-6*(テーブル4[[#This Row],[inner温度'[℃']]]-20)) - 寸法→圧入力!D$33*(1+寸法→圧入力!D$38*10^-6*(テーブル4[[#This Row],[inner温度'[℃']]]+O$3-20))</f>
        <v>0.14439621500000044</v>
      </c>
      <c r="P17" s="179">
        <f>寸法→圧入力!F$24*(1+寸法→圧入力!D$29*10^-6*(テーブル4[[#This Row],[inner温度'[℃']]]-20)) - 寸法→圧入力!D$33*(1+寸法→圧入力!D$38*10^-6*(テーブル4[[#This Row],[inner温度'[℃']]]+P$3-20))</f>
        <v>0.13496721500000319</v>
      </c>
      <c r="Q17" s="179">
        <f>寸法→圧入力!F$24*(1+寸法→圧入力!D$29*10^-6*(テーブル4[[#This Row],[inner温度'[℃']]]-20)) - 寸法→圧入力!D$33*(1+寸法→圧入力!D$38*10^-6*(テーブル4[[#This Row],[inner温度'[℃']]]+Q$3-20))</f>
        <v>0.12553821499999884</v>
      </c>
      <c r="R17" s="179">
        <f>寸法→圧入力!F$24*(1+寸法→圧入力!D$29*10^-6*(テーブル4[[#This Row],[inner温度'[℃']]]-20)) - 寸法→圧入力!D$33*(1+寸法→圧入力!D$38*10^-6*(テーブル4[[#This Row],[inner温度'[℃']]]+R$3-20))</f>
        <v>0.11610921499999449</v>
      </c>
      <c r="S17" s="179">
        <f>寸法→圧入力!F$24*(1+寸法→圧入力!D$29*10^-6*(テーブル4[[#This Row],[inner温度'[℃']]]-20)) - 寸法→圧入力!D$33*(1+寸法→圧入力!D$38*10^-6*(テーブル4[[#This Row],[inner温度'[℃']]]+S$3-20))</f>
        <v>0.10668021499999725</v>
      </c>
      <c r="T17" s="179">
        <f>寸法→圧入力!F$24*(1+寸法→圧入力!D$29*10^-6*(テーブル4[[#This Row],[inner温度'[℃']]]-20)) - 寸法→圧入力!D$33*(1+寸法→圧入力!D$38*10^-6*(テーブル4[[#This Row],[inner温度'[℃']]]+T$3-20))</f>
        <v>9.7251215000000002E-2</v>
      </c>
      <c r="U17" s="179">
        <f>寸法→圧入力!F$24*(1+寸法→圧入力!D$29*10^-6*(テーブル4[[#This Row],[inner温度'[℃']]]-20)) - 寸法→圧入力!D$33*(1+寸法→圧入力!D$38*10^-6*(テーブル4[[#This Row],[inner温度'[℃']]]+U$3-20))</f>
        <v>8.7822214999995651E-2</v>
      </c>
      <c r="V17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75.679084694715272</v>
      </c>
      <c r="W17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70.737278639852548</v>
      </c>
      <c r="X17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65.795472584986101</v>
      </c>
      <c r="Y17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60.853666530119646</v>
      </c>
      <c r="Z17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55.91186047525693</v>
      </c>
      <c r="AA17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50.970054420394206</v>
      </c>
      <c r="AB17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46.028248365527759</v>
      </c>
      <c r="AC17" s="101">
        <f>テーブル4[[#This Row],[半径方向応力:Δ-30℃]]*2*寸法→圧入力!D$24^2/(寸法→圧入力!D$24^2-寸法→圧入力!F$25^2)</f>
        <v>273.90798221038341</v>
      </c>
      <c r="AD17" s="101">
        <f>テーブル4[[#This Row],[半径方向応力:Δ-20℃]]*2*寸法→圧入力!D$24^2/(寸法→圧入力!D$24^2-寸法→圧入力!F$25^2)</f>
        <v>256.0219291427116</v>
      </c>
      <c r="AE17" s="101">
        <f>テーブル4[[#This Row],[半径方向応力:Δ-10℃]]*2*寸法→圧入力!D$24^2/(寸法→圧入力!D$24^2-寸法→圧入力!F$25^2)</f>
        <v>238.13587607502637</v>
      </c>
      <c r="AF17" s="101">
        <f>テーブル4[[#This Row],[半径方向応力:Δ0℃]]*2*寸法→圧入力!D$24^2/(寸法→圧入力!D$24^2-寸法→圧入力!F$25^2)</f>
        <v>220.24982300734109</v>
      </c>
      <c r="AG17" s="101">
        <f>テーブル4[[#This Row],[半径方向応力:Δ+10℃]]*2*寸法→圧入力!D$24^2/(寸法→圧入力!D$24^2-寸法→圧入力!F$25^2)</f>
        <v>202.36376993966934</v>
      </c>
      <c r="AH17" s="101">
        <f>テーブル4[[#This Row],[半径方向応力:Δ+20℃]]*2*寸法→圧入力!D$24^2/(寸法→圧入力!D$24^2-寸法→圧入力!F$25^2)</f>
        <v>184.47771687199759</v>
      </c>
      <c r="AI17" s="101">
        <f>テーブル4[[#This Row],[半径方向応力:Δ+30℃]]*2*寸法→圧入力!D$24^2/(寸法→圧入力!D$24^2-寸法→圧入力!F$25^2)</f>
        <v>166.59166380431233</v>
      </c>
      <c r="AJ17" s="101">
        <f>寸法→圧入力!$D$30</f>
        <v>345</v>
      </c>
      <c r="AK17" s="101">
        <f>テーブル4[[#This Row],[半径方向応力:Δ-30℃]]* (1+(寸法→圧入力!D$34/寸法→圧入力!F$33)^2)/((寸法→圧入力!D$34/寸法→圧入力!F$33)^2-1)</f>
        <v>148.13963221234039</v>
      </c>
      <c r="AL17" s="101">
        <f>テーブル4[[#This Row],[半径方向応力:Δ-20℃]]* (1+(寸法→圧入力!D$34/寸法→圧入力!F$33)^2)/((寸法→圧入力!D$34/寸法→圧入力!F$33)^2-1)</f>
        <v>138.46618895671389</v>
      </c>
      <c r="AM17" s="101">
        <f>テーブル4[[#This Row],[半径方向応力:Δ-10℃]]* (1+(寸法→圧入力!D$34/寸法→圧入力!F$33)^2)/((寸法→圧入力!D$34/寸法→圧入力!F$33)^2-1)</f>
        <v>128.79274570108009</v>
      </c>
      <c r="AN17" s="101">
        <f>テーブル4[[#This Row],[半径方向応力:Δ0℃]]* (1+(寸法→圧入力!D$34/寸法→圧入力!F$33)^2)/((寸法→圧入力!D$34/寸法→圧入力!F$33)^2-1)</f>
        <v>119.11930244544628</v>
      </c>
      <c r="AO17" s="101">
        <f>テーブル4[[#This Row],[半径方向応力:Δ+10℃]]* (1+(寸法→圧入力!D$34/寸法→圧入力!F$33)^2)/((寸法→圧入力!D$34/寸法→圧入力!F$33)^2-1)</f>
        <v>109.44585918981979</v>
      </c>
      <c r="AP17" s="101">
        <f>テーブル4[[#This Row],[半径方向応力:Δ+20℃]]* (1+(寸法→圧入力!D$34/寸法→圧入力!F$33)^2)/((寸法→圧入力!D$34/寸法→圧入力!F$33)^2-1)</f>
        <v>99.772415934193276</v>
      </c>
      <c r="AQ17" s="101">
        <f>テーブル4[[#This Row],[半径方向応力:Δ+30℃]]* (1+(寸法→圧入力!D$34/寸法→圧入力!F$33)^2)/((寸法→圧入力!D$34/寸法→圧入力!F$33)^2-1)</f>
        <v>90.098972678559477</v>
      </c>
      <c r="AR17" s="101">
        <f>寸法→圧入力!$D$39</f>
        <v>150</v>
      </c>
    </row>
    <row r="18" spans="1:44">
      <c r="A18" s="179">
        <f t="shared" si="0"/>
        <v>0.12</v>
      </c>
      <c r="B18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61.6262497353786</v>
      </c>
      <c r="C18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62.26314635597732</v>
      </c>
      <c r="D18" s="101">
        <f>(A18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62.892854659423065</v>
      </c>
      <c r="E18" s="101">
        <f>テーブル3[[#This Row],[半径方向応力min]]*寸法→圧入力!D$46*寸法→圧入力!D$5/1000</f>
        <v>10.736479853611794</v>
      </c>
      <c r="F18" s="101">
        <f>テーブル3[[#This Row],[半径方向応力min]]*寸法→圧入力!E$46*寸法→圧入力!E$5/1000</f>
        <v>13.711051690233496</v>
      </c>
      <c r="G18" s="101">
        <f>テーブル3[[#This Row],[半径方向応力min]]*寸法→圧入力!F$46*寸法→圧入力!F$5/1000</f>
        <v>16.805168233048004</v>
      </c>
      <c r="H18" s="101">
        <f>寸法→圧入力!$D$30</f>
        <v>345</v>
      </c>
      <c r="I18" s="101">
        <f>寸法→圧入力!$D$39</f>
        <v>150</v>
      </c>
      <c r="J18" s="101">
        <f>テーブル3[[#This Row],[半径方向応力nor]]*2*寸法→圧入力!E$24^2/(寸法→圧入力!E$24^2-寸法→圧入力!E$25^2)</f>
        <v>224.10749218881205</v>
      </c>
      <c r="K18" s="101">
        <f>テーブル3[[#This Row],[半径方向応力nor]]* (1+(寸法→圧入力!E$34/寸法→圧入力!E$33)^2)/((寸法→圧入力!E$34/寸法→圧入力!E$33)^2-1)</f>
        <v>119.62064355737417</v>
      </c>
      <c r="N18">
        <f t="shared" si="1"/>
        <v>10</v>
      </c>
      <c r="O18" s="179">
        <f>寸法→圧入力!F$24*(1+寸法→圧入力!D$29*10^-6*(テーブル4[[#This Row],[inner温度'[℃']]]-20)) - 寸法→圧入力!D$33*(1+寸法→圧入力!D$38*10^-6*(テーブル4[[#This Row],[inner温度'[℃']]]+O$3-20))</f>
        <v>0.14235980999999498</v>
      </c>
      <c r="P18" s="179">
        <f>寸法→圧入力!F$24*(1+寸法→圧入力!D$29*10^-6*(テーブル4[[#This Row],[inner温度'[℃']]]-20)) - 寸法→圧入力!D$33*(1+寸法→圧入力!D$38*10^-6*(テーブル4[[#This Row],[inner温度'[℃']]]+P$3-20))</f>
        <v>0.13293080999999773</v>
      </c>
      <c r="Q18" s="179">
        <f>寸法→圧入力!F$24*(1+寸法→圧入力!D$29*10^-6*(テーブル4[[#This Row],[inner温度'[℃']]]-20)) - 寸法→圧入力!D$33*(1+寸法→圧入力!D$38*10^-6*(テーブル4[[#This Row],[inner温度'[℃']]]+Q$3-20))</f>
        <v>0.12350181000000049</v>
      </c>
      <c r="R18" s="179">
        <f>寸法→圧入力!F$24*(1+寸法→圧入力!D$29*10^-6*(テーブル4[[#This Row],[inner温度'[℃']]]-20)) - 寸法→圧入力!D$33*(1+寸法→圧入力!D$38*10^-6*(テーブル4[[#This Row],[inner温度'[℃']]]+R$3-20))</f>
        <v>0.11407281000000324</v>
      </c>
      <c r="S18" s="179">
        <f>寸法→圧入力!F$24*(1+寸法→圧入力!D$29*10^-6*(テーブル4[[#This Row],[inner温度'[℃']]]-20)) - 寸法→圧入力!D$33*(1+寸法→圧入力!D$38*10^-6*(テーブル4[[#This Row],[inner温度'[℃']]]+S$3-20))</f>
        <v>0.10464380999999889</v>
      </c>
      <c r="T18" s="179">
        <f>寸法→圧入力!F$24*(1+寸法→圧入力!D$29*10^-6*(テーブル4[[#This Row],[inner温度'[℃']]]-20)) - 寸法→圧入力!D$33*(1+寸法→圧入力!D$38*10^-6*(テーブル4[[#This Row],[inner温度'[℃']]]+T$3-20))</f>
        <v>9.5214809999994543E-2</v>
      </c>
      <c r="U18" s="179">
        <f>寸法→圧入力!F$24*(1+寸法→圧入力!D$29*10^-6*(テーブル4[[#This Row],[inner温度'[℃']]]-20)) - 寸法→圧入力!D$33*(1+寸法→圧入力!D$38*10^-6*(テーブル4[[#This Row],[inner温度'[℃']]]+U$3-20))</f>
        <v>8.5785809999997298E-2</v>
      </c>
      <c r="V18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74.611790330606397</v>
      </c>
      <c r="W18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69.669984275743673</v>
      </c>
      <c r="X18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64.728178220880949</v>
      </c>
      <c r="Y18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59.786372166018218</v>
      </c>
      <c r="Z18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54.844566111151771</v>
      </c>
      <c r="AA18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49.902760056285324</v>
      </c>
      <c r="AB18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44.9609540014226</v>
      </c>
      <c r="AC18" s="101">
        <f>テーブル4[[#This Row],[半径方向応力:Δ-30℃]]*2*寸法→圧入力!D$24^2/(寸法→圧入力!D$24^2-寸法→圧入力!F$25^2)</f>
        <v>270.04508604988069</v>
      </c>
      <c r="AD18" s="101">
        <f>テーブル4[[#This Row],[半径方向応力:Δ-20℃]]*2*寸法→圧入力!D$24^2/(寸法→圧入力!D$24^2-寸法→圧入力!F$25^2)</f>
        <v>252.15903298220891</v>
      </c>
      <c r="AE18" s="101">
        <f>テーブル4[[#This Row],[半径方向応力:Δ-10℃]]*2*寸法→圧入力!D$24^2/(寸法→圧入力!D$24^2-寸法→圧入力!F$25^2)</f>
        <v>234.27297991453713</v>
      </c>
      <c r="AF18" s="101">
        <f>テーブル4[[#This Row],[半径方向応力:Δ0℃]]*2*寸法→圧入力!D$24^2/(寸法→圧入力!D$24^2-寸法→圧入力!F$25^2)</f>
        <v>216.38692684686532</v>
      </c>
      <c r="AG18" s="101">
        <f>テーブル4[[#This Row],[半径方向応力:Δ+10℃]]*2*寸法→圧入力!D$24^2/(寸法→圧入力!D$24^2-寸法→圧入力!F$25^2)</f>
        <v>198.50087377918007</v>
      </c>
      <c r="AH18" s="101">
        <f>テーブル4[[#This Row],[半径方向応力:Δ+20℃]]*2*寸法→圧入力!D$24^2/(寸法→圧入力!D$24^2-寸法→圧入力!F$25^2)</f>
        <v>180.61482071149484</v>
      </c>
      <c r="AI18" s="101">
        <f>テーブル4[[#This Row],[半径方向応力:Δ+30℃]]*2*寸法→圧入力!D$24^2/(寸法→圧入力!D$24^2-寸法→圧入力!F$25^2)</f>
        <v>162.72876764382306</v>
      </c>
      <c r="AJ18" s="101">
        <f>寸法→圧入力!$D$30</f>
        <v>345</v>
      </c>
      <c r="AK18" s="101">
        <f>テーブル4[[#This Row],[半径方向応力:Δ-30℃]]* (1+(寸法→圧入力!D$34/寸法→圧入力!F$33)^2)/((寸法→圧入力!D$34/寸法→圧入力!F$33)^2-1)</f>
        <v>146.05043418359583</v>
      </c>
      <c r="AL18" s="101">
        <f>テーブル4[[#This Row],[半径方向応力:Δ-20℃]]* (1+(寸法→圧入力!D$34/寸法→圧入力!F$33)^2)/((寸法→圧入力!D$34/寸法→圧入力!F$33)^2-1)</f>
        <v>136.37699092796933</v>
      </c>
      <c r="AM18" s="101">
        <f>テーブル4[[#This Row],[半径方向応力:Δ-10℃]]* (1+(寸法→圧入力!D$34/寸法→圧入力!F$33)^2)/((寸法→圧入力!D$34/寸法→圧入力!F$33)^2-1)</f>
        <v>126.70354767234281</v>
      </c>
      <c r="AN18" s="101">
        <f>テーブル4[[#This Row],[半径方向応力:Δ0℃]]* (1+(寸法→圧入力!D$34/寸法→圧入力!F$33)^2)/((寸法→圧入力!D$34/寸法→圧入力!F$33)^2-1)</f>
        <v>117.03010441671628</v>
      </c>
      <c r="AO18" s="101">
        <f>テーブル4[[#This Row],[半径方向応力:Δ+10℃]]* (1+(寸法→圧入力!D$34/寸法→圧入力!F$33)^2)/((寸法→圧入力!D$34/寸法→圧入力!F$33)^2-1)</f>
        <v>107.3566611610825</v>
      </c>
      <c r="AP18" s="101">
        <f>テーブル4[[#This Row],[半径方向応力:Δ+20℃]]* (1+(寸法→圧入力!D$34/寸法→圧入力!F$33)^2)/((寸法→圧入力!D$34/寸法→圧入力!F$33)^2-1)</f>
        <v>97.683217905448686</v>
      </c>
      <c r="AQ18" s="101">
        <f>テーブル4[[#This Row],[半径方向応力:Δ+30℃]]* (1+(寸法→圧入力!D$34/寸法→圧入力!F$33)^2)/((寸法→圧入力!D$34/寸法→圧入力!F$33)^2-1)</f>
        <v>88.009774649822191</v>
      </c>
      <c r="AR18" s="101">
        <f>寸法→圧入力!$D$39</f>
        <v>150</v>
      </c>
    </row>
    <row r="19" spans="1:44">
      <c r="A19" s="179">
        <f t="shared" si="0"/>
        <v>0.13</v>
      </c>
      <c r="B19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66.761770546660159</v>
      </c>
      <c r="C19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67.451741885642107</v>
      </c>
      <c r="D19" s="101">
        <f>(A19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68.133925881041662</v>
      </c>
      <c r="E19" s="101">
        <f>テーブル3[[#This Row],[半径方向応力min]]*寸法→圧入力!D$46*寸法→圧入力!D$5/1000</f>
        <v>11.631186508079443</v>
      </c>
      <c r="F19" s="101">
        <f>テーブル3[[#This Row],[半径方向応力min]]*寸法→圧入力!E$46*寸法→圧入力!E$5/1000</f>
        <v>14.853639331086292</v>
      </c>
      <c r="G19" s="101">
        <f>テーブル3[[#This Row],[半径方向応力min]]*寸法→圧入力!F$46*寸法→圧入力!F$5/1000</f>
        <v>18.20559891913534</v>
      </c>
      <c r="H19" s="101">
        <f>寸法→圧入力!$D$30</f>
        <v>345</v>
      </c>
      <c r="I19" s="101">
        <f>寸法→圧入力!$D$39</f>
        <v>150</v>
      </c>
      <c r="J19" s="101">
        <f>テーブル3[[#This Row],[半径方向応力nor]]*2*寸法→圧入力!E$24^2/(寸法→圧入力!E$24^2-寸法→圧入力!E$25^2)</f>
        <v>242.78311653787975</v>
      </c>
      <c r="K19" s="101">
        <f>テーブル3[[#This Row],[半径方向応力nor]]* (1+(寸法→圧入力!E$34/寸法→圧入力!E$33)^2)/((寸法→圧入力!E$34/寸法→圧入力!E$33)^2-1)</f>
        <v>129.58903052048871</v>
      </c>
      <c r="N19">
        <f t="shared" si="1"/>
        <v>15</v>
      </c>
      <c r="O19" s="179">
        <f>寸法→圧入力!F$24*(1+寸法→圧入力!D$29*10^-6*(テーブル4[[#This Row],[inner温度'[℃']]]-20)) - 寸法→圧入力!D$33*(1+寸法→圧入力!D$38*10^-6*(テーブル4[[#This Row],[inner温度'[℃']]]+O$3-20))</f>
        <v>0.14032340500000373</v>
      </c>
      <c r="P19" s="179">
        <f>寸法→圧入力!F$24*(1+寸法→圧入力!D$29*10^-6*(テーブル4[[#This Row],[inner温度'[℃']]]-20)) - 寸法→圧入力!D$33*(1+寸法→圧入力!D$38*10^-6*(テーブル4[[#This Row],[inner温度'[℃']]]+P$3-20))</f>
        <v>0.13089440499999938</v>
      </c>
      <c r="Q19" s="179">
        <f>寸法→圧入力!F$24*(1+寸法→圧入力!D$29*10^-6*(テーブル4[[#This Row],[inner温度'[℃']]]-20)) - 寸法→圧入力!D$33*(1+寸法→圧入力!D$38*10^-6*(テーブル4[[#This Row],[inner温度'[℃']]]+Q$3-20))</f>
        <v>0.12146540499999503</v>
      </c>
      <c r="R19" s="179">
        <f>寸法→圧入力!F$24*(1+寸法→圧入力!D$29*10^-6*(テーブル4[[#This Row],[inner温度'[℃']]]-20)) - 寸法→圧入力!D$33*(1+寸法→圧入力!D$38*10^-6*(テーブル4[[#This Row],[inner温度'[℃']]]+R$3-20))</f>
        <v>0.11203640499999779</v>
      </c>
      <c r="S19" s="179">
        <f>寸法→圧入力!F$24*(1+寸法→圧入力!D$29*10^-6*(テーブル4[[#This Row],[inner温度'[℃']]]-20)) - 寸法→圧入力!D$33*(1+寸法→圧入力!D$38*10^-6*(テーブル4[[#This Row],[inner温度'[℃']]]+S$3-20))</f>
        <v>0.10260740500000054</v>
      </c>
      <c r="T19" s="179">
        <f>寸法→圧入力!F$24*(1+寸法→圧入力!D$29*10^-6*(テーブル4[[#This Row],[inner温度'[℃']]]-20)) - 寸法→圧入力!D$33*(1+寸法→圧入力!D$38*10^-6*(テーブル4[[#This Row],[inner温度'[℃']]]+T$3-20))</f>
        <v>9.3178404999996189E-2</v>
      </c>
      <c r="U19" s="179">
        <f>寸法→圧入力!F$24*(1+寸法→圧入力!D$29*10^-6*(テーブル4[[#This Row],[inner温度'[℃']]]-20)) - 寸法→圧入力!D$33*(1+寸法→圧入力!D$38*10^-6*(テーブル4[[#This Row],[inner温度'[℃']]]+U$3-20))</f>
        <v>8.3749404999991839E-2</v>
      </c>
      <c r="V19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73.544495966504954</v>
      </c>
      <c r="W19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68.602689911638507</v>
      </c>
      <c r="X19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63.66088385677206</v>
      </c>
      <c r="Y19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58.719077801909336</v>
      </c>
      <c r="Z19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53.777271747046612</v>
      </c>
      <c r="AA19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48.835465692180172</v>
      </c>
      <c r="AB19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43.893659637313718</v>
      </c>
      <c r="AC19" s="101">
        <f>テーブル4[[#This Row],[半径方向応力:Δ-30℃]]*2*寸法→圧入力!D$24^2/(寸法→圧入力!D$24^2-寸法→圧入力!F$25^2)</f>
        <v>266.18218988940487</v>
      </c>
      <c r="AD19" s="101">
        <f>テーブル4[[#This Row],[半径方向応力:Δ-20℃]]*2*寸法→圧入力!D$24^2/(寸法→圧入力!D$24^2-寸法→圧入力!F$25^2)</f>
        <v>248.29613682171961</v>
      </c>
      <c r="AE19" s="101">
        <f>テーブル4[[#This Row],[半径方向応力:Δ-10℃]]*2*寸法→圧入力!D$24^2/(寸法→圧入力!D$24^2-寸法→圧入力!F$25^2)</f>
        <v>230.41008375403433</v>
      </c>
      <c r="AF19" s="101">
        <f>テーブル4[[#This Row],[半径方向応力:Δ0℃]]*2*寸法→圧入力!D$24^2/(寸法→圧入力!D$24^2-寸法→圧入力!F$25^2)</f>
        <v>212.52403068636258</v>
      </c>
      <c r="AG19" s="101">
        <f>テーブル4[[#This Row],[半径方向応力:Δ+10℃]]*2*寸法→圧入力!D$24^2/(寸法→圧入力!D$24^2-寸法→圧入力!F$25^2)</f>
        <v>194.6379776186908</v>
      </c>
      <c r="AH19" s="101">
        <f>テーブル4[[#This Row],[半径方向応力:Δ+20℃]]*2*寸法→圧入力!D$24^2/(寸法→圧入力!D$24^2-寸法→圧入力!F$25^2)</f>
        <v>176.75192455100557</v>
      </c>
      <c r="AI19" s="101">
        <f>テーブル4[[#This Row],[半径方向応力:Δ+30℃]]*2*寸法→圧入力!D$24^2/(寸法→圧入力!D$24^2-寸法→圧入力!F$25^2)</f>
        <v>158.86587148332032</v>
      </c>
      <c r="AJ19" s="101">
        <f>寸法→圧入力!$D$30</f>
        <v>345</v>
      </c>
      <c r="AK19" s="101">
        <f>テーブル4[[#This Row],[半径方向応力:Δ-30℃]]* (1+(寸法→圧入力!D$34/寸法→圧入力!F$33)^2)/((寸法→圧入力!D$34/寸法→圧入力!F$33)^2-1)</f>
        <v>143.96123615486582</v>
      </c>
      <c r="AL19" s="101">
        <f>テーブル4[[#This Row],[半径方向応力:Δ-20℃]]* (1+(寸法→圧入力!D$34/寸法→圧入力!F$33)^2)/((寸法→圧入力!D$34/寸法→圧入力!F$33)^2-1)</f>
        <v>134.28779289923202</v>
      </c>
      <c r="AM19" s="101">
        <f>テーブル4[[#This Row],[半径方向応力:Δ-10℃]]* (1+(寸法→圧入力!D$34/寸法→圧入力!F$33)^2)/((寸法→圧入力!D$34/寸法→圧入力!F$33)^2-1)</f>
        <v>124.61434964359823</v>
      </c>
      <c r="AN19" s="101">
        <f>テーブル4[[#This Row],[半径方向応力:Δ0℃]]* (1+(寸法→圧入力!D$34/寸法→圧入力!F$33)^2)/((寸法→圧入力!D$34/寸法→圧入力!F$33)^2-1)</f>
        <v>114.94090638797171</v>
      </c>
      <c r="AO19" s="101">
        <f>テーブル4[[#This Row],[半径方向応力:Δ+10℃]]* (1+(寸法→圧入力!D$34/寸法→圧入力!F$33)^2)/((寸法→圧入力!D$34/寸法→圧入力!F$33)^2-1)</f>
        <v>105.2674631323452</v>
      </c>
      <c r="AP19" s="101">
        <f>テーブル4[[#This Row],[半径方向応力:Δ+20℃]]* (1+(寸法→圧入力!D$34/寸法→圧入力!F$33)^2)/((寸法→圧入力!D$34/寸法→圧入力!F$33)^2-1)</f>
        <v>95.594019876711414</v>
      </c>
      <c r="AQ19" s="101">
        <f>テーブル4[[#This Row],[半径方向応力:Δ+30℃]]* (1+(寸法→圧入力!D$34/寸法→圧入力!F$33)^2)/((寸法→圧入力!D$34/寸法→圧入力!F$33)^2-1)</f>
        <v>85.920576621077615</v>
      </c>
      <c r="AR19" s="101">
        <f>寸法→圧入力!$D$39</f>
        <v>150</v>
      </c>
    </row>
    <row r="20" spans="1:44">
      <c r="A20" s="179">
        <f t="shared" si="0"/>
        <v>0.14000000000000001</v>
      </c>
      <c r="B20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71.897291357941711</v>
      </c>
      <c r="C20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72.640337415306874</v>
      </c>
      <c r="D20" s="101">
        <f>(A20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73.374997102660245</v>
      </c>
      <c r="E20" s="101">
        <f>テーブル3[[#This Row],[半径方向応力min]]*寸法→圧入力!D$46*寸法→圧入力!D$5/1000</f>
        <v>12.525893162547094</v>
      </c>
      <c r="F20" s="101">
        <f>テーブル3[[#This Row],[半径方向応力min]]*寸法→圧入力!E$46*寸法→圧入力!E$5/1000</f>
        <v>15.996226971939084</v>
      </c>
      <c r="G20" s="101">
        <f>テーブル3[[#This Row],[半径方向応力min]]*寸法→圧入力!F$46*寸法→圧入力!F$5/1000</f>
        <v>19.606029605222673</v>
      </c>
      <c r="H20" s="101">
        <f>寸法→圧入力!$D$30</f>
        <v>345</v>
      </c>
      <c r="I20" s="101">
        <f>寸法→圧入力!$D$39</f>
        <v>150</v>
      </c>
      <c r="J20" s="101">
        <f>テーブル3[[#This Row],[半径方向応力nor]]*2*寸法→圧入力!E$24^2/(寸法→圧入力!E$24^2-寸法→圧入力!E$25^2)</f>
        <v>261.4587408869474</v>
      </c>
      <c r="K20" s="101">
        <f>テーブル3[[#This Row],[半径方向応力nor]]* (1+(寸法→圧入力!E$34/寸法→圧入力!E$33)^2)/((寸法→圧入力!E$34/寸法→圧入力!E$33)^2-1)</f>
        <v>139.55741748360319</v>
      </c>
      <c r="N20">
        <f t="shared" si="1"/>
        <v>20</v>
      </c>
      <c r="O20" s="179">
        <f>寸法→圧入力!F$24*(1+寸法→圧入力!D$29*10^-6*(テーブル4[[#This Row],[inner温度'[℃']]]-20)) - 寸法→圧入力!D$33*(1+寸法→圧入力!D$38*10^-6*(テーブル4[[#This Row],[inner温度'[℃']]]+O$3-20))</f>
        <v>0.13828699999999827</v>
      </c>
      <c r="P20" s="179">
        <f>寸法→圧入力!F$24*(1+寸法→圧入力!D$29*10^-6*(テーブル4[[#This Row],[inner温度'[℃']]]-20)) - 寸法→圧入力!D$33*(1+寸法→圧入力!D$38*10^-6*(テーブル4[[#This Row],[inner温度'[℃']]]+P$3-20))</f>
        <v>0.12885800000000103</v>
      </c>
      <c r="Q20" s="179">
        <f>寸法→圧入力!F$24*(1+寸法→圧入力!D$29*10^-6*(テーブル4[[#This Row],[inner温度'[℃']]]-20)) - 寸法→圧入力!D$33*(1+寸法→圧入力!D$38*10^-6*(テーブル4[[#This Row],[inner温度'[℃']]]+Q$3-20))</f>
        <v>0.11942900000000378</v>
      </c>
      <c r="R20" s="179">
        <f>寸法→圧入力!F$24*(1+寸法→圧入力!D$29*10^-6*(テーブル4[[#This Row],[inner温度'[℃']]]-20)) - 寸法→圧入力!D$33*(1+寸法→圧入力!D$38*10^-6*(テーブル4[[#This Row],[inner温度'[℃']]]+R$3-20))</f>
        <v>0.10999999999999943</v>
      </c>
      <c r="S20" s="179">
        <f>寸法→圧入力!F$24*(1+寸法→圧入力!D$29*10^-6*(テーブル4[[#This Row],[inner温度'[℃']]]-20)) - 寸法→圧入力!D$33*(1+寸法→圧入力!D$38*10^-6*(テーブル4[[#This Row],[inner温度'[℃']]]+S$3-20))</f>
        <v>0.10057099999999508</v>
      </c>
      <c r="T20" s="179">
        <f>寸法→圧入力!F$24*(1+寸法→圧入力!D$29*10^-6*(テーブル4[[#This Row],[inner温度'[℃']]]-20)) - 寸法→圧入力!D$33*(1+寸法→圧入力!D$38*10^-6*(テーブル4[[#This Row],[inner温度'[℃']]]+T$3-20))</f>
        <v>9.1141999999997836E-2</v>
      </c>
      <c r="U20" s="179">
        <f>寸法→圧入力!F$24*(1+寸法→圧入力!D$29*10^-6*(テーブル4[[#This Row],[inner温度'[℃']]]-20)) - 寸法→圧入力!D$33*(1+寸法→圧入力!D$38*10^-6*(テーブル4[[#This Row],[inner温度'[℃']]]+U$3-20))</f>
        <v>8.1713000000000591E-2</v>
      </c>
      <c r="V20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72.477201602396079</v>
      </c>
      <c r="W20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67.535395547533341</v>
      </c>
      <c r="X20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62.593589492670624</v>
      </c>
      <c r="Y20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57.651783437804184</v>
      </c>
      <c r="Z20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52.709977382937737</v>
      </c>
      <c r="AA20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47.768171328075013</v>
      </c>
      <c r="AB20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42.826365273212289</v>
      </c>
      <c r="AC20" s="101">
        <f>テーブル4[[#This Row],[半径方向応力:Δ-30℃]]*2*寸法→圧入力!D$24^2/(寸法→圧入力!D$24^2-寸法→圧入力!F$25^2)</f>
        <v>262.3192937289021</v>
      </c>
      <c r="AD20" s="101">
        <f>テーブル4[[#This Row],[半径方向応力:Δ-20℃]]*2*寸法→圧入力!D$24^2/(寸法→圧入力!D$24^2-寸法→圧入力!F$25^2)</f>
        <v>244.43324066123029</v>
      </c>
      <c r="AE20" s="101">
        <f>テーブル4[[#This Row],[半径方向応力:Δ-10℃]]*2*寸法→圧入力!D$24^2/(寸法→圧入力!D$24^2-寸法→圧入力!F$25^2)</f>
        <v>226.54718759355856</v>
      </c>
      <c r="AF20" s="101">
        <f>テーブル4[[#This Row],[半径方向応力:Δ0℃]]*2*寸法→圧入力!D$24^2/(寸法→圧入力!D$24^2-寸法→圧入力!F$25^2)</f>
        <v>208.66113452587334</v>
      </c>
      <c r="AG20" s="101">
        <f>テーブル4[[#This Row],[半径方向応力:Δ+10℃]]*2*寸法→圧入力!D$24^2/(寸法→圧入力!D$24^2-寸法→圧入力!F$25^2)</f>
        <v>190.77508145818808</v>
      </c>
      <c r="AH20" s="101">
        <f>テーブル4[[#This Row],[半径方向応力:Δ+20℃]]*2*寸法→圧入力!D$24^2/(寸法→圧入力!D$24^2-寸法→圧入力!F$25^2)</f>
        <v>172.8890283905163</v>
      </c>
      <c r="AI20" s="101">
        <f>テーブル4[[#This Row],[半径方向応力:Δ+30℃]]*2*寸法→圧入力!D$24^2/(寸法→圧入力!D$24^2-寸法→圧入力!F$25^2)</f>
        <v>155.00297532284452</v>
      </c>
      <c r="AJ20" s="101">
        <f>寸法→圧入力!$D$30</f>
        <v>345</v>
      </c>
      <c r="AK20" s="101">
        <f>テーブル4[[#This Row],[半径方向応力:Δ-30℃]]* (1+(寸法→圧入力!D$34/寸法→圧入力!F$33)^2)/((寸法→圧入力!D$34/寸法→圧入力!F$33)^2-1)</f>
        <v>141.87203812612123</v>
      </c>
      <c r="AL20" s="101">
        <f>テーブル4[[#This Row],[半径方向応力:Δ-20℃]]* (1+(寸法→圧入力!D$34/寸法→圧入力!F$33)^2)/((寸法→圧入力!D$34/寸法→圧入力!F$33)^2-1)</f>
        <v>132.1985948704947</v>
      </c>
      <c r="AM20" s="101">
        <f>テーブル4[[#This Row],[半径方向応力:Δ-10℃]]* (1+(寸法→圧入力!D$34/寸法→圧入力!F$33)^2)/((寸法→圧入力!D$34/寸法→圧入力!F$33)^2-1)</f>
        <v>122.52515161486821</v>
      </c>
      <c r="AN20" s="101">
        <f>テーブル4[[#This Row],[半径方向応力:Δ0℃]]* (1+(寸法→圧入力!D$34/寸法→圧入力!F$33)^2)/((寸法→圧入力!D$34/寸法→圧入力!F$33)^2-1)</f>
        <v>112.85170835923442</v>
      </c>
      <c r="AO20" s="101">
        <f>テーブル4[[#This Row],[半径方向応力:Δ+10℃]]* (1+(寸法→圧入力!D$34/寸法→圧入力!F$33)^2)/((寸法→圧入力!D$34/寸法→圧入力!F$33)^2-1)</f>
        <v>103.17826510360064</v>
      </c>
      <c r="AP20" s="101">
        <f>テーブル4[[#This Row],[半径方向応力:Δ+20℃]]* (1+(寸法→圧入力!D$34/寸法→圧入力!F$33)^2)/((寸法→圧入力!D$34/寸法→圧入力!F$33)^2-1)</f>
        <v>93.504821847974114</v>
      </c>
      <c r="AQ20" s="101">
        <f>テーブル4[[#This Row],[半径方向応力:Δ+30℃]]* (1+(寸法→圧入力!D$34/寸法→圧入力!F$33)^2)/((寸法→圧入力!D$34/寸法→圧入力!F$33)^2-1)</f>
        <v>83.831378592347619</v>
      </c>
      <c r="AR20" s="101">
        <f>寸法→圧入力!$D$39</f>
        <v>150</v>
      </c>
    </row>
    <row r="21" spans="1:44">
      <c r="A21" s="179">
        <f t="shared" si="0"/>
        <v>0.15</v>
      </c>
      <c r="B21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77.032812169223249</v>
      </c>
      <c r="C21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77.82893294497164</v>
      </c>
      <c r="D21" s="101">
        <f>(A21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78.616068324278828</v>
      </c>
      <c r="E21" s="101">
        <f>テーブル3[[#This Row],[半径方向応力min]]*寸法→圧入力!D$46*寸法→圧入力!D$5/1000</f>
        <v>13.420599817014741</v>
      </c>
      <c r="F21" s="101">
        <f>テーブル3[[#This Row],[半径方向応力min]]*寸法→圧入力!E$46*寸法→圧入力!E$5/1000</f>
        <v>17.138814612791872</v>
      </c>
      <c r="G21" s="101">
        <f>テーブル3[[#This Row],[半径方向応力min]]*寸法→圧入力!F$46*寸法→圧入力!F$5/1000</f>
        <v>21.006460291310002</v>
      </c>
      <c r="H21" s="101">
        <f>寸法→圧入力!$D$30</f>
        <v>345</v>
      </c>
      <c r="I21" s="101">
        <f>寸法→圧入力!$D$39</f>
        <v>150</v>
      </c>
      <c r="J21" s="101">
        <f>テーブル3[[#This Row],[半径方向応力nor]]*2*寸法→圧入力!E$24^2/(寸法→圧入力!E$24^2-寸法→圧入力!E$25^2)</f>
        <v>280.13436523601501</v>
      </c>
      <c r="K21" s="101">
        <f>テーブル3[[#This Row],[半径方向応力nor]]* (1+(寸法→圧入力!E$34/寸法→圧入力!E$33)^2)/((寸法→圧入力!E$34/寸法→圧入力!E$33)^2-1)</f>
        <v>149.5258044467177</v>
      </c>
      <c r="N21">
        <f t="shared" si="1"/>
        <v>25</v>
      </c>
      <c r="O21" s="179">
        <f>寸法→圧入力!F$24*(1+寸法→圧入力!D$29*10^-6*(テーブル4[[#This Row],[inner温度'[℃']]]-20)) - 寸法→圧入力!D$33*(1+寸法→圧入力!D$38*10^-6*(テーブル4[[#This Row],[inner温度'[℃']]]+O$3-20))</f>
        <v>0.13625059500000702</v>
      </c>
      <c r="P21" s="179">
        <f>寸法→圧入力!F$24*(1+寸法→圧入力!D$29*10^-6*(テーブル4[[#This Row],[inner温度'[℃']]]-20)) - 寸法→圧入力!D$33*(1+寸法→圧入力!D$38*10^-6*(テーブル4[[#This Row],[inner温度'[℃']]]+P$3-20))</f>
        <v>0.12682159500000267</v>
      </c>
      <c r="Q21" s="179">
        <f>寸法→圧入力!F$24*(1+寸法→圧入力!D$29*10^-6*(テーブル4[[#This Row],[inner温度'[℃']]]-20)) - 寸法→圧入力!D$33*(1+寸法→圧入力!D$38*10^-6*(テーブル4[[#This Row],[inner温度'[℃']]]+Q$3-20))</f>
        <v>0.11739259500000543</v>
      </c>
      <c r="R21" s="179">
        <f>寸法→圧入力!F$24*(1+寸法→圧入力!D$29*10^-6*(テーブル4[[#This Row],[inner温度'[℃']]]-20)) - 寸法→圧入力!D$33*(1+寸法→圧入力!D$38*10^-6*(テーブル4[[#This Row],[inner温度'[℃']]]+R$3-20))</f>
        <v>0.10796359500000818</v>
      </c>
      <c r="S21" s="179">
        <f>寸法→圧入力!F$24*(1+寸法→圧入力!D$29*10^-6*(テーブル4[[#This Row],[inner温度'[℃']]]-20)) - 寸法→圧入力!D$33*(1+寸法→圧入力!D$38*10^-6*(テーブル4[[#This Row],[inner温度'[℃']]]+S$3-20))</f>
        <v>9.8534595000003833E-2</v>
      </c>
      <c r="T21" s="179">
        <f>寸法→圧入力!F$24*(1+寸法→圧入力!D$29*10^-6*(テーブル4[[#This Row],[inner温度'[℃']]]-20)) - 寸法→圧入力!D$33*(1+寸法→圧入力!D$38*10^-6*(テーブル4[[#This Row],[inner温度'[℃']]]+T$3-20))</f>
        <v>8.9105594999999482E-2</v>
      </c>
      <c r="U21" s="179">
        <f>寸法→圧入力!F$24*(1+寸法→圧入力!D$29*10^-6*(テーブル4[[#This Row],[inner温度'[℃']]]-20)) - 寸法→圧入力!D$33*(1+寸法→圧入力!D$38*10^-6*(テーブル4[[#This Row],[inner温度'[℃']]]+U$3-20))</f>
        <v>7.9676595000009343E-2</v>
      </c>
      <c r="V21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71.40990723829465</v>
      </c>
      <c r="W21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66.468101183428189</v>
      </c>
      <c r="X21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61.526295128565472</v>
      </c>
      <c r="Y21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56.584489073702748</v>
      </c>
      <c r="Z21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51.642683018836301</v>
      </c>
      <c r="AA21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46.700876963969847</v>
      </c>
      <c r="AB21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41.759070909110854</v>
      </c>
      <c r="AC21" s="101">
        <f>テーブル4[[#This Row],[半径方向応力:Δ-30℃]]*2*寸法→圧入力!D$24^2/(寸法→圧入力!D$24^2-寸法→圧入力!F$25^2)</f>
        <v>258.45639756842633</v>
      </c>
      <c r="AD21" s="101">
        <f>テーブル4[[#This Row],[半径方向応力:Δ-20℃]]*2*寸法→圧入力!D$24^2/(寸法→圧入力!D$24^2-寸法→圧入力!F$25^2)</f>
        <v>240.57034450074104</v>
      </c>
      <c r="AE21" s="101">
        <f>テーブル4[[#This Row],[半径方向応力:Δ-10℃]]*2*寸法→圧入力!D$24^2/(寸法→圧入力!D$24^2-寸法→圧入力!F$25^2)</f>
        <v>222.68429143306929</v>
      </c>
      <c r="AF21" s="101">
        <f>テーブル4[[#This Row],[半径方向応力:Δ0℃]]*2*寸法→圧入力!D$24^2/(寸法→圧入力!D$24^2-寸法→圧入力!F$25^2)</f>
        <v>204.79823836539751</v>
      </c>
      <c r="AG21" s="101">
        <f>テーブル4[[#This Row],[半径方向応力:Δ+10℃]]*2*寸法→圧入力!D$24^2/(寸法→圧入力!D$24^2-寸法→圧入力!F$25^2)</f>
        <v>186.91218529771228</v>
      </c>
      <c r="AH21" s="101">
        <f>テーブル4[[#This Row],[半径方向応力:Δ+20℃]]*2*寸法→圧入力!D$24^2/(寸法→圧入力!D$24^2-寸法→圧入力!F$25^2)</f>
        <v>169.026132230027</v>
      </c>
      <c r="AI21" s="101">
        <f>テーブル4[[#This Row],[半径方向応力:Δ+30℃]]*2*寸法→圧入力!D$24^2/(寸法→圧入力!D$24^2-寸法→圧入力!F$25^2)</f>
        <v>151.14007916236875</v>
      </c>
      <c r="AJ21" s="101">
        <f>寸法→圧入力!$D$30</f>
        <v>345</v>
      </c>
      <c r="AK21" s="101">
        <f>テーブル4[[#This Row],[半径方向応力:Δ-30℃]]* (1+(寸法→圧入力!D$34/寸法→圧入力!F$33)^2)/((寸法→圧入力!D$34/寸法→圧入力!F$33)^2-1)</f>
        <v>139.78284009739124</v>
      </c>
      <c r="AL21" s="101">
        <f>テーブル4[[#This Row],[半径方向応力:Δ-20℃]]* (1+(寸法→圧入力!D$34/寸法→圧入力!F$33)^2)/((寸法→圧入力!D$34/寸法→圧入力!F$33)^2-1)</f>
        <v>130.10939684175744</v>
      </c>
      <c r="AM21" s="101">
        <f>テーブル4[[#This Row],[半径方向応力:Δ-10℃]]* (1+(寸法→圧入力!D$34/寸法→圧入力!F$33)^2)/((寸法→圧入力!D$34/寸法→圧入力!F$33)^2-1)</f>
        <v>120.43595358613092</v>
      </c>
      <c r="AN21" s="101">
        <f>テーブル4[[#This Row],[半径方向応力:Δ0℃]]* (1+(寸法→圧入力!D$34/寸法→圧入力!F$33)^2)/((寸法→圧入力!D$34/寸法→圧入力!F$33)^2-1)</f>
        <v>110.76251033050441</v>
      </c>
      <c r="AO21" s="101">
        <f>テーブル4[[#This Row],[半径方向応力:Δ+10℃]]* (1+(寸法→圧入力!D$34/寸法→圧入力!F$33)^2)/((寸法→圧入力!D$34/寸法→圧入力!F$33)^2-1)</f>
        <v>101.08906707487063</v>
      </c>
      <c r="AP21" s="101">
        <f>テーブル4[[#This Row],[半径方向応力:Δ+20℃]]* (1+(寸法→圧入力!D$34/寸法→圧入力!F$33)^2)/((寸法→圧入力!D$34/寸法→圧入力!F$33)^2-1)</f>
        <v>91.415623819236814</v>
      </c>
      <c r="AQ21" s="101">
        <f>テーブル4[[#This Row],[半径方向応力:Δ+30℃]]* (1+(寸法→圧入力!D$34/寸法→圧入力!F$33)^2)/((寸法→圧入力!D$34/寸法→圧入力!F$33)^2-1)</f>
        <v>81.742180563617609</v>
      </c>
      <c r="AR21" s="101">
        <f>寸法→圧入力!$D$39</f>
        <v>150</v>
      </c>
    </row>
    <row r="22" spans="1:44">
      <c r="A22" s="179">
        <f t="shared" si="0"/>
        <v>0.16</v>
      </c>
      <c r="B22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82.1683329805048</v>
      </c>
      <c r="C22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83.017528474636435</v>
      </c>
      <c r="D22" s="101">
        <f>(A22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83.857139545897425</v>
      </c>
      <c r="E22" s="101">
        <f>テーブル3[[#This Row],[半径方向応力min]]*寸法→圧入力!D$46*寸法→圧入力!D$5/1000</f>
        <v>14.315306471482391</v>
      </c>
      <c r="F22" s="101">
        <f>テーブル3[[#This Row],[半径方向応力min]]*寸法→圧入力!E$46*寸法→圧入力!E$5/1000</f>
        <v>18.281402253644664</v>
      </c>
      <c r="G22" s="101">
        <f>テーブル3[[#This Row],[半径方向応力min]]*寸法→圧入力!F$46*寸法→圧入力!F$5/1000</f>
        <v>22.406890977397335</v>
      </c>
      <c r="H22" s="101">
        <f>寸法→圧入力!$D$30</f>
        <v>345</v>
      </c>
      <c r="I22" s="101">
        <f>寸法→圧入力!$D$39</f>
        <v>150</v>
      </c>
      <c r="J22" s="101">
        <f>テーブル3[[#This Row],[半径方向応力nor]]*2*寸法→圧入力!E$24^2/(寸法→圧入力!E$24^2-寸法→圧入力!E$25^2)</f>
        <v>298.80998958508275</v>
      </c>
      <c r="K22" s="101">
        <f>テーブル3[[#This Row],[半径方向応力nor]]* (1+(寸法→圧入力!E$34/寸法→圧入力!E$33)^2)/((寸法→圧入力!E$34/寸法→圧入力!E$33)^2-1)</f>
        <v>159.49419140983224</v>
      </c>
      <c r="N22">
        <f t="shared" si="1"/>
        <v>30</v>
      </c>
      <c r="O22" s="179">
        <f>寸法→圧入力!F$24*(1+寸法→圧入力!D$29*10^-6*(テーブル4[[#This Row],[inner温度'[℃']]]-20)) - 寸法→圧入力!D$33*(1+寸法→圧入力!D$38*10^-6*(テーブル4[[#This Row],[inner温度'[℃']]]+O$3-20))</f>
        <v>0.13421419000000157</v>
      </c>
      <c r="P22" s="179">
        <f>寸法→圧入力!F$24*(1+寸法→圧入力!D$29*10^-6*(テーブル4[[#This Row],[inner温度'[℃']]]-20)) - 寸法→圧入力!D$33*(1+寸法→圧入力!D$38*10^-6*(テーブル4[[#This Row],[inner温度'[℃']]]+P$3-20))</f>
        <v>0.12478519000000432</v>
      </c>
      <c r="Q22" s="179">
        <f>寸法→圧入力!F$24*(1+寸法→圧入力!D$29*10^-6*(テーブル4[[#This Row],[inner温度'[℃']]]-20)) - 寸法→圧入力!D$33*(1+寸法→圧入力!D$38*10^-6*(テーブル4[[#This Row],[inner温度'[℃']]]+Q$3-20))</f>
        <v>0.11535618999999997</v>
      </c>
      <c r="R22" s="179">
        <f>寸法→圧入力!F$24*(1+寸法→圧入力!D$29*10^-6*(テーブル4[[#This Row],[inner温度'[℃']]]-20)) - 寸法→圧入力!D$33*(1+寸法→圧入力!D$38*10^-6*(テーブル4[[#This Row],[inner温度'[℃']]]+R$3-20))</f>
        <v>0.10592718999999562</v>
      </c>
      <c r="S22" s="179">
        <f>寸法→圧入力!F$24*(1+寸法→圧入力!D$29*10^-6*(テーブル4[[#This Row],[inner温度'[℃']]]-20)) - 寸法→圧入力!D$33*(1+寸法→圧入力!D$38*10^-6*(テーブル4[[#This Row],[inner温度'[℃']]]+S$3-20))</f>
        <v>9.6498189999998374E-2</v>
      </c>
      <c r="T22" s="179">
        <f>寸法→圧入力!F$24*(1+寸法→圧入力!D$29*10^-6*(テーブル4[[#This Row],[inner温度'[℃']]]-20)) - 寸法→圧入力!D$33*(1+寸法→圧入力!D$38*10^-6*(テーブル4[[#This Row],[inner温度'[℃']]]+T$3-20))</f>
        <v>8.7069190000001129E-2</v>
      </c>
      <c r="U22" s="179">
        <f>寸法→圧入力!F$24*(1+寸法→圧入力!D$29*10^-6*(テーブル4[[#This Row],[inner温度'[℃']]]-20)) - 寸法→圧入力!D$33*(1+寸法→圧入力!D$38*10^-6*(テーブル4[[#This Row],[inner温度'[℃']]]+U$3-20))</f>
        <v>7.7640190000003884E-2</v>
      </c>
      <c r="V22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70.342612874185761</v>
      </c>
      <c r="W22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65.400806819323037</v>
      </c>
      <c r="X22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60.45900076445659</v>
      </c>
      <c r="Y22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55.517194709590143</v>
      </c>
      <c r="Z22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50.575388654727412</v>
      </c>
      <c r="AA22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45.633582599864695</v>
      </c>
      <c r="AB22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40.691776545001971</v>
      </c>
      <c r="AC22" s="101">
        <f>テーブル4[[#This Row],[半径方向応力:Δ-30℃]]*2*寸法→圧入力!D$24^2/(寸法→圧入力!D$24^2-寸法→圧入力!F$25^2)</f>
        <v>254.59350140792358</v>
      </c>
      <c r="AD22" s="101">
        <f>テーブル4[[#This Row],[半径方向応力:Δ-20℃]]*2*寸法→圧入力!D$24^2/(寸法→圧入力!D$24^2-寸法→圧入力!F$25^2)</f>
        <v>236.7074483402518</v>
      </c>
      <c r="AE22" s="101">
        <f>テーブル4[[#This Row],[半径方向応力:Δ-10℃]]*2*寸法→圧入力!D$24^2/(寸法→圧入力!D$24^2-寸法→圧入力!F$25^2)</f>
        <v>218.82139527256655</v>
      </c>
      <c r="AF22" s="101">
        <f>テーブル4[[#This Row],[半径方向応力:Δ0℃]]*2*寸法→圧入力!D$24^2/(寸法→圧入力!D$24^2-寸法→圧入力!F$25^2)</f>
        <v>200.93534220488129</v>
      </c>
      <c r="AG22" s="101">
        <f>テーブル4[[#This Row],[半径方向応力:Δ+10℃]]*2*寸法→圧入力!D$24^2/(寸法→圧入力!D$24^2-寸法→圧入力!F$25^2)</f>
        <v>183.04928913720951</v>
      </c>
      <c r="AH22" s="101">
        <f>テーブル4[[#This Row],[半径方向応力:Δ+20℃]]*2*寸法→圧入力!D$24^2/(寸法→圧入力!D$24^2-寸法→圧入力!F$25^2)</f>
        <v>165.16323606953776</v>
      </c>
      <c r="AI22" s="101">
        <f>テーブル4[[#This Row],[半径方向応力:Δ+30℃]]*2*寸法→圧入力!D$24^2/(寸法→圧入力!D$24^2-寸法→圧入力!F$25^2)</f>
        <v>147.27718300186598</v>
      </c>
      <c r="AJ22" s="101">
        <f>寸法→圧入力!$D$30</f>
        <v>345</v>
      </c>
      <c r="AK22" s="101">
        <f>テーブル4[[#This Row],[半径方向応力:Δ-30℃]]* (1+(寸法→圧入力!D$34/寸法→圧入力!F$33)^2)/((寸法→圧入力!D$34/寸法→圧入力!F$33)^2-1)</f>
        <v>137.69364206864662</v>
      </c>
      <c r="AL22" s="101">
        <f>テーブル4[[#This Row],[半径方向応力:Δ-20℃]]* (1+(寸法→圧入力!D$34/寸法→圧入力!F$33)^2)/((寸法→圧入力!D$34/寸法→圧入力!F$33)^2-1)</f>
        <v>128.02019881302016</v>
      </c>
      <c r="AM22" s="101">
        <f>テーブル4[[#This Row],[半径方向応力:Δ-10℃]]* (1+(寸法→圧入力!D$34/寸法→圧入力!F$33)^2)/((寸法→圧入力!D$34/寸法→圧入力!F$33)^2-1)</f>
        <v>118.34675555738635</v>
      </c>
      <c r="AN22" s="101">
        <f>テーブル4[[#This Row],[半径方向応力:Δ0℃]]* (1+(寸法→圧入力!D$34/寸法→圧入力!F$33)^2)/((寸法→圧入力!D$34/寸法→圧入力!F$33)^2-1)</f>
        <v>108.67331230175255</v>
      </c>
      <c r="AO22" s="101">
        <f>テーブル4[[#This Row],[半径方向応力:Δ+10℃]]* (1+(寸法→圧入力!D$34/寸法→圧入力!F$33)^2)/((寸法→圧入力!D$34/寸法→圧入力!F$33)^2-1)</f>
        <v>98.999869046126022</v>
      </c>
      <c r="AP22" s="101">
        <f>テーブル4[[#This Row],[半径方向応力:Δ+20℃]]* (1+(寸法→圧入力!D$34/寸法→圧入力!F$33)^2)/((寸法→圧入力!D$34/寸法→圧入力!F$33)^2-1)</f>
        <v>89.326425790499528</v>
      </c>
      <c r="AQ22" s="101">
        <f>テーブル4[[#This Row],[半径方向応力:Δ+30℃]]* (1+(寸法→圧入力!D$34/寸法→圧入力!F$33)^2)/((寸法→圧入力!D$34/寸法→圧入力!F$33)^2-1)</f>
        <v>79.652982534873018</v>
      </c>
      <c r="AR22" s="101">
        <f>寸法→圧入力!$D$39</f>
        <v>150</v>
      </c>
    </row>
    <row r="23" spans="1:44">
      <c r="A23" s="179">
        <f t="shared" si="0"/>
        <v>0.17</v>
      </c>
      <c r="B23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87.303853791786352</v>
      </c>
      <c r="C23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88.206124004301202</v>
      </c>
      <c r="D23" s="101">
        <f>(A23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89.098210767516008</v>
      </c>
      <c r="E23" s="101">
        <f>テーブル3[[#This Row],[半径方向応力min]]*寸法→圧入力!D$46*寸法→圧入力!D$5/1000</f>
        <v>15.21001312595004</v>
      </c>
      <c r="F23" s="101">
        <f>テーブル3[[#This Row],[半径方向応力min]]*寸法→圧入力!E$46*寸法→圧入力!E$5/1000</f>
        <v>19.423989894497456</v>
      </c>
      <c r="G23" s="101">
        <f>テーブル3[[#This Row],[半径方向応力min]]*寸法→圧入力!F$46*寸法→圧入力!F$5/1000</f>
        <v>23.807321663484668</v>
      </c>
      <c r="H23" s="101">
        <f>寸法→圧入力!$D$30</f>
        <v>345</v>
      </c>
      <c r="I23" s="101">
        <f>寸法→圧入力!$D$39</f>
        <v>150</v>
      </c>
      <c r="J23" s="101">
        <f>テーブル3[[#This Row],[半径方向応力nor]]*2*寸法→圧入力!E$24^2/(寸法→圧入力!E$24^2-寸法→圧入力!E$25^2)</f>
        <v>317.48561393415036</v>
      </c>
      <c r="K23" s="101">
        <f>テーブル3[[#This Row],[半径方向応力nor]]* (1+(寸法→圧入力!E$34/寸法→圧入力!E$33)^2)/((寸法→圧入力!E$34/寸法→圧入力!E$33)^2-1)</f>
        <v>169.46257837294672</v>
      </c>
      <c r="N23">
        <f>N22+5</f>
        <v>35</v>
      </c>
      <c r="O23" s="179">
        <f>寸法→圧入力!F$24*(1+寸法→圧入力!D$29*10^-6*(テーブル4[[#This Row],[inner温度'[℃']]]-20)) - 寸法→圧入力!D$33*(1+寸法→圧入力!D$38*10^-6*(テーブル4[[#This Row],[inner温度'[℃']]]+O$3-20))</f>
        <v>0.13217778499999611</v>
      </c>
      <c r="P23" s="179">
        <f>寸法→圧入力!F$24*(1+寸法→圧入力!D$29*10^-6*(テーブル4[[#This Row],[inner温度'[℃']]]-20)) - 寸法→圧入力!D$33*(1+寸法→圧入力!D$38*10^-6*(テーブル4[[#This Row],[inner温度'[℃']]]+P$3-20))</f>
        <v>0.12274878499999886</v>
      </c>
      <c r="Q23" s="179">
        <f>寸法→圧入力!F$24*(1+寸法→圧入力!D$29*10^-6*(テーブル4[[#This Row],[inner温度'[℃']]]-20)) - 寸法→圧入力!D$33*(1+寸法→圧入力!D$38*10^-6*(テーブル4[[#This Row],[inner温度'[℃']]]+Q$3-20))</f>
        <v>0.11331978500000162</v>
      </c>
      <c r="R23" s="179">
        <f>寸法→圧入力!F$24*(1+寸法→圧入力!D$29*10^-6*(テーブル4[[#This Row],[inner温度'[℃']]]-20)) - 寸法→圧入力!D$33*(1+寸法→圧入力!D$38*10^-6*(テーブル4[[#This Row],[inner温度'[℃']]]+R$3-20))</f>
        <v>0.10389078499999727</v>
      </c>
      <c r="S23" s="179">
        <f>寸法→圧入力!F$24*(1+寸法→圧入力!D$29*10^-6*(テーブル4[[#This Row],[inner温度'[℃']]]-20)) - 寸法→圧入力!D$33*(1+寸法→圧入力!D$38*10^-6*(テーブル4[[#This Row],[inner温度'[℃']]]+S$3-20))</f>
        <v>9.4461784999992915E-2</v>
      </c>
      <c r="T23" s="179">
        <f>寸法→圧入力!F$24*(1+寸法→圧入力!D$29*10^-6*(テーブル4[[#This Row],[inner温度'[℃']]]-20)) - 寸法→圧入力!D$33*(1+寸法→圧入力!D$38*10^-6*(テーブル4[[#This Row],[inner温度'[℃']]]+T$3-20))</f>
        <v>8.5032785000002775E-2</v>
      </c>
      <c r="U23" s="179">
        <f>寸法→圧入力!F$24*(1+寸法→圧入力!D$29*10^-6*(テーブル4[[#This Row],[inner温度'[℃']]]-20)) - 寸法→圧入力!D$33*(1+寸法→圧入力!D$38*10^-6*(テーブル4[[#This Row],[inner温度'[℃']]]+U$3-20))</f>
        <v>7.5603784999998425E-2</v>
      </c>
      <c r="V23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69.275318510076872</v>
      </c>
      <c r="W23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64.333512455214162</v>
      </c>
      <c r="X23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59.391706400351431</v>
      </c>
      <c r="Y23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54.449900345484977</v>
      </c>
      <c r="Z23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49.508094290618537</v>
      </c>
      <c r="AA23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44.566288235759536</v>
      </c>
      <c r="AB23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39.624482180893089</v>
      </c>
      <c r="AC23" s="101">
        <f>テーブル4[[#This Row],[半径方向応力:Δ-30℃]]*2*寸法→圧入力!D$24^2/(寸法→圧入力!D$24^2-寸法→圧入力!F$25^2)</f>
        <v>250.73060524742075</v>
      </c>
      <c r="AD23" s="101">
        <f>テーブル4[[#This Row],[半径方向応力:Δ-20℃]]*2*寸法→圧入力!D$24^2/(寸法→圧入力!D$24^2-寸法→圧入力!F$25^2)</f>
        <v>232.84455217974906</v>
      </c>
      <c r="AE23" s="101">
        <f>テーブル4[[#This Row],[半径方向応力:Δ-10℃]]*2*寸法→圧入力!D$24^2/(寸法→圧入力!D$24^2-寸法→圧入力!F$25^2)</f>
        <v>214.95849911207725</v>
      </c>
      <c r="AF23" s="101">
        <f>テーブル4[[#This Row],[半径方向応力:Δ0℃]]*2*寸法→圧入力!D$24^2/(寸法→圧入力!D$24^2-寸法→圧入力!F$25^2)</f>
        <v>197.072446044392</v>
      </c>
      <c r="AG23" s="101">
        <f>テーブル4[[#This Row],[半径方向応力:Δ+10℃]]*2*寸法→圧入力!D$24^2/(寸法→圧入力!D$24^2-寸法→圧入力!F$25^2)</f>
        <v>179.18639297670677</v>
      </c>
      <c r="AH23" s="101">
        <f>テーブル4[[#This Row],[半径方向応力:Δ+20℃]]*2*寸法→圧入力!D$24^2/(寸法→圧入力!D$24^2-寸法→圧入力!F$25^2)</f>
        <v>161.30033990904849</v>
      </c>
      <c r="AI23" s="101">
        <f>テーブル4[[#This Row],[半径方向応力:Δ+30℃]]*2*寸法→圧入力!D$24^2/(寸法→圧入力!D$24^2-寸法→圧入力!F$25^2)</f>
        <v>143.41428684136324</v>
      </c>
      <c r="AJ23" s="101">
        <f>寸法→圧入力!$D$30</f>
        <v>345</v>
      </c>
      <c r="AK23" s="101">
        <f>テーブル4[[#This Row],[半径方向応力:Δ-30℃]]* (1+(寸法→圧入力!D$34/寸法→圧入力!F$33)^2)/((寸法→圧入力!D$34/寸法→圧入力!F$33)^2-1)</f>
        <v>135.60444403990206</v>
      </c>
      <c r="AL23" s="101">
        <f>テーブル4[[#This Row],[半径方向応力:Δ-20℃]]* (1+(寸法→圧入力!D$34/寸法→圧入力!F$33)^2)/((寸法→圧入力!D$34/寸法→圧入力!F$33)^2-1)</f>
        <v>125.93100078427557</v>
      </c>
      <c r="AM23" s="101">
        <f>テーブル4[[#This Row],[半径方向応力:Δ-10℃]]* (1+(寸法→圧入力!D$34/寸法→圧入力!F$33)^2)/((寸法→圧入力!D$34/寸法→圧入力!F$33)^2-1)</f>
        <v>116.25755752864906</v>
      </c>
      <c r="AN23" s="101">
        <f>テーブル4[[#This Row],[半径方向応力:Δ0℃]]* (1+(寸法→圧入力!D$34/寸法→圧入力!F$33)^2)/((寸法→圧入力!D$34/寸法→圧入力!F$33)^2-1)</f>
        <v>106.58411427301523</v>
      </c>
      <c r="AO23" s="101">
        <f>テーブル4[[#This Row],[半径方向応力:Δ+10℃]]* (1+(寸法→圧入力!D$34/寸法→圧入力!F$33)^2)/((寸法→圧入力!D$34/寸法→圧入力!F$33)^2-1)</f>
        <v>96.910671017381446</v>
      </c>
      <c r="AP23" s="101">
        <f>テーブル4[[#This Row],[半径方向応力:Δ+20℃]]* (1+(寸法→圧入力!D$34/寸法→圧入力!F$33)^2)/((寸法→圧入力!D$34/寸法→圧入力!F$33)^2-1)</f>
        <v>87.237227761762227</v>
      </c>
      <c r="AQ23" s="101">
        <f>テーブル4[[#This Row],[半径方向応力:Δ+30℃]]* (1+(寸法→圧入力!D$34/寸法→圧入力!F$33)^2)/((寸法→圧入力!D$34/寸法→圧入力!F$33)^2-1)</f>
        <v>77.563784506128428</v>
      </c>
      <c r="AR23" s="101">
        <f>寸法→圧入力!$D$39</f>
        <v>150</v>
      </c>
    </row>
    <row r="24" spans="1:44">
      <c r="A24" s="179">
        <f t="shared" si="0"/>
        <v>0.18</v>
      </c>
      <c r="B24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92.439374603067904</v>
      </c>
      <c r="C24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93.394719533965983</v>
      </c>
      <c r="D24" s="101">
        <f>(A24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94.339281989134605</v>
      </c>
      <c r="E24" s="101">
        <f>テーブル3[[#This Row],[半径方向応力min]]*寸法→圧入力!D$46*寸法→圧入力!D$5/1000</f>
        <v>16.104719780417689</v>
      </c>
      <c r="F24" s="101">
        <f>テーブル3[[#This Row],[半径方向応力min]]*寸法→圧入力!E$46*寸法→圧入力!E$5/1000</f>
        <v>20.566577535350248</v>
      </c>
      <c r="G24" s="101">
        <f>テーブル3[[#This Row],[半径方向応力min]]*寸法→圧入力!F$46*寸法→圧入力!F$5/1000</f>
        <v>25.207752349572004</v>
      </c>
      <c r="H24" s="101">
        <f>寸法→圧入力!$D$30</f>
        <v>345</v>
      </c>
      <c r="I24" s="101">
        <f>寸法→圧入力!$D$39</f>
        <v>150</v>
      </c>
      <c r="J24" s="101">
        <f>テーブル3[[#This Row],[半径方向応力nor]]*2*寸法→圧入力!E$24^2/(寸法→圧入力!E$24^2-寸法→圧入力!E$25^2)</f>
        <v>336.1612382832181</v>
      </c>
      <c r="K24" s="101">
        <f>テーブル3[[#This Row],[半径方向応力nor]]* (1+(寸法→圧入力!E$34/寸法→圧入力!E$33)^2)/((寸法→圧入力!E$34/寸法→圧入力!E$33)^2-1)</f>
        <v>179.43096533606126</v>
      </c>
      <c r="N24">
        <f t="shared" si="1"/>
        <v>40</v>
      </c>
      <c r="O24" s="179">
        <f>寸法→圧入力!F$24*(1+寸法→圧入力!D$29*10^-6*(テーブル4[[#This Row],[inner温度'[℃']]]-20)) - 寸法→圧入力!D$33*(1+寸法→圧入力!D$38*10^-6*(テーブル4[[#This Row],[inner温度'[℃']]]+O$3-20))</f>
        <v>0.13014138000000486</v>
      </c>
      <c r="P24" s="179">
        <f>寸法→圧入力!F$24*(1+寸法→圧入力!D$29*10^-6*(テーブル4[[#This Row],[inner温度'[℃']]]-20)) - 寸法→圧入力!D$33*(1+寸法→圧入力!D$38*10^-6*(テーブル4[[#This Row],[inner温度'[℃']]]+P$3-20))</f>
        <v>0.12071238000000051</v>
      </c>
      <c r="Q24" s="179">
        <f>寸法→圧入力!F$24*(1+寸法→圧入力!D$29*10^-6*(テーブル4[[#This Row],[inner温度'[℃']]]-20)) - 寸法→圧入力!D$33*(1+寸法→圧入力!D$38*10^-6*(テーブル4[[#This Row],[inner温度'[℃']]]+Q$3-20))</f>
        <v>0.11128337999999616</v>
      </c>
      <c r="R24" s="179">
        <f>寸法→圧入力!F$24*(1+寸法→圧入力!D$29*10^-6*(テーブル4[[#This Row],[inner温度'[℃']]]-20)) - 寸法→圧入力!D$33*(1+寸法→圧入力!D$38*10^-6*(テーブル4[[#This Row],[inner温度'[℃']]]+R$3-20))</f>
        <v>0.10185437999999891</v>
      </c>
      <c r="S24" s="179">
        <f>寸法→圧入力!F$24*(1+寸法→圧入力!D$29*10^-6*(テーブル4[[#This Row],[inner温度'[℃']]]-20)) - 寸法→圧入力!D$33*(1+寸法→圧入力!D$38*10^-6*(テーブル4[[#This Row],[inner温度'[℃']]]+S$3-20))</f>
        <v>9.2425380000001667E-2</v>
      </c>
      <c r="T24" s="179">
        <f>寸法→圧入力!F$24*(1+寸法→圧入力!D$29*10^-6*(テーブル4[[#This Row],[inner温度'[℃']]]-20)) - 寸法→圧入力!D$33*(1+寸法→圧入力!D$38*10^-6*(テーブル4[[#This Row],[inner温度'[℃']]]+T$3-20))</f>
        <v>8.2996380000004422E-2</v>
      </c>
      <c r="U24" s="179">
        <f>寸法→圧入力!F$24*(1+寸法→圧入力!D$29*10^-6*(テーブル4[[#This Row],[inner温度'[℃']]]-20)) - 寸法→圧入力!D$33*(1+寸法→圧入力!D$38*10^-6*(テーブル4[[#This Row],[inner温度'[℃']]]+U$3-20))</f>
        <v>7.3567380000000071E-2</v>
      </c>
      <c r="V24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68.208024145975443</v>
      </c>
      <c r="W24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63.266218091109003</v>
      </c>
      <c r="X24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58.324412036242556</v>
      </c>
      <c r="Y24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53.382605981379825</v>
      </c>
      <c r="Z24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48.440799926517101</v>
      </c>
      <c r="AA24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43.498993871654378</v>
      </c>
      <c r="AB24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38.557187816787931</v>
      </c>
      <c r="AC24" s="101">
        <f>テーブル4[[#This Row],[半径方向応力:Δ-30℃]]*2*寸法→圧入力!D$24^2/(寸法→圧入力!D$24^2-寸法→圧入力!F$25^2)</f>
        <v>246.86770908694498</v>
      </c>
      <c r="AD24" s="101">
        <f>テーブル4[[#This Row],[半径方向応力:Δ-20℃]]*2*寸法→圧入力!D$24^2/(寸法→圧入力!D$24^2-寸法→圧入力!F$25^2)</f>
        <v>228.98165601925979</v>
      </c>
      <c r="AE24" s="101">
        <f>テーブル4[[#This Row],[半径方向応力:Δ-10℃]]*2*寸法→圧入力!D$24^2/(寸法→圧入力!D$24^2-寸法→圧入力!F$25^2)</f>
        <v>211.09560295157456</v>
      </c>
      <c r="AF24" s="101">
        <f>テーブル4[[#This Row],[半径方向応力:Δ0℃]]*2*寸法→圧入力!D$24^2/(寸法→圧入力!D$24^2-寸法→圧入力!F$25^2)</f>
        <v>193.20954988390275</v>
      </c>
      <c r="AG24" s="101">
        <f>テーブル4[[#This Row],[半径方向応力:Δ+10℃]]*2*寸法→圧入力!D$24^2/(寸法→圧入力!D$24^2-寸法→圧入力!F$25^2)</f>
        <v>175.32349681623097</v>
      </c>
      <c r="AH24" s="101">
        <f>テーブル4[[#This Row],[半径方向応力:Δ+20℃]]*2*寸法→圧入力!D$24^2/(寸法→圧入力!D$24^2-寸法→圧入力!F$25^2)</f>
        <v>157.43744374855919</v>
      </c>
      <c r="AI24" s="101">
        <f>テーブル4[[#This Row],[半径方向応力:Δ+30℃]]*2*寸法→圧入力!D$24^2/(寸法→圧入力!D$24^2-寸法→圧入力!F$25^2)</f>
        <v>139.55139068087396</v>
      </c>
      <c r="AJ24" s="101">
        <f>寸法→圧入力!$D$30</f>
        <v>345</v>
      </c>
      <c r="AK24" s="101">
        <f>テーブル4[[#This Row],[半径方向応力:Δ-30℃]]* (1+(寸法→圧入力!D$34/寸法→圧入力!F$33)^2)/((寸法→圧入力!D$34/寸法→圧入力!F$33)^2-1)</f>
        <v>133.51524601117205</v>
      </c>
      <c r="AL24" s="101">
        <f>テーブル4[[#This Row],[半径方向応力:Δ-20℃]]* (1+(寸法→圧入力!D$34/寸法→圧入力!F$33)^2)/((寸法→圧入力!D$34/寸法→圧入力!F$33)^2-1)</f>
        <v>123.84180275553828</v>
      </c>
      <c r="AM24" s="101">
        <f>テーブル4[[#This Row],[半径方向応力:Δ-10℃]]* (1+(寸法→圧入力!D$34/寸法→圧入力!F$33)^2)/((寸法→圧入力!D$34/寸法→圧入力!F$33)^2-1)</f>
        <v>114.16835949990447</v>
      </c>
      <c r="AN24" s="101">
        <f>テーブル4[[#This Row],[半径方向応力:Δ0℃]]* (1+(寸法→圧入力!D$34/寸法→圧入力!F$33)^2)/((寸法→圧入力!D$34/寸法→圧入力!F$33)^2-1)</f>
        <v>104.49491624427796</v>
      </c>
      <c r="AO24" s="101">
        <f>テーブル4[[#This Row],[半径方向応力:Δ+10℃]]* (1+(寸法→圧入力!D$34/寸法→圧入力!F$33)^2)/((寸法→圧入力!D$34/寸法→圧入力!F$33)^2-1)</f>
        <v>94.821472988651436</v>
      </c>
      <c r="AP24" s="101">
        <f>テーブル4[[#This Row],[半径方向応力:Δ+20℃]]* (1+(寸法→圧入力!D$34/寸法→圧入力!F$33)^2)/((寸法→圧入力!D$34/寸法→圧入力!F$33)^2-1)</f>
        <v>85.148029733024941</v>
      </c>
      <c r="AQ24" s="101">
        <f>テーブル4[[#This Row],[半径方向応力:Δ+30℃]]* (1+(寸法→圧入力!D$34/寸法→圧入力!F$33)^2)/((寸法→圧入力!D$34/寸法→圧入力!F$33)^2-1)</f>
        <v>75.474586477391128</v>
      </c>
      <c r="AR24" s="101">
        <f>寸法→圧入力!$D$39</f>
        <v>150</v>
      </c>
    </row>
    <row r="25" spans="1:44">
      <c r="A25" s="179">
        <f t="shared" si="0"/>
        <v>0.19</v>
      </c>
      <c r="B25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97.57489541434947</v>
      </c>
      <c r="C25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98.583315063630764</v>
      </c>
      <c r="D25" s="101">
        <f>(A25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99.580353210753202</v>
      </c>
      <c r="E25" s="101">
        <f>テーブル3[[#This Row],[半径方向応力min]]*寸法→圧入力!D$46*寸法→圧入力!D$5/1000</f>
        <v>16.999426434885343</v>
      </c>
      <c r="F25" s="101">
        <f>テーブル3[[#This Row],[半径方向応力min]]*寸法→圧入力!E$46*寸法→圧入力!E$5/1000</f>
        <v>21.709165176203044</v>
      </c>
      <c r="G25" s="101">
        <f>テーブル3[[#This Row],[半径方向応力min]]*寸法→圧入力!F$46*寸法→圧入力!F$5/1000</f>
        <v>26.608183035659341</v>
      </c>
      <c r="H25" s="101">
        <f>寸法→圧入力!$D$30</f>
        <v>345</v>
      </c>
      <c r="I25" s="101">
        <f>寸法→圧入力!$D$39</f>
        <v>150</v>
      </c>
      <c r="J25" s="101">
        <f>テーブル3[[#This Row],[半径方向応力nor]]*2*寸法→圧入力!E$24^2/(寸法→圧入力!E$24^2-寸法→圧入力!E$25^2)</f>
        <v>354.83686263228577</v>
      </c>
      <c r="K25" s="101">
        <f>テーブル3[[#This Row],[半径方向応力nor]]* (1+(寸法→圧入力!E$34/寸法→圧入力!E$33)^2)/((寸法→圧入力!E$34/寸法→圧入力!E$33)^2-1)</f>
        <v>189.39935229917577</v>
      </c>
      <c r="N25">
        <f t="shared" si="1"/>
        <v>45</v>
      </c>
      <c r="O25" s="179">
        <f>寸法→圧入力!F$24*(1+寸法→圧入力!D$29*10^-6*(テーブル4[[#This Row],[inner温度'[℃']]]-20)) - 寸法→圧入力!D$33*(1+寸法→圧入力!D$38*10^-6*(テーブル4[[#This Row],[inner温度'[℃']]]+O$3-20))</f>
        <v>0.1281049749999994</v>
      </c>
      <c r="P25" s="179">
        <f>寸法→圧入力!F$24*(1+寸法→圧入力!D$29*10^-6*(テーブル4[[#This Row],[inner温度'[℃']]]-20)) - 寸法→圧入力!D$33*(1+寸法→圧入力!D$38*10^-6*(テーブル4[[#This Row],[inner温度'[℃']]]+P$3-20))</f>
        <v>0.11867597500000215</v>
      </c>
      <c r="Q25" s="179">
        <f>寸法→圧入力!F$24*(1+寸法→圧入力!D$29*10^-6*(テーブル4[[#This Row],[inner温度'[℃']]]-20)) - 寸法→圧入力!D$33*(1+寸法→圧入力!D$38*10^-6*(テーブル4[[#This Row],[inner温度'[℃']]]+Q$3-20))</f>
        <v>0.1092469749999978</v>
      </c>
      <c r="R25" s="179">
        <f>寸法→圧入力!F$24*(1+寸法→圧入力!D$29*10^-6*(テーブル4[[#This Row],[inner温度'[℃']]]-20)) - 寸法→圧入力!D$33*(1+寸法→圧入力!D$38*10^-6*(テーブル4[[#This Row],[inner温度'[℃']]]+R$3-20))</f>
        <v>9.9817974999993453E-2</v>
      </c>
      <c r="S25" s="179">
        <f>寸法→圧入力!F$24*(1+寸法→圧入力!D$29*10^-6*(テーブル4[[#This Row],[inner温度'[℃']]]-20)) - 寸法→圧入力!D$33*(1+寸法→圧入力!D$38*10^-6*(テーブル4[[#This Row],[inner温度'[℃']]]+S$3-20))</f>
        <v>9.0388975000003313E-2</v>
      </c>
      <c r="T25" s="179">
        <f>寸法→圧入力!F$24*(1+寸法→圧入力!D$29*10^-6*(テーブル4[[#This Row],[inner温度'[℃']]]-20)) - 寸法→圧入力!D$33*(1+寸法→圧入力!D$38*10^-6*(テーブル4[[#This Row],[inner温度'[℃']]]+T$3-20))</f>
        <v>8.0959974999998963E-2</v>
      </c>
      <c r="U25" s="179">
        <f>寸法→圧入力!F$24*(1+寸法→圧入力!D$29*10^-6*(テーブル4[[#This Row],[inner温度'[℃']]]-20)) - 寸法→圧入力!D$33*(1+寸法→圧入力!D$38*10^-6*(テーブル4[[#This Row],[inner温度'[℃']]]+U$3-20))</f>
        <v>7.1530975000001717E-2</v>
      </c>
      <c r="V25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67.140729781866568</v>
      </c>
      <c r="W25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62.198923727003844</v>
      </c>
      <c r="X25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57.25711767213739</v>
      </c>
      <c r="Y25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52.315311617270943</v>
      </c>
      <c r="Z25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47.373505562411943</v>
      </c>
      <c r="AA25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42.431699507545503</v>
      </c>
      <c r="AB25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37.489893452682772</v>
      </c>
      <c r="AC25" s="101">
        <f>テーブル4[[#This Row],[半径方向応力:Δ-30℃]]*2*寸法→圧入力!D$24^2/(寸法→圧入力!D$24^2-寸法→圧入力!F$25^2)</f>
        <v>243.0048129264423</v>
      </c>
      <c r="AD25" s="101">
        <f>テーブル4[[#This Row],[半径方向応力:Δ-20℃]]*2*寸法→圧入力!D$24^2/(寸法→圧入力!D$24^2-寸法→圧入力!F$25^2)</f>
        <v>225.11875985877052</v>
      </c>
      <c r="AE25" s="101">
        <f>テーブル4[[#This Row],[半径方向応力:Δ-10℃]]*2*寸法→圧入力!D$24^2/(寸法→圧入力!D$24^2-寸法→圧入力!F$25^2)</f>
        <v>207.23270679108523</v>
      </c>
      <c r="AF25" s="101">
        <f>テーブル4[[#This Row],[半径方向応力:Δ0℃]]*2*寸法→圧入力!D$24^2/(寸法→圧入力!D$24^2-寸法→圧入力!F$25^2)</f>
        <v>189.34665372339998</v>
      </c>
      <c r="AG25" s="101">
        <f>テーブル4[[#This Row],[半径方向応力:Δ+10℃]]*2*寸法→圧入力!D$24^2/(寸法→圧入力!D$24^2-寸法→圧入力!F$25^2)</f>
        <v>171.4606006557417</v>
      </c>
      <c r="AH25" s="101">
        <f>テーブル4[[#This Row],[半径方向応力:Δ+20℃]]*2*寸法→圧入力!D$24^2/(寸法→圧入力!D$24^2-寸法→圧入力!F$25^2)</f>
        <v>153.5745475880565</v>
      </c>
      <c r="AI25" s="101">
        <f>テーブル4[[#This Row],[半径方向応力:Δ+30℃]]*2*寸法→圧入力!D$24^2/(寸法→圧入力!D$24^2-寸法→圧入力!F$25^2)</f>
        <v>135.68849452038469</v>
      </c>
      <c r="AJ25" s="101">
        <f>寸法→圧入力!$D$30</f>
        <v>345</v>
      </c>
      <c r="AK25" s="101">
        <f>テーブル4[[#This Row],[半径方向応力:Δ-30℃]]* (1+(寸法→圧入力!D$34/寸法→圧入力!F$33)^2)/((寸法→圧入力!D$34/寸法→圧入力!F$33)^2-1)</f>
        <v>131.42604798242749</v>
      </c>
      <c r="AL25" s="101">
        <f>テーブル4[[#This Row],[半径方向応力:Δ-20℃]]* (1+(寸法→圧入力!D$34/寸法→圧入力!F$33)^2)/((寸法→圧入力!D$34/寸法→圧入力!F$33)^2-1)</f>
        <v>121.75260472680098</v>
      </c>
      <c r="AM25" s="101">
        <f>テーブル4[[#This Row],[半径方向応力:Δ-10℃]]* (1+(寸法→圧入力!D$34/寸法→圧入力!F$33)^2)/((寸法→圧入力!D$34/寸法→圧入力!F$33)^2-1)</f>
        <v>112.07916147116717</v>
      </c>
      <c r="AN25" s="101">
        <f>テーブル4[[#This Row],[半径方向応力:Δ0℃]]* (1+(寸法→圧入力!D$34/寸法→圧入力!F$33)^2)/((寸法→圧入力!D$34/寸法→圧入力!F$33)^2-1)</f>
        <v>102.40571821553337</v>
      </c>
      <c r="AO25" s="101">
        <f>テーブル4[[#This Row],[半径方向応力:Δ+10℃]]* (1+(寸法→圧入力!D$34/寸法→圧入力!F$33)^2)/((寸法→圧入力!D$34/寸法→圧入力!F$33)^2-1)</f>
        <v>92.73227495991415</v>
      </c>
      <c r="AP25" s="101">
        <f>テーブル4[[#This Row],[半径方向応力:Δ+20℃]]* (1+(寸法→圧入力!D$34/寸法→圧入力!F$33)^2)/((寸法→圧入力!D$34/寸法→圧入力!F$33)^2-1)</f>
        <v>83.058831704280365</v>
      </c>
      <c r="AQ25" s="101">
        <f>テーブル4[[#This Row],[半径方向応力:Δ+30℃]]* (1+(寸法→圧入力!D$34/寸法→圧入力!F$33)^2)/((寸法→圧入力!D$34/寸法→圧入力!F$33)^2-1)</f>
        <v>73.385388448653842</v>
      </c>
      <c r="AR25" s="101">
        <f>寸法→圧入力!$D$39</f>
        <v>150</v>
      </c>
    </row>
    <row r="26" spans="1:44">
      <c r="A26" s="179">
        <f t="shared" si="0"/>
        <v>0.2</v>
      </c>
      <c r="B26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102.71041622563101</v>
      </c>
      <c r="C26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103.77191059329553</v>
      </c>
      <c r="D26" s="101">
        <f>(A26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104.82142443237178</v>
      </c>
      <c r="E26" s="101">
        <f>テーブル3[[#This Row],[半径方向応力min]]*寸法→圧入力!D$46*寸法→圧入力!D$5/1000</f>
        <v>17.894133089352987</v>
      </c>
      <c r="F26" s="101">
        <f>テーブル3[[#This Row],[半径方向応力min]]*寸法→圧入力!E$46*寸法→圧入力!E$5/1000</f>
        <v>22.851752817055832</v>
      </c>
      <c r="G26" s="101">
        <f>テーブル3[[#This Row],[半径方向応力min]]*寸法→圧入力!F$46*寸法→圧入力!F$5/1000</f>
        <v>28.00861372174667</v>
      </c>
      <c r="H26" s="101">
        <f>寸法→圧入力!$D$30</f>
        <v>345</v>
      </c>
      <c r="I26" s="101">
        <f>寸法→圧入力!$D$39</f>
        <v>150</v>
      </c>
      <c r="J26" s="101">
        <f>テーブル3[[#This Row],[半径方向応力nor]]*2*寸法→圧入力!E$24^2/(寸法→圧入力!E$24^2-寸法→圧入力!E$25^2)</f>
        <v>373.51248698135339</v>
      </c>
      <c r="K26" s="101">
        <f>テーブル3[[#This Row],[半径方向応力nor]]* (1+(寸法→圧入力!E$34/寸法→圧入力!E$33)^2)/((寸法→圧入力!E$34/寸法→圧入力!E$33)^2-1)</f>
        <v>199.36773926229029</v>
      </c>
      <c r="N26">
        <f t="shared" si="1"/>
        <v>50</v>
      </c>
      <c r="O26" s="179">
        <f>寸法→圧入力!F$24*(1+寸法→圧入力!D$29*10^-6*(テーブル4[[#This Row],[inner温度'[℃']]]-20)) - 寸法→圧入力!D$33*(1+寸法→圧入力!D$38*10^-6*(テーブル4[[#This Row],[inner温度'[℃']]]+O$3-20))</f>
        <v>0.12606856999999394</v>
      </c>
      <c r="P26" s="179">
        <f>寸法→圧入力!F$24*(1+寸法→圧入力!D$29*10^-6*(テーブル4[[#This Row],[inner温度'[℃']]]-20)) - 寸法→圧入力!D$33*(1+寸法→圧入力!D$38*10^-6*(テーブル4[[#This Row],[inner温度'[℃']]]+P$3-20))</f>
        <v>0.11663956999998959</v>
      </c>
      <c r="Q26" s="179">
        <f>寸法→圧入力!F$24*(1+寸法→圧入力!D$29*10^-6*(テーブル4[[#This Row],[inner温度'[℃']]]-20)) - 寸法→圧入力!D$33*(1+寸法→圧入力!D$38*10^-6*(テーブル4[[#This Row],[inner温度'[℃']]]+Q$3-20))</f>
        <v>0.10721056999999234</v>
      </c>
      <c r="R26" s="179">
        <f>寸法→圧入力!F$24*(1+寸法→圧入力!D$29*10^-6*(テーブル4[[#This Row],[inner温度'[℃']]]-20)) - 寸法→圧入力!D$33*(1+寸法→圧入力!D$38*10^-6*(テーブル4[[#This Row],[inner温度'[℃']]]+R$3-20))</f>
        <v>9.7781569999995099E-2</v>
      </c>
      <c r="S26" s="179">
        <f>寸法→圧入力!F$24*(1+寸法→圧入力!D$29*10^-6*(テーブル4[[#This Row],[inner温度'[℃']]]-20)) - 寸法→圧入力!D$33*(1+寸法→圧入力!D$38*10^-6*(テーブル4[[#This Row],[inner温度'[℃']]]+S$3-20))</f>
        <v>8.8352569999997854E-2</v>
      </c>
      <c r="T26" s="179">
        <f>寸法→圧入力!F$24*(1+寸法→圧入力!D$29*10^-6*(テーブル4[[#This Row],[inner温度'[℃']]]-20)) - 寸法→圧入力!D$33*(1+寸法→圧入力!D$38*10^-6*(テーブル4[[#This Row],[inner温度'[℃']]]+T$3-20))</f>
        <v>7.8923569999993504E-2</v>
      </c>
      <c r="U26" s="179">
        <f>寸法→圧入力!F$24*(1+寸法→圧入力!D$29*10^-6*(テーブル4[[#This Row],[inner温度'[℃']]]-20)) - 寸法→圧入力!D$33*(1+寸法→圧入力!D$38*10^-6*(テーブル4[[#This Row],[inner温度'[℃']]]+U$3-20))</f>
        <v>6.9494569999989153E-2</v>
      </c>
      <c r="V26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66.073435417757693</v>
      </c>
      <c r="W26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61.131629362891232</v>
      </c>
      <c r="X26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56.189823308028508</v>
      </c>
      <c r="Y26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51.248017253165791</v>
      </c>
      <c r="Z26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46.306211198303068</v>
      </c>
      <c r="AA26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41.364405143436613</v>
      </c>
      <c r="AB26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36.422599088570173</v>
      </c>
      <c r="AC26" s="101">
        <f>テーブル4[[#This Row],[半径方向応力:Δ-30℃]]*2*寸法→圧入力!D$24^2/(寸法→圧入力!D$24^2-寸法→圧入力!F$25^2)</f>
        <v>239.14191676593958</v>
      </c>
      <c r="AD26" s="101">
        <f>テーブル4[[#This Row],[半径方向応力:Δ-20℃]]*2*寸法→圧入力!D$24^2/(寸法→圧入力!D$24^2-寸法→圧入力!F$25^2)</f>
        <v>221.25586369825425</v>
      </c>
      <c r="AE26" s="101">
        <f>テーブル4[[#This Row],[半径方向応力:Δ-10℃]]*2*寸法→圧入力!D$24^2/(寸法→圧入力!D$24^2-寸法→圧入力!F$25^2)</f>
        <v>203.36981063058249</v>
      </c>
      <c r="AF26" s="101">
        <f>テーブル4[[#This Row],[半径方向応力:Δ0℃]]*2*寸法→圧入力!D$24^2/(寸法→圧入力!D$24^2-寸法→圧入力!F$25^2)</f>
        <v>185.48375756291074</v>
      </c>
      <c r="AG26" s="101">
        <f>テーブル4[[#This Row],[半径方向応力:Δ+10℃]]*2*寸法→圧入力!D$24^2/(寸法→圧入力!D$24^2-寸法→圧入力!F$25^2)</f>
        <v>167.59770449523899</v>
      </c>
      <c r="AH26" s="101">
        <f>テーブル4[[#This Row],[半径方向応力:Δ+20℃]]*2*寸法→圧入力!D$24^2/(寸法→圧入力!D$24^2-寸法→圧入力!F$25^2)</f>
        <v>149.7116514275537</v>
      </c>
      <c r="AI26" s="101">
        <f>テーブル4[[#This Row],[半径方向応力:Δ+30℃]]*2*寸法→圧入力!D$24^2/(寸法→圧入力!D$24^2-寸法→圧入力!F$25^2)</f>
        <v>131.82559835986848</v>
      </c>
      <c r="AJ26" s="101">
        <f>寸法→圧入力!$D$30</f>
        <v>345</v>
      </c>
      <c r="AK26" s="101">
        <f>テーブル4[[#This Row],[半径方向応力:Δ-30℃]]* (1+(寸法→圧入力!D$34/寸法→圧入力!F$33)^2)/((寸法→圧入力!D$34/寸法→圧入力!F$33)^2-1)</f>
        <v>129.33684995368293</v>
      </c>
      <c r="AL26" s="101">
        <f>テーブル4[[#This Row],[半径方向応力:Δ-20℃]]* (1+(寸法→圧入力!D$34/寸法→圧入力!F$33)^2)/((寸法→圧入力!D$34/寸法→圧入力!F$33)^2-1)</f>
        <v>119.66340669804909</v>
      </c>
      <c r="AM26" s="101">
        <f>テーブル4[[#This Row],[半径方向応力:Δ-10℃]]* (1+(寸法→圧入力!D$34/寸法→圧入力!F$33)^2)/((寸法→圧入力!D$34/寸法→圧入力!F$33)^2-1)</f>
        <v>109.98996344242258</v>
      </c>
      <c r="AN26" s="101">
        <f>テーブル4[[#This Row],[半径方向応力:Δ0℃]]* (1+(寸法→圧入力!D$34/寸法→圧入力!F$33)^2)/((寸法→圧入力!D$34/寸法→圧入力!F$33)^2-1)</f>
        <v>100.3165201867961</v>
      </c>
      <c r="AO26" s="101">
        <f>テーブル4[[#This Row],[半径方向応力:Δ+10℃]]* (1+(寸法→圧入力!D$34/寸法→圧入力!F$33)^2)/((寸法→圧入力!D$34/寸法→圧入力!F$33)^2-1)</f>
        <v>90.643076931169574</v>
      </c>
      <c r="AP26" s="101">
        <f>テーブル4[[#This Row],[半径方向応力:Δ+20℃]]* (1+(寸法→圧入力!D$34/寸法→圧入力!F$33)^2)/((寸法→圧入力!D$34/寸法→圧入力!F$33)^2-1)</f>
        <v>80.969633675535775</v>
      </c>
      <c r="AQ26" s="101">
        <f>テーブル4[[#This Row],[半径方向応力:Δ+30℃]]* (1+(寸法→圧入力!D$34/寸法→圧入力!F$33)^2)/((寸法→圧入力!D$34/寸法→圧入力!F$33)^2-1)</f>
        <v>71.29619041990199</v>
      </c>
      <c r="AR26" s="101">
        <f>寸法→圧入力!$D$39</f>
        <v>150</v>
      </c>
    </row>
    <row r="27" spans="1:44">
      <c r="A27" s="179">
        <f t="shared" si="0"/>
        <v>0.21</v>
      </c>
      <c r="B27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107.84593703691255</v>
      </c>
      <c r="C27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108.9605061229603</v>
      </c>
      <c r="D27" s="101">
        <f>(A27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110.06249565399035</v>
      </c>
      <c r="E27" s="101">
        <f>テーブル3[[#This Row],[半径方向応力min]]*寸法→圧入力!D$46*寸法→圧入力!D$5/1000</f>
        <v>18.788839743820638</v>
      </c>
      <c r="F27" s="101">
        <f>テーブル3[[#This Row],[半径方向応力min]]*寸法→圧入力!E$46*寸法→圧入力!E$5/1000</f>
        <v>23.994340457908621</v>
      </c>
      <c r="G27" s="101">
        <f>テーブル3[[#This Row],[半径方向応力min]]*寸法→圧入力!F$46*寸法→圧入力!F$5/1000</f>
        <v>29.409044407833999</v>
      </c>
      <c r="H27" s="101">
        <f>寸法→圧入力!$D$30</f>
        <v>345</v>
      </c>
      <c r="I27" s="101">
        <f>寸法→圧入力!$D$39</f>
        <v>150</v>
      </c>
      <c r="J27" s="101">
        <f>テーブル3[[#This Row],[半径方向応力nor]]*2*寸法→圧入力!E$24^2/(寸法→圧入力!E$24^2-寸法→圧入力!E$25^2)</f>
        <v>392.18811133042101</v>
      </c>
      <c r="K27" s="101">
        <f>テーブル3[[#This Row],[半径方向応力nor]]* (1+(寸法→圧入力!E$34/寸法→圧入力!E$33)^2)/((寸法→圧入力!E$34/寸法→圧入力!E$33)^2-1)</f>
        <v>209.33612622540477</v>
      </c>
      <c r="N27">
        <f t="shared" si="1"/>
        <v>55</v>
      </c>
      <c r="O27" s="179">
        <f>寸法→圧入力!F$24*(1+寸法→圧入力!D$29*10^-6*(テーブル4[[#This Row],[inner温度'[℃']]]-20)) - 寸法→圧入力!D$33*(1+寸法→圧入力!D$38*10^-6*(テーブル4[[#This Row],[inner温度'[℃']]]+O$3-20))</f>
        <v>0.12403216500000269</v>
      </c>
      <c r="P27" s="179">
        <f>寸法→圧入力!F$24*(1+寸法→圧入力!D$29*10^-6*(テーブル4[[#This Row],[inner温度'[℃']]]-20)) - 寸法→圧入力!D$33*(1+寸法→圧入力!D$38*10^-6*(テーブル4[[#This Row],[inner温度'[℃']]]+P$3-20))</f>
        <v>0.11460316499999834</v>
      </c>
      <c r="Q27" s="179">
        <f>寸法→圧入力!F$24*(1+寸法→圧入力!D$29*10^-6*(テーブル4[[#This Row],[inner温度'[℃']]]-20)) - 寸法→圧入力!D$33*(1+寸法→圧入力!D$38*10^-6*(テーブル4[[#This Row],[inner温度'[℃']]]+Q$3-20))</f>
        <v>0.10517416499999399</v>
      </c>
      <c r="R27" s="179">
        <f>寸法→圧入力!F$24*(1+寸法→圧入力!D$29*10^-6*(テーブル4[[#This Row],[inner温度'[℃']]]-20)) - 寸法→圧入力!D$33*(1+寸法→圧入力!D$38*10^-6*(テーブル4[[#This Row],[inner温度'[℃']]]+R$3-20))</f>
        <v>9.5745165000003851E-2</v>
      </c>
      <c r="S27" s="179">
        <f>寸法→圧入力!F$24*(1+寸法→圧入力!D$29*10^-6*(テーブル4[[#This Row],[inner温度'[℃']]]-20)) - 寸法→圧入力!D$33*(1+寸法→圧入力!D$38*10^-6*(テーブル4[[#This Row],[inner温度'[℃']]]+S$3-20))</f>
        <v>8.6316164999999501E-2</v>
      </c>
      <c r="T27" s="179">
        <f>寸法→圧入力!F$24*(1+寸法→圧入力!D$29*10^-6*(テーブル4[[#This Row],[inner温度'[℃']]]-20)) - 寸法→圧入力!D$33*(1+寸法→圧入力!D$38*10^-6*(テーブル4[[#This Row],[inner温度'[℃']]]+T$3-20))</f>
        <v>7.6887165000002256E-2</v>
      </c>
      <c r="U27" s="179">
        <f>寸法→圧入力!F$24*(1+寸法→圧入力!D$29*10^-6*(テーブル4[[#This Row],[inner温度'[℃']]]-20)) - 寸法→圧入力!D$33*(1+寸法→圧入力!D$38*10^-6*(テーブル4[[#This Row],[inner温度'[℃']]]+U$3-20))</f>
        <v>6.7458164999997905E-2</v>
      </c>
      <c r="V27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65.006141053656251</v>
      </c>
      <c r="W27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60.064334998789796</v>
      </c>
      <c r="X27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55.122528943923356</v>
      </c>
      <c r="Y27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50.180722889064356</v>
      </c>
      <c r="Z27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45.238916834197909</v>
      </c>
      <c r="AA27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40.297110779335185</v>
      </c>
      <c r="AB27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35.355304724468731</v>
      </c>
      <c r="AC27" s="101">
        <f>テーブル4[[#This Row],[半径方向応力:Δ-30℃]]*2*寸法→圧入力!D$24^2/(寸法→圧入力!D$24^2-寸法→圧入力!F$25^2)</f>
        <v>235.27902060546376</v>
      </c>
      <c r="AD27" s="101">
        <f>テーブル4[[#This Row],[半径方向応力:Δ-20℃]]*2*寸法→圧入力!D$24^2/(寸法→圧入力!D$24^2-寸法→圧入力!F$25^2)</f>
        <v>217.39296753777845</v>
      </c>
      <c r="AE27" s="101">
        <f>テーブル4[[#This Row],[半径方向応力:Δ-10℃]]*2*寸法→圧入力!D$24^2/(寸法→圧入力!D$24^2-寸法→圧入力!F$25^2)</f>
        <v>199.50691447009325</v>
      </c>
      <c r="AF27" s="101">
        <f>テーブル4[[#This Row],[半径方向応力:Δ0℃]]*2*寸法→圧入力!D$24^2/(寸法→圧入力!D$24^2-寸法→圧入力!F$25^2)</f>
        <v>181.62086140243494</v>
      </c>
      <c r="AG27" s="101">
        <f>テーブル4[[#This Row],[半径方向応力:Δ+10℃]]*2*寸法→圧入力!D$24^2/(寸法→圧入力!D$24^2-寸法→圧入力!F$25^2)</f>
        <v>163.73480833474969</v>
      </c>
      <c r="AH27" s="101">
        <f>テーブル4[[#This Row],[半径方向応力:Δ+20℃]]*2*寸法→圧入力!D$24^2/(寸法→圧入力!D$24^2-寸法→圧入力!F$25^2)</f>
        <v>145.84875526707793</v>
      </c>
      <c r="AI27" s="101">
        <f>テーブル4[[#This Row],[半径方向応力:Δ+30℃]]*2*寸法→圧入力!D$24^2/(寸法→圧入力!D$24^2-寸法→圧入力!F$25^2)</f>
        <v>127.96270219939267</v>
      </c>
      <c r="AJ27" s="101">
        <f>寸法→圧入力!$D$30</f>
        <v>345</v>
      </c>
      <c r="AK27" s="101">
        <f>テーブル4[[#This Row],[半径方向応力:Δ-30℃]]* (1+(寸法→圧入力!D$34/寸法→圧入力!F$33)^2)/((寸法→圧入力!D$34/寸法→圧入力!F$33)^2-1)</f>
        <v>127.2476519249529</v>
      </c>
      <c r="AL27" s="101">
        <f>テーブル4[[#This Row],[半径方向応力:Δ-20℃]]* (1+(寸法→圧入力!D$34/寸法→圧入力!F$33)^2)/((寸法→圧入力!D$34/寸法→圧入力!F$33)^2-1)</f>
        <v>117.57420866931909</v>
      </c>
      <c r="AM27" s="101">
        <f>テーブル4[[#This Row],[半径方向応力:Δ-10℃]]* (1+(寸法→圧入力!D$34/寸法→圧入力!F$33)^2)/((寸法→圧入力!D$34/寸法→圧入力!F$33)^2-1)</f>
        <v>107.90076541368531</v>
      </c>
      <c r="AN27" s="101">
        <f>テーブル4[[#This Row],[半径方向応力:Δ0℃]]* (1+(寸法→圧入力!D$34/寸法→圧入力!F$33)^2)/((寸法→圧入力!D$34/寸法→圧入力!F$33)^2-1)</f>
        <v>98.227322158066087</v>
      </c>
      <c r="AO27" s="101">
        <f>テーブル4[[#This Row],[半径方向応力:Δ+10℃]]* (1+(寸法→圧入力!D$34/寸法→圧入力!F$33)^2)/((寸法→圧入力!D$34/寸法→圧入力!F$33)^2-1)</f>
        <v>88.553878902432288</v>
      </c>
      <c r="AP27" s="101">
        <f>テーブル4[[#This Row],[半径方向応力:Δ+20℃]]* (1+(寸法→圧入力!D$34/寸法→圧入力!F$33)^2)/((寸法→圧入力!D$34/寸法→圧入力!F$33)^2-1)</f>
        <v>78.880435646805779</v>
      </c>
      <c r="AQ27" s="101">
        <f>テーブル4[[#This Row],[半径方向応力:Δ+30℃]]* (1+(寸法→圧入力!D$34/寸法→圧入力!F$33)^2)/((寸法→圧入力!D$34/寸法→圧入力!F$33)^2-1)</f>
        <v>69.206992391171966</v>
      </c>
      <c r="AR27" s="101">
        <f>寸法→圧入力!$D$39</f>
        <v>150</v>
      </c>
    </row>
    <row r="28" spans="1:44">
      <c r="A28" s="179">
        <f t="shared" si="0"/>
        <v>0.22</v>
      </c>
      <c r="B28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112.9814578481941</v>
      </c>
      <c r="C28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114.14910165262509</v>
      </c>
      <c r="D28" s="101">
        <f>(A28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115.30356687560895</v>
      </c>
      <c r="E28" s="101">
        <f>テーブル3[[#This Row],[半径方向応力min]]*寸法→圧入力!D$46*寸法→圧入力!D$5/1000</f>
        <v>19.683546398288286</v>
      </c>
      <c r="F28" s="101">
        <f>テーブル3[[#This Row],[半径方向応力min]]*寸法→圧入力!E$46*寸法→圧入力!E$5/1000</f>
        <v>25.136928098761416</v>
      </c>
      <c r="G28" s="101">
        <f>テーブル3[[#This Row],[半径方向応力min]]*寸法→圧入力!F$46*寸法→圧入力!F$5/1000</f>
        <v>30.809475093921332</v>
      </c>
      <c r="H28" s="101">
        <f>寸法→圧入力!$D$30</f>
        <v>345</v>
      </c>
      <c r="I28" s="101">
        <f>寸法→圧入力!$D$39</f>
        <v>150</v>
      </c>
      <c r="J28" s="101">
        <f>テーブル3[[#This Row],[半径方向応力nor]]*2*寸法→圧入力!E$24^2/(寸法→圧入力!E$24^2-寸法→圧入力!E$25^2)</f>
        <v>410.86373567948874</v>
      </c>
      <c r="K28" s="101">
        <f>テーブル3[[#This Row],[半径方向応力nor]]* (1+(寸法→圧入力!E$34/寸法→圧入力!E$33)^2)/((寸法→圧入力!E$34/寸法→圧入力!E$33)^2-1)</f>
        <v>219.30451318851931</v>
      </c>
      <c r="N28">
        <f t="shared" si="1"/>
        <v>60</v>
      </c>
      <c r="O28" s="179">
        <f>寸法→圧入力!F$24*(1+寸法→圧入力!D$29*10^-6*(テーブル4[[#This Row],[inner温度'[℃']]]-20)) - 寸法→圧入力!D$33*(1+寸法→圧入力!D$38*10^-6*(テーブル4[[#This Row],[inner温度'[℃']]]+O$3-20))</f>
        <v>0.12199575999999013</v>
      </c>
      <c r="P28" s="179">
        <f>寸法→圧入力!F$24*(1+寸法→圧入力!D$29*10^-6*(テーブル4[[#This Row],[inner温度'[℃']]]-20)) - 寸法→圧入力!D$33*(1+寸法→圧入力!D$38*10^-6*(テーブル4[[#This Row],[inner温度'[℃']]]+P$3-20))</f>
        <v>0.11256675999999288</v>
      </c>
      <c r="Q28" s="179">
        <f>寸法→圧入力!F$24*(1+寸法→圧入力!D$29*10^-6*(テーブル4[[#This Row],[inner温度'[℃']]]-20)) - 寸法→圧入力!D$33*(1+寸法→圧入力!D$38*10^-6*(テーブル4[[#This Row],[inner温度'[℃']]]+Q$3-20))</f>
        <v>0.10313775999999564</v>
      </c>
      <c r="R28" s="179">
        <f>寸法→圧入力!F$24*(1+寸法→圧入力!D$29*10^-6*(テーブル4[[#This Row],[inner温度'[℃']]]-20)) - 寸法→圧入力!D$33*(1+寸法→圧入力!D$38*10^-6*(テーブル4[[#This Row],[inner温度'[℃']]]+R$3-20))</f>
        <v>9.3708759999998392E-2</v>
      </c>
      <c r="S28" s="179">
        <f>寸法→圧入力!F$24*(1+寸法→圧入力!D$29*10^-6*(テーブル4[[#This Row],[inner温度'[℃']]]-20)) - 寸法→圧入力!D$33*(1+寸法→圧入力!D$38*10^-6*(テーブル4[[#This Row],[inner温度'[℃']]]+S$3-20))</f>
        <v>8.4279759999994042E-2</v>
      </c>
      <c r="T28" s="179">
        <f>寸法→圧入力!F$24*(1+寸法→圧入力!D$29*10^-6*(テーブル4[[#This Row],[inner温度'[℃']]]-20)) - 寸法→圧入力!D$33*(1+寸法→圧入力!D$38*10^-6*(テーブル4[[#This Row],[inner温度'[℃']]]+T$3-20))</f>
        <v>7.4850759999989691E-2</v>
      </c>
      <c r="U28" s="179">
        <f>寸法→圧入力!F$24*(1+寸法→圧入力!D$29*10^-6*(テーブル4[[#This Row],[inner温度'[℃']]]-20)) - 寸法→圧入力!D$33*(1+寸法→圧入力!D$38*10^-6*(テーブル4[[#This Row],[inner温度'[℃']]]+U$3-20))</f>
        <v>6.5421759999992446E-2</v>
      </c>
      <c r="V28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63.938846689543645</v>
      </c>
      <c r="W28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58.997040634680921</v>
      </c>
      <c r="X28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54.055234579818197</v>
      </c>
      <c r="Y28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49.113428524955474</v>
      </c>
      <c r="Z28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44.171622470089027</v>
      </c>
      <c r="AA28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39.229816415222579</v>
      </c>
      <c r="AB28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34.288010360359856</v>
      </c>
      <c r="AC28" s="101">
        <f>テーブル4[[#This Row],[半径方向応力:Δ-30℃]]*2*寸法→圧入力!D$24^2/(寸法→圧入力!D$24^2-寸法→圧入力!F$25^2)</f>
        <v>231.41612444494749</v>
      </c>
      <c r="AD28" s="101">
        <f>テーブル4[[#This Row],[半径方向応力:Δ-20℃]]*2*寸法→圧入力!D$24^2/(寸法→圧入力!D$24^2-寸法→圧入力!F$25^2)</f>
        <v>213.53007137727576</v>
      </c>
      <c r="AE28" s="101">
        <f>テーブル4[[#This Row],[半径方向応力:Δ-10℃]]*2*寸法→圧入力!D$24^2/(寸法→圧入力!D$24^2-寸法→圧入力!F$25^2)</f>
        <v>195.64401830960398</v>
      </c>
      <c r="AF28" s="101">
        <f>テーブル4[[#This Row],[半径方向応力:Δ0℃]]*2*寸法→圧入力!D$24^2/(寸法→圧入力!D$24^2-寸法→圧入力!F$25^2)</f>
        <v>177.7579652419322</v>
      </c>
      <c r="AG28" s="101">
        <f>テーブル4[[#This Row],[半径方向応力:Δ+10℃]]*2*寸法→圧入力!D$24^2/(寸法→圧入力!D$24^2-寸法→圧入力!F$25^2)</f>
        <v>159.87191217424694</v>
      </c>
      <c r="AH28" s="101">
        <f>テーブル4[[#This Row],[半径方向応力:Δ+20℃]]*2*寸法→圧入力!D$24^2/(寸法→圧入力!D$24^2-寸法→圧入力!F$25^2)</f>
        <v>141.98585910656169</v>
      </c>
      <c r="AI28" s="101">
        <f>テーブル4[[#This Row],[半径方向応力:Δ+30℃]]*2*寸法→圧入力!D$24^2/(寸法→圧入力!D$24^2-寸法→圧入力!F$25^2)</f>
        <v>124.09980603888992</v>
      </c>
      <c r="AJ28" s="101">
        <f>寸法→圧入力!$D$30</f>
        <v>345</v>
      </c>
      <c r="AK28" s="101">
        <f>テーブル4[[#This Row],[半径方向応力:Δ-30℃]]* (1+(寸法→圧入力!D$34/寸法→圧入力!F$33)^2)/((寸法→圧入力!D$34/寸法→圧入力!F$33)^2-1)</f>
        <v>125.15845389620104</v>
      </c>
      <c r="AL28" s="101">
        <f>テーブル4[[#This Row],[半径方向応力:Δ-20℃]]* (1+(寸法→圧入力!D$34/寸法→圧入力!F$33)^2)/((寸法→圧入力!D$34/寸法→圧入力!F$33)^2-1)</f>
        <v>115.48501064057452</v>
      </c>
      <c r="AM28" s="101">
        <f>テーブル4[[#This Row],[半径方向応力:Δ-10℃]]* (1+(寸法→圧入力!D$34/寸法→圧入力!F$33)^2)/((寸法→圧入力!D$34/寸法→圧入力!F$33)^2-1)</f>
        <v>105.81156738494801</v>
      </c>
      <c r="AN28" s="101">
        <f>テーブル4[[#This Row],[半径方向応力:Δ0℃]]* (1+(寸法→圧入力!D$34/寸法→圧入力!F$33)^2)/((寸法→圧入力!D$34/寸法→圧入力!F$33)^2-1)</f>
        <v>96.138124129321511</v>
      </c>
      <c r="AO28" s="101">
        <f>テーブル4[[#This Row],[半径方向応力:Δ+10℃]]* (1+(寸法→圧入力!D$34/寸法→圧入力!F$33)^2)/((寸法→圧入力!D$34/寸法→圧入力!F$33)^2-1)</f>
        <v>86.464680873687698</v>
      </c>
      <c r="AP28" s="101">
        <f>テーブル4[[#This Row],[半径方向応力:Δ+20℃]]* (1+(寸法→圧入力!D$34/寸法→圧入力!F$33)^2)/((寸法→圧入力!D$34/寸法→圧入力!F$33)^2-1)</f>
        <v>76.791237618053898</v>
      </c>
      <c r="AQ28" s="101">
        <f>テーブル4[[#This Row],[半径方向応力:Δ+30℃]]* (1+(寸法→圧入力!D$34/寸法→圧入力!F$33)^2)/((寸法→圧入力!D$34/寸法→圧入力!F$33)^2-1)</f>
        <v>67.117794362427404</v>
      </c>
      <c r="AR28" s="101">
        <f>寸法→圧入力!$D$39</f>
        <v>150</v>
      </c>
    </row>
    <row r="29" spans="1:44">
      <c r="A29" s="179">
        <f t="shared" si="0"/>
        <v>0.23</v>
      </c>
      <c r="B29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118.11697865947566</v>
      </c>
      <c r="C29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119.33769718228987</v>
      </c>
      <c r="D29" s="101">
        <f>(A29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120.54463809722755</v>
      </c>
      <c r="E29" s="101">
        <f>テーブル3[[#This Row],[半径方向応力min]]*寸法→圧入力!D$46*寸法→圧入力!D$5/1000</f>
        <v>20.578253052755937</v>
      </c>
      <c r="F29" s="101">
        <f>テーブル3[[#This Row],[半径方向応力min]]*寸法→圧入力!E$46*寸法→圧入力!E$5/1000</f>
        <v>26.279515739614205</v>
      </c>
      <c r="G29" s="101">
        <f>テーブル3[[#This Row],[半径方向応力min]]*寸法→圧入力!F$46*寸法→圧入力!F$5/1000</f>
        <v>32.209905780008675</v>
      </c>
      <c r="H29" s="101">
        <f>寸法→圧入力!$D$30</f>
        <v>345</v>
      </c>
      <c r="I29" s="101">
        <f>寸法→圧入力!$D$39</f>
        <v>150</v>
      </c>
      <c r="J29" s="101">
        <f>テーブル3[[#This Row],[半径方向応力nor]]*2*寸法→圧入力!E$24^2/(寸法→圧入力!E$24^2-寸法→圧入力!E$25^2)</f>
        <v>429.53936002855642</v>
      </c>
      <c r="K29" s="101">
        <f>テーブル3[[#This Row],[半径方向応力nor]]* (1+(寸法→圧入力!E$34/寸法→圧入力!E$33)^2)/((寸法→圧入力!E$34/寸法→圧入力!E$33)^2-1)</f>
        <v>229.27290015163382</v>
      </c>
      <c r="N29">
        <f t="shared" si="1"/>
        <v>65</v>
      </c>
      <c r="O29" s="179">
        <f>寸法→圧入力!F$24*(1+寸法→圧入力!D$29*10^-6*(テーブル4[[#This Row],[inner温度'[℃']]]-20)) - 寸法→圧入力!D$33*(1+寸法→圧入力!D$38*10^-6*(テーブル4[[#This Row],[inner温度'[℃']]]+O$3-20))</f>
        <v>0.11995935499999888</v>
      </c>
      <c r="P29" s="179">
        <f>寸法→圧入力!F$24*(1+寸法→圧入力!D$29*10^-6*(テーブル4[[#This Row],[inner温度'[℃']]]-20)) - 寸法→圧入力!D$33*(1+寸法→圧入力!D$38*10^-6*(テーブル4[[#This Row],[inner温度'[℃']]]+P$3-20))</f>
        <v>0.11053035499999453</v>
      </c>
      <c r="Q29" s="179">
        <f>寸法→圧入力!F$24*(1+寸法→圧入力!D$29*10^-6*(テーブル4[[#This Row],[inner温度'[℃']]]-20)) - 寸法→圧入力!D$33*(1+寸法→圧入力!D$38*10^-6*(テーブル4[[#This Row],[inner温度'[℃']]]+Q$3-20))</f>
        <v>0.10110135500000439</v>
      </c>
      <c r="R29" s="179">
        <f>寸法→圧入力!F$24*(1+寸法→圧入力!D$29*10^-6*(テーブル4[[#This Row],[inner温度'[℃']]]-20)) - 寸法→圧入力!D$33*(1+寸法→圧入力!D$38*10^-6*(テーブル4[[#This Row],[inner温度'[℃']]]+R$3-20))</f>
        <v>9.1672355000000039E-2</v>
      </c>
      <c r="S29" s="179">
        <f>寸法→圧入力!F$24*(1+寸法→圧入力!D$29*10^-6*(テーブル4[[#This Row],[inner温度'[℃']]]-20)) - 寸法→圧入力!D$33*(1+寸法→圧入力!D$38*10^-6*(テーブル4[[#This Row],[inner温度'[℃']]]+S$3-20))</f>
        <v>8.2243355000002794E-2</v>
      </c>
      <c r="T29" s="179">
        <f>寸法→圧入力!F$24*(1+寸法→圧入力!D$29*10^-6*(テーブル4[[#This Row],[inner温度'[℃']]]-20)) - 寸法→圧入力!D$33*(1+寸法→圧入力!D$38*10^-6*(テーブル4[[#This Row],[inner温度'[℃']]]+T$3-20))</f>
        <v>7.2814354999998443E-2</v>
      </c>
      <c r="U29" s="179">
        <f>寸法→圧入力!F$24*(1+寸法→圧入力!D$29*10^-6*(テーブル4[[#This Row],[inner温度'[℃']]]-20)) - 寸法→圧入力!D$33*(1+寸法→圧入力!D$38*10^-6*(テーブル4[[#This Row],[inner温度'[℃']]]+U$3-20))</f>
        <v>6.3385354999994092E-2</v>
      </c>
      <c r="V29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62.87155232544221</v>
      </c>
      <c r="W29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57.929746270575762</v>
      </c>
      <c r="X29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52.987940215716762</v>
      </c>
      <c r="Y29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48.046134160850322</v>
      </c>
      <c r="Z29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43.104328105987591</v>
      </c>
      <c r="AA29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38.162522051121144</v>
      </c>
      <c r="AB29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33.220715996254697</v>
      </c>
      <c r="AC29" s="101">
        <f>テーブル4[[#This Row],[半径方向応力:Δ-30℃]]*2*寸法→圧入力!D$24^2/(寸法→圧入力!D$24^2-寸法→圧入力!F$25^2)</f>
        <v>227.55322828447171</v>
      </c>
      <c r="AD29" s="101">
        <f>テーブル4[[#This Row],[半径方向応力:Δ-20℃]]*2*寸法→圧入力!D$24^2/(寸法→圧入力!D$24^2-寸法→圧入力!F$25^2)</f>
        <v>209.66717521678646</v>
      </c>
      <c r="AE29" s="101">
        <f>テーブル4[[#This Row],[半径方向応力:Δ-10℃]]*2*寸法→圧入力!D$24^2/(寸法→圧入力!D$24^2-寸法→圧入力!F$25^2)</f>
        <v>191.78112214912815</v>
      </c>
      <c r="AF29" s="101">
        <f>テーブル4[[#This Row],[半径方向応力:Δ0℃]]*2*寸法→圧入力!D$24^2/(寸法→圧入力!D$24^2-寸法→圧入力!F$25^2)</f>
        <v>173.89506908144293</v>
      </c>
      <c r="AG29" s="101">
        <f>テーブル4[[#This Row],[半径方向応力:Δ+10℃]]*2*寸法→圧入力!D$24^2/(寸法→圧入力!D$24^2-寸法→圧入力!F$25^2)</f>
        <v>156.00901601377117</v>
      </c>
      <c r="AH29" s="101">
        <f>テーブル4[[#This Row],[半径方向応力:Δ+20℃]]*2*寸法→圧入力!D$24^2/(寸法→圧入力!D$24^2-寸法→圧入力!F$25^2)</f>
        <v>138.12296294608592</v>
      </c>
      <c r="AI29" s="101">
        <f>テーブル4[[#This Row],[半径方向応力:Δ+30℃]]*2*寸法→圧入力!D$24^2/(寸法→圧入力!D$24^2-寸法→圧入力!F$25^2)</f>
        <v>120.23690987840067</v>
      </c>
      <c r="AJ29" s="101">
        <f>寸法→圧入力!$D$30</f>
        <v>345</v>
      </c>
      <c r="AK29" s="101">
        <f>テーブル4[[#This Row],[半径方向応力:Δ-30℃]]* (1+(寸法→圧入力!D$34/寸法→圧入力!F$33)^2)/((寸法→圧入力!D$34/寸法→圧入力!F$33)^2-1)</f>
        <v>123.06925586747101</v>
      </c>
      <c r="AL29" s="101">
        <f>テーブル4[[#This Row],[半径方向応力:Δ-20℃]]* (1+(寸法→圧入力!D$34/寸法→圧入力!F$33)^2)/((寸法→圧入力!D$34/寸法→圧入力!F$33)^2-1)</f>
        <v>113.39581261183721</v>
      </c>
      <c r="AM29" s="101">
        <f>テーブル4[[#This Row],[半径方向応力:Δ-10℃]]* (1+(寸法→圧入力!D$34/寸法→圧入力!F$33)^2)/((寸法→圧入力!D$34/寸法→圧入力!F$33)^2-1)</f>
        <v>103.722369356218</v>
      </c>
      <c r="AN29" s="101">
        <f>テーブル4[[#This Row],[半径方向応力:Δ0℃]]* (1+(寸法→圧入力!D$34/寸法→圧入力!F$33)^2)/((寸法→圧入力!D$34/寸法→圧入力!F$33)^2-1)</f>
        <v>94.048926100584211</v>
      </c>
      <c r="AO29" s="101">
        <f>テーブル4[[#This Row],[半径方向応力:Δ+10℃]]* (1+(寸法→圧入力!D$34/寸法→圧入力!F$33)^2)/((寸法→圧入力!D$34/寸法→圧入力!F$33)^2-1)</f>
        <v>84.375482844957688</v>
      </c>
      <c r="AP29" s="101">
        <f>テーブル4[[#This Row],[半径方向応力:Δ+20℃]]* (1+(寸法→圧入力!D$34/寸法→圧入力!F$33)^2)/((寸法→圧入力!D$34/寸法→圧入力!F$33)^2-1)</f>
        <v>74.702039589323888</v>
      </c>
      <c r="AQ29" s="101">
        <f>テーブル4[[#This Row],[半径方向応力:Δ+30℃]]* (1+(寸法→圧入力!D$34/寸法→圧入力!F$33)^2)/((寸法→圧入力!D$34/寸法→圧入力!F$33)^2-1)</f>
        <v>65.028596333690103</v>
      </c>
      <c r="AR29" s="101">
        <f>寸法→圧入力!$D$39</f>
        <v>150</v>
      </c>
    </row>
    <row r="30" spans="1:44">
      <c r="A30" s="179">
        <f t="shared" si="0"/>
        <v>0.24</v>
      </c>
      <c r="B30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123.2524994707572</v>
      </c>
      <c r="C30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124.52629271195464</v>
      </c>
      <c r="D30" s="101">
        <f>(A30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125.78570931884613</v>
      </c>
      <c r="E30" s="101">
        <f>テーブル3[[#This Row],[半径方向応力min]]*寸法→圧入力!D$46*寸法→圧入力!D$5/1000</f>
        <v>21.472959707223588</v>
      </c>
      <c r="F30" s="101">
        <f>テーブル3[[#This Row],[半径方向応力min]]*寸法→圧入力!E$46*寸法→圧入力!E$5/1000</f>
        <v>27.422103380466993</v>
      </c>
      <c r="G30" s="101">
        <f>テーブル3[[#This Row],[半径方向応力min]]*寸法→圧入力!F$46*寸法→圧入力!F$5/1000</f>
        <v>33.610336466096008</v>
      </c>
      <c r="H30" s="101">
        <f>寸法→圧入力!$D$30</f>
        <v>345</v>
      </c>
      <c r="I30" s="101">
        <f>寸法→圧入力!$D$39</f>
        <v>150</v>
      </c>
      <c r="J30" s="101">
        <f>テーブル3[[#This Row],[半径方向応力nor]]*2*寸法→圧入力!E$24^2/(寸法→圧入力!E$24^2-寸法→圧入力!E$25^2)</f>
        <v>448.21498437762409</v>
      </c>
      <c r="K30" s="101">
        <f>テーブル3[[#This Row],[半径方向応力nor]]* (1+(寸法→圧入力!E$34/寸法→圧入力!E$33)^2)/((寸法→圧入力!E$34/寸法→圧入力!E$33)^2-1)</f>
        <v>239.24128711474833</v>
      </c>
      <c r="N30">
        <f t="shared" si="1"/>
        <v>70</v>
      </c>
      <c r="O30" s="179">
        <f>寸法→圧入力!F$24*(1+寸法→圧入力!D$29*10^-6*(テーブル4[[#This Row],[inner温度'[℃']]]-20)) - 寸法→圧入力!D$33*(1+寸法→圧入力!D$38*10^-6*(テーブル4[[#This Row],[inner温度'[℃']]]+O$3-20))</f>
        <v>0.11792294999999342</v>
      </c>
      <c r="P30" s="179">
        <f>寸法→圧入力!F$24*(1+寸法→圧入力!D$29*10^-6*(テーブル4[[#This Row],[inner温度'[℃']]]-20)) - 寸法→圧入力!D$33*(1+寸法→圧入力!D$38*10^-6*(テーブル4[[#This Row],[inner温度'[℃']]]+P$3-20))</f>
        <v>0.10849394999999618</v>
      </c>
      <c r="Q30" s="179">
        <f>寸法→圧入力!F$24*(1+寸法→圧入力!D$29*10^-6*(テーブル4[[#This Row],[inner温度'[℃']]]-20)) - 寸法→圧入力!D$33*(1+寸法→圧入力!D$38*10^-6*(テーブル4[[#This Row],[inner温度'[℃']]]+Q$3-20))</f>
        <v>9.906494999999893E-2</v>
      </c>
      <c r="R30" s="179">
        <f>寸法→圧入力!F$24*(1+寸法→圧入力!D$29*10^-6*(テーブル4[[#This Row],[inner温度'[℃']]]-20)) - 寸法→圧入力!D$33*(1+寸法→圧入力!D$38*10^-6*(テーブル4[[#This Row],[inner温度'[℃']]]+R$3-20))</f>
        <v>8.963594999999458E-2</v>
      </c>
      <c r="S30" s="179">
        <f>寸法→圧入力!F$24*(1+寸法→圧入力!D$29*10^-6*(テーブル4[[#This Row],[inner温度'[℃']]]-20)) - 寸法→圧入力!D$33*(1+寸法→圧入力!D$38*10^-6*(テーブル4[[#This Row],[inner温度'[℃']]]+S$3-20))</f>
        <v>8.0206949999990229E-2</v>
      </c>
      <c r="T30" s="179">
        <f>寸法→圧入力!F$24*(1+寸法→圧入力!D$29*10^-6*(テーブル4[[#This Row],[inner温度'[℃']]]-20)) - 寸法→圧入力!D$33*(1+寸法→圧入力!D$38*10^-6*(テーブル4[[#This Row],[inner温度'[℃']]]+T$3-20))</f>
        <v>7.0777949999992984E-2</v>
      </c>
      <c r="U30" s="179">
        <f>寸法→圧入力!F$24*(1+寸法→圧入力!D$29*10^-6*(テーブル4[[#This Row],[inner温度'[℃']]]-20)) - 寸法→圧入力!D$33*(1+寸法→圧入力!D$38*10^-6*(テーブル4[[#This Row],[inner温度'[℃']]]+U$3-20))</f>
        <v>6.1348950000002844E-2</v>
      </c>
      <c r="V30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61.804257961333327</v>
      </c>
      <c r="W30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56.862451906470611</v>
      </c>
      <c r="X30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51.920645851607887</v>
      </c>
      <c r="Y30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46.978839796741433</v>
      </c>
      <c r="Z30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42.037033741874986</v>
      </c>
      <c r="AA30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37.095227687012262</v>
      </c>
      <c r="AB30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32.153421632153268</v>
      </c>
      <c r="AC30" s="101">
        <f>テーブル4[[#This Row],[半径方向応力:Δ-30℃]]*2*寸法→圧入力!D$24^2/(寸法→圧入力!D$24^2-寸法→圧入力!F$25^2)</f>
        <v>223.69033212396894</v>
      </c>
      <c r="AD30" s="101">
        <f>テーブル4[[#This Row],[半径方向応力:Δ-20℃]]*2*寸法→圧入力!D$24^2/(寸法→圧入力!D$24^2-寸法→圧入力!F$25^2)</f>
        <v>205.80427905629722</v>
      </c>
      <c r="AE30" s="101">
        <f>テーブル4[[#This Row],[半径方向応力:Δ-10℃]]*2*寸法→圧入力!D$24^2/(寸法→圧入力!D$24^2-寸法→圧入力!F$25^2)</f>
        <v>187.91822598862544</v>
      </c>
      <c r="AF30" s="101">
        <f>テーブル4[[#This Row],[半径方向応力:Δ0℃]]*2*寸法→圧入力!D$24^2/(寸法→圧入力!D$24^2-寸法→圧入力!F$25^2)</f>
        <v>170.03217292094018</v>
      </c>
      <c r="AG30" s="101">
        <f>テーブル4[[#This Row],[半径方向応力:Δ+10℃]]*2*寸法→圧入力!D$24^2/(寸法→圧入力!D$24^2-寸法→圧入力!F$25^2)</f>
        <v>152.14611985325493</v>
      </c>
      <c r="AH30" s="101">
        <f>テーブル4[[#This Row],[半径方向応力:Δ+20℃]]*2*寸法→圧入力!D$24^2/(寸法→圧入力!D$24^2-寸法→圧入力!F$25^2)</f>
        <v>134.26006678558315</v>
      </c>
      <c r="AI30" s="101">
        <f>テーブル4[[#This Row],[半径方向応力:Δ+30℃]]*2*寸法→圧入力!D$24^2/(寸法→圧入力!D$24^2-寸法→圧入力!F$25^2)</f>
        <v>116.37401371792487</v>
      </c>
      <c r="AJ30" s="101">
        <f>寸法→圧入力!$D$30</f>
        <v>345</v>
      </c>
      <c r="AK30" s="101">
        <f>テーブル4[[#This Row],[半径方向応力:Δ-30℃]]* (1+(寸法→圧入力!D$34/寸法→圧入力!F$33)^2)/((寸法→圧入力!D$34/寸法→圧入力!F$33)^2-1)</f>
        <v>120.98005783872644</v>
      </c>
      <c r="AL30" s="101">
        <f>テーブル4[[#This Row],[半径方向応力:Δ-20℃]]* (1+(寸法→圧入力!D$34/寸法→圧入力!F$33)^2)/((寸法→圧入力!D$34/寸法→圧入力!F$33)^2-1)</f>
        <v>111.30661458309994</v>
      </c>
      <c r="AM30" s="101">
        <f>テーブル4[[#This Row],[半径方向応力:Δ-10℃]]* (1+(寸法→圧入力!D$34/寸法→圧入力!F$33)^2)/((寸法→圧入力!D$34/寸法→圧入力!F$33)^2-1)</f>
        <v>101.63317132747343</v>
      </c>
      <c r="AN30" s="101">
        <f>テーブル4[[#This Row],[半径方向応力:Δ0℃]]* (1+(寸法→圧入力!D$34/寸法→圧入力!F$33)^2)/((寸法→圧入力!D$34/寸法→圧入力!F$33)^2-1)</f>
        <v>91.959728071839621</v>
      </c>
      <c r="AO30" s="101">
        <f>テーブル4[[#This Row],[半径方向応力:Δ+10℃]]* (1+(寸法→圧入力!D$34/寸法→圧入力!F$33)^2)/((寸法→圧入力!D$34/寸法→圧入力!F$33)^2-1)</f>
        <v>82.286284816205836</v>
      </c>
      <c r="AP30" s="101">
        <f>テーブル4[[#This Row],[半径方向応力:Δ+20℃]]* (1+(寸法→圧入力!D$34/寸法→圧入力!F$33)^2)/((寸法→圧入力!D$34/寸法→圧入力!F$33)^2-1)</f>
        <v>72.612841560579312</v>
      </c>
      <c r="AQ30" s="101">
        <f>テーブル4[[#This Row],[半径方向応力:Δ+30℃]]* (1+(寸法→圧入力!D$34/寸法→圧入力!F$33)^2)/((寸法→圧入力!D$34/寸法→圧入力!F$33)^2-1)</f>
        <v>62.939398304960108</v>
      </c>
      <c r="AR30" s="101">
        <f>寸法→圧入力!$D$39</f>
        <v>150</v>
      </c>
    </row>
    <row r="31" spans="1:44">
      <c r="A31" s="179">
        <f t="shared" si="0"/>
        <v>0.25</v>
      </c>
      <c r="B31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128.38802028203875</v>
      </c>
      <c r="C31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129.71488824161943</v>
      </c>
      <c r="D31" s="101">
        <f>(A31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131.02678054046473</v>
      </c>
      <c r="E31" s="101">
        <f>テーブル3[[#This Row],[半径方向応力min]]*寸法→圧入力!D$46*寸法→圧入力!D$5/1000</f>
        <v>22.367666361691235</v>
      </c>
      <c r="F31" s="101">
        <f>テーブル3[[#This Row],[半径方向応力min]]*寸法→圧入力!E$46*寸法→圧入力!E$5/1000</f>
        <v>28.564691021319788</v>
      </c>
      <c r="G31" s="101">
        <f>テーブル3[[#This Row],[半径方向応力min]]*寸法→圧入力!F$46*寸法→圧入力!F$5/1000</f>
        <v>35.010767152183341</v>
      </c>
      <c r="H31" s="101">
        <f>寸法→圧入力!$D$30</f>
        <v>345</v>
      </c>
      <c r="I31" s="101">
        <f>寸法→圧入力!$D$39</f>
        <v>150</v>
      </c>
      <c r="J31" s="101">
        <f>テーブル3[[#This Row],[半径方向応力nor]]*2*寸法→圧入力!E$24^2/(寸法→圧入力!E$24^2-寸法→圧入力!E$25^2)</f>
        <v>466.89060872669182</v>
      </c>
      <c r="K31" s="101">
        <f>テーブル3[[#This Row],[半径方向応力nor]]* (1+(寸法→圧入力!E$34/寸法→圧入力!E$33)^2)/((寸法→圧入力!E$34/寸法→圧入力!E$33)^2-1)</f>
        <v>249.20967407786287</v>
      </c>
      <c r="N31">
        <f t="shared" si="1"/>
        <v>75</v>
      </c>
      <c r="O31" s="179">
        <f>寸法→圧入力!F$24*(1+寸法→圧入力!D$29*10^-6*(テーブル4[[#This Row],[inner温度'[℃']]]-20)) - 寸法→圧入力!D$33*(1+寸法→圧入力!D$38*10^-6*(テーブル4[[#This Row],[inner温度'[℃']]]+O$3-20))</f>
        <v>0.11588654499999507</v>
      </c>
      <c r="P31" s="179">
        <f>寸法→圧入力!F$24*(1+寸法→圧入力!D$29*10^-6*(テーブル4[[#This Row],[inner温度'[℃']]]-20)) - 寸法→圧入力!D$33*(1+寸法→圧入力!D$38*10^-6*(テーブル4[[#This Row],[inner温度'[℃']]]+P$3-20))</f>
        <v>0.10645754500000493</v>
      </c>
      <c r="Q31" s="179">
        <f>寸法→圧入力!F$24*(1+寸法→圧入力!D$29*10^-6*(テーブル4[[#This Row],[inner温度'[℃']]]-20)) - 寸法→圧入力!D$33*(1+寸法→圧入力!D$38*10^-6*(テーブル4[[#This Row],[inner温度'[℃']]]+Q$3-20))</f>
        <v>9.7028545000000577E-2</v>
      </c>
      <c r="R31" s="179">
        <f>寸法→圧入力!F$24*(1+寸法→圧入力!D$29*10^-6*(テーブル4[[#This Row],[inner温度'[℃']]]-20)) - 寸法→圧入力!D$33*(1+寸法→圧入力!D$38*10^-6*(テーブル4[[#This Row],[inner温度'[℃']]]+R$3-20))</f>
        <v>8.7599545000003332E-2</v>
      </c>
      <c r="S31" s="179">
        <f>寸法→圧入力!F$24*(1+寸法→圧入力!D$29*10^-6*(テーブル4[[#This Row],[inner温度'[℃']]]-20)) - 寸法→圧入力!D$33*(1+寸法→圧入力!D$38*10^-6*(テーブル4[[#This Row],[inner温度'[℃']]]+S$3-20))</f>
        <v>7.8170544999998981E-2</v>
      </c>
      <c r="T31" s="179">
        <f>寸法→圧入力!F$24*(1+寸法→圧入力!D$29*10^-6*(テーブル4[[#This Row],[inner温度'[℃']]]-20)) - 寸法→圧入力!D$33*(1+寸法→圧入力!D$38*10^-6*(テーブル4[[#This Row],[inner温度'[℃']]]+T$3-20))</f>
        <v>6.874154499999463E-2</v>
      </c>
      <c r="U31" s="179">
        <f>寸法→圧入力!F$24*(1+寸法→圧入力!D$29*10^-6*(テーブル4[[#This Row],[inner温度'[℃']]]-20)) - 寸法→圧入力!D$33*(1+寸法→圧入力!D$38*10^-6*(テーブル4[[#This Row],[inner温度'[℃']]]+U$3-20))</f>
        <v>5.9312545000004491E-2</v>
      </c>
      <c r="V31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60.736963597228176</v>
      </c>
      <c r="W31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55.795157542369175</v>
      </c>
      <c r="X31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50.853351487502728</v>
      </c>
      <c r="Y31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45.911545432640004</v>
      </c>
      <c r="Z31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40.96973937777355</v>
      </c>
      <c r="AA31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36.02793332290711</v>
      </c>
      <c r="AB31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31.086127268048106</v>
      </c>
      <c r="AC31" s="101">
        <f>テーブル4[[#This Row],[半径方向応力:Δ-30℃]]*2*寸法→圧入力!D$24^2/(寸法→圧入力!D$24^2-寸法→圧入力!F$25^2)</f>
        <v>219.8274359634797</v>
      </c>
      <c r="AD31" s="101">
        <f>テーブル4[[#This Row],[半径方向応力:Δ-20℃]]*2*寸法→圧入力!D$24^2/(寸法→圧入力!D$24^2-寸法→圧入力!F$25^2)</f>
        <v>201.94138289582142</v>
      </c>
      <c r="AE31" s="101">
        <f>テーブル4[[#This Row],[半径方向応力:Δ-10℃]]*2*寸法→圧入力!D$24^2/(寸法→圧入力!D$24^2-寸法→圧入力!F$25^2)</f>
        <v>184.05532982813617</v>
      </c>
      <c r="AF31" s="101">
        <f>テーブル4[[#This Row],[半径方向応力:Δ0℃]]*2*寸法→圧入力!D$24^2/(寸法→圧入力!D$24^2-寸法→圧入力!F$25^2)</f>
        <v>166.16927676046438</v>
      </c>
      <c r="AG31" s="101">
        <f>テーブル4[[#This Row],[半径方向応力:Δ+10℃]]*2*寸法→圧入力!D$24^2/(寸法→圧入力!D$24^2-寸法→圧入力!F$25^2)</f>
        <v>148.2832236927791</v>
      </c>
      <c r="AH31" s="101">
        <f>テーブル4[[#This Row],[半径方向応力:Δ+20℃]]*2*寸法→圧入力!D$24^2/(寸法→圧入力!D$24^2-寸法→圧入力!F$25^2)</f>
        <v>130.39717062509388</v>
      </c>
      <c r="AI31" s="101">
        <f>テーブル4[[#This Row],[半径方向応力:Δ+30℃]]*2*寸法→圧入力!D$24^2/(寸法→圧入力!D$24^2-寸法→圧入力!F$25^2)</f>
        <v>112.5111175574356</v>
      </c>
      <c r="AJ31" s="101">
        <f>寸法→圧入力!$D$30</f>
        <v>345</v>
      </c>
      <c r="AK31" s="101">
        <f>テーブル4[[#This Row],[半径方向応力:Δ-30℃]]* (1+(寸法→圧入力!D$34/寸法→圧入力!F$33)^2)/((寸法→圧入力!D$34/寸法→圧入力!F$33)^2-1)</f>
        <v>118.89085980998915</v>
      </c>
      <c r="AL31" s="101">
        <f>テーブル4[[#This Row],[半径方向応力:Δ-20℃]]* (1+(寸法→圧入力!D$34/寸法→圧入力!F$33)^2)/((寸法→圧入力!D$34/寸法→圧入力!F$33)^2-1)</f>
        <v>109.21741655436993</v>
      </c>
      <c r="AM31" s="101">
        <f>テーブル4[[#This Row],[半径方向応力:Δ-10℃]]* (1+(寸法→圧入力!D$34/寸法→圧入力!F$33)^2)/((寸法→圧入力!D$34/寸法→圧入力!F$33)^2-1)</f>
        <v>99.543973298736134</v>
      </c>
      <c r="AN31" s="101">
        <f>テーブル4[[#This Row],[半径方向応力:Δ0℃]]* (1+(寸法→圧入力!D$34/寸法→圧入力!F$33)^2)/((寸法→圧入力!D$34/寸法→圧入力!F$33)^2-1)</f>
        <v>89.870530043109625</v>
      </c>
      <c r="AO31" s="101">
        <f>テーブル4[[#This Row],[半径方向応力:Δ+10℃]]* (1+(寸法→圧入力!D$34/寸法→圧入力!F$33)^2)/((寸法→圧入力!D$34/寸法→圧入力!F$33)^2-1)</f>
        <v>80.197086787475826</v>
      </c>
      <c r="AP31" s="101">
        <f>テーブル4[[#This Row],[半径方向応力:Δ+20℃]]* (1+(寸法→圧入力!D$34/寸法→圧入力!F$33)^2)/((寸法→圧入力!D$34/寸法→圧入力!F$33)^2-1)</f>
        <v>70.523643531842026</v>
      </c>
      <c r="AQ31" s="101">
        <f>テーブル4[[#This Row],[半径方向応力:Δ+30℃]]* (1+(寸法→圧入力!D$34/寸法→圧入力!F$33)^2)/((寸法→圧入力!D$34/寸法→圧入力!F$33)^2-1)</f>
        <v>60.850200276222807</v>
      </c>
      <c r="AR31" s="101">
        <f>寸法→圧入力!$D$39</f>
        <v>150</v>
      </c>
    </row>
    <row r="32" spans="1:44">
      <c r="A32" s="179">
        <f t="shared" si="0"/>
        <v>0.26</v>
      </c>
      <c r="B32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133.52354109332032</v>
      </c>
      <c r="C32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134.90348377128421</v>
      </c>
      <c r="D32" s="101">
        <f>(A32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136.26785176208332</v>
      </c>
      <c r="E32" s="101">
        <f>テーブル3[[#This Row],[半径方向応力min]]*寸法→圧入力!D$46*寸法→圧入力!D$5/1000</f>
        <v>23.262373016158886</v>
      </c>
      <c r="F32" s="101">
        <f>テーブル3[[#This Row],[半径方向応力min]]*寸法→圧入力!E$46*寸法→圧入力!E$5/1000</f>
        <v>29.707278662172584</v>
      </c>
      <c r="G32" s="101">
        <f>テーブル3[[#This Row],[半径方向応力min]]*寸法→圧入力!F$46*寸法→圧入力!F$5/1000</f>
        <v>36.411197838270681</v>
      </c>
      <c r="H32" s="101">
        <f>寸法→圧入力!$D$30</f>
        <v>345</v>
      </c>
      <c r="I32" s="101">
        <f>寸法→圧入力!$D$39</f>
        <v>150</v>
      </c>
      <c r="J32" s="101">
        <f>テーブル3[[#This Row],[半径方向応力nor]]*2*寸法→圧入力!E$24^2/(寸法→圧入力!E$24^2-寸法→圧入力!E$25^2)</f>
        <v>485.5662330757595</v>
      </c>
      <c r="K32" s="101">
        <f>テーブル3[[#This Row],[半径方向応力nor]]* (1+(寸法→圧入力!E$34/寸法→圧入力!E$33)^2)/((寸法→圧入力!E$34/寸法→圧入力!E$33)^2-1)</f>
        <v>259.17806104097741</v>
      </c>
      <c r="N32">
        <f t="shared" si="1"/>
        <v>80</v>
      </c>
      <c r="O32" s="179">
        <f>寸法→圧入力!F$24*(1+寸法→圧入力!D$29*10^-6*(テーブル4[[#This Row],[inner温度'[℃']]]-20)) - 寸法→圧入力!D$33*(1+寸法→圧入力!D$38*10^-6*(テーブル4[[#This Row],[inner温度'[℃']]]+O$3-20))</f>
        <v>0.11385014000000382</v>
      </c>
      <c r="P32" s="179">
        <f>寸法→圧入力!F$24*(1+寸法→圧入力!D$29*10^-6*(テーブル4[[#This Row],[inner温度'[℃']]]-20)) - 寸法→圧入力!D$33*(1+寸法→圧入力!D$38*10^-6*(テーブル4[[#This Row],[inner温度'[℃']]]+P$3-20))</f>
        <v>0.10442114000000657</v>
      </c>
      <c r="Q32" s="179">
        <f>寸法→圧入力!F$24*(1+寸法→圧入力!D$29*10^-6*(テーブル4[[#This Row],[inner温度'[℃']]]-20)) - 寸法→圧入力!D$33*(1+寸法→圧入力!D$38*10^-6*(テーブル4[[#This Row],[inner温度'[℃']]]+Q$3-20))</f>
        <v>9.4992140000002223E-2</v>
      </c>
      <c r="R32" s="179">
        <f>寸法→圧入力!F$24*(1+寸法→圧入力!D$29*10^-6*(テーブル4[[#This Row],[inner温度'[℃']]]-20)) - 寸法→圧入力!D$33*(1+寸法→圧入力!D$38*10^-6*(テーブル4[[#This Row],[inner温度'[℃']]]+R$3-20))</f>
        <v>8.5563139999997873E-2</v>
      </c>
      <c r="S32" s="179">
        <f>寸法→圧入力!F$24*(1+寸法→圧入力!D$29*10^-6*(テーブル4[[#This Row],[inner温度'[℃']]]-20)) - 寸法→圧入力!D$33*(1+寸法→圧入力!D$38*10^-6*(テーブル4[[#This Row],[inner温度'[℃']]]+S$3-20))</f>
        <v>7.6134140000000627E-2</v>
      </c>
      <c r="T32" s="179">
        <f>寸法→圧入力!F$24*(1+寸法→圧入力!D$29*10^-6*(テーブル4[[#This Row],[inner温度'[℃']]]-20)) - 寸法→圧入力!D$33*(1+寸法→圧入力!D$38*10^-6*(テーブル4[[#This Row],[inner温度'[℃']]]+T$3-20))</f>
        <v>6.6705140000010488E-2</v>
      </c>
      <c r="U32" s="179">
        <f>寸法→圧入力!F$24*(1+寸法→圧入力!D$29*10^-6*(テーブル4[[#This Row],[inner温度'[℃']]]-20)) - 寸法→圧入力!D$33*(1+寸法→圧入力!D$38*10^-6*(テーブル4[[#This Row],[inner温度'[℃']]]+U$3-20))</f>
        <v>5.7276140000006137E-2</v>
      </c>
      <c r="V32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59.66966923312674</v>
      </c>
      <c r="W32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54.727863178264016</v>
      </c>
      <c r="X32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49.786057123397562</v>
      </c>
      <c r="Y32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44.844251068531122</v>
      </c>
      <c r="Z32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39.902445013668398</v>
      </c>
      <c r="AA32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34.960638958809398</v>
      </c>
      <c r="AB32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30.018832903942947</v>
      </c>
      <c r="AC32" s="101">
        <f>テーブル4[[#This Row],[半径方向応力:Δ-30℃]]*2*寸法→圧入力!D$24^2/(寸法→圧入力!D$24^2-寸法→圧入力!F$25^2)</f>
        <v>215.96453980300393</v>
      </c>
      <c r="AD32" s="101">
        <f>テーブル4[[#This Row],[半径方向応力:Δ-20℃]]*2*寸法→圧入力!D$24^2/(寸法→圧入力!D$24^2-寸法→圧入力!F$25^2)</f>
        <v>198.07848673533215</v>
      </c>
      <c r="AE32" s="101">
        <f>テーブル4[[#This Row],[半径方向応力:Δ-10℃]]*2*寸法→圧入力!D$24^2/(寸法→圧入力!D$24^2-寸法→圧入力!F$25^2)</f>
        <v>180.19243366764687</v>
      </c>
      <c r="AF32" s="101">
        <f>テーブル4[[#This Row],[半径方向応力:Δ0℃]]*2*寸法→圧入力!D$24^2/(寸法→圧入力!D$24^2-寸法→圧入力!F$25^2)</f>
        <v>162.30638059996164</v>
      </c>
      <c r="AG32" s="101">
        <f>テーブル4[[#This Row],[半径方向応力:Δ+10℃]]*2*寸法→圧入力!D$24^2/(寸法→圧入力!D$24^2-寸法→圧入力!F$25^2)</f>
        <v>144.42032753228986</v>
      </c>
      <c r="AH32" s="101">
        <f>テーブル4[[#This Row],[半径方向応力:Δ+20℃]]*2*寸法→圧入力!D$24^2/(寸法→圧入力!D$24^2-寸法→圧入力!F$25^2)</f>
        <v>126.53427446463157</v>
      </c>
      <c r="AI32" s="101">
        <f>テーブル4[[#This Row],[半径方向応力:Δ+30℃]]*2*寸法→圧入力!D$24^2/(寸法→圧入力!D$24^2-寸法→圧入力!F$25^2)</f>
        <v>108.64822139694633</v>
      </c>
      <c r="AJ32" s="101">
        <f>寸法→圧入力!$D$30</f>
        <v>345</v>
      </c>
      <c r="AK32" s="101">
        <f>テーブル4[[#This Row],[半径方向応力:Δ-30℃]]* (1+(寸法→圧入力!D$34/寸法→圧入力!F$33)^2)/((寸法→圧入力!D$34/寸法→圧入力!F$33)^2-1)</f>
        <v>116.80166178125914</v>
      </c>
      <c r="AL32" s="101">
        <f>テーブル4[[#This Row],[半径方向応力:Δ-20℃]]* (1+(寸法→圧入力!D$34/寸法→圧入力!F$33)^2)/((寸法→圧入力!D$34/寸法→圧入力!F$33)^2-1)</f>
        <v>107.12821852563263</v>
      </c>
      <c r="AM32" s="101">
        <f>テーブル4[[#This Row],[半径方向応力:Δ-10℃]]* (1+(寸法→圧入力!D$34/寸法→圧入力!F$33)^2)/((寸法→圧入力!D$34/寸法→圧入力!F$33)^2-1)</f>
        <v>97.454775269998834</v>
      </c>
      <c r="AN32" s="101">
        <f>テーブル4[[#This Row],[半径方向応力:Δ0℃]]* (1+(寸法→圧入力!D$34/寸法→圧入力!F$33)^2)/((寸法→圧入力!D$34/寸法→圧入力!F$33)^2-1)</f>
        <v>87.781332014365034</v>
      </c>
      <c r="AO32" s="101">
        <f>テーブル4[[#This Row],[半径方向応力:Δ+10℃]]* (1+(寸法→圧入力!D$34/寸法→圧入力!F$33)^2)/((寸法→圧入力!D$34/寸法→圧入力!F$33)^2-1)</f>
        <v>78.10788875873854</v>
      </c>
      <c r="AP32" s="101">
        <f>テーブル4[[#This Row],[半径方向応力:Δ+20℃]]* (1+(寸法→圧入力!D$34/寸法→圧入力!F$33)^2)/((寸法→圧入力!D$34/寸法→圧入力!F$33)^2-1)</f>
        <v>68.434445503119321</v>
      </c>
      <c r="AQ32" s="101">
        <f>テーブル4[[#This Row],[半径方向応力:Δ+30℃]]* (1+(寸法→圧入力!D$34/寸法→圧入力!F$33)^2)/((寸法→圧入力!D$34/寸法→圧入力!F$33)^2-1)</f>
        <v>58.761002247485514</v>
      </c>
      <c r="AR32" s="101">
        <f>寸法→圧入力!$D$39</f>
        <v>150</v>
      </c>
    </row>
    <row r="33" spans="1:44">
      <c r="A33" s="179">
        <f t="shared" si="0"/>
        <v>0.27</v>
      </c>
      <c r="B33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138.65906190460186</v>
      </c>
      <c r="C33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140.09207930094897</v>
      </c>
      <c r="D33" s="101">
        <f>(A33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141.50892298370189</v>
      </c>
      <c r="E33" s="101">
        <f>テーブル3[[#This Row],[半径方向応力min]]*寸法→圧入力!D$46*寸法→圧入力!D$5/1000</f>
        <v>24.157079670626537</v>
      </c>
      <c r="F33" s="101">
        <f>テーブル3[[#This Row],[半径方向応力min]]*寸法→圧入力!E$46*寸法→圧入力!E$5/1000</f>
        <v>30.849866303025369</v>
      </c>
      <c r="G33" s="101">
        <f>テーブル3[[#This Row],[半径方向応力min]]*寸法→圧入力!F$46*寸法→圧入力!F$5/1000</f>
        <v>37.811628524358007</v>
      </c>
      <c r="H33" s="101">
        <f>寸法→圧入力!$D$30</f>
        <v>345</v>
      </c>
      <c r="I33" s="101">
        <f>寸法→圧入力!$D$39</f>
        <v>150</v>
      </c>
      <c r="J33" s="101">
        <f>テーブル3[[#This Row],[半径方向応力nor]]*2*寸法→圧入力!E$24^2/(寸法→圧入力!E$24^2-寸法→圧入力!E$25^2)</f>
        <v>504.24185742482706</v>
      </c>
      <c r="K33" s="101">
        <f>テーブル3[[#This Row],[半径方向応力nor]]* (1+(寸法→圧入力!E$34/寸法→圧入力!E$33)^2)/((寸法→圧入力!E$34/寸法→圧入力!E$33)^2-1)</f>
        <v>269.14644800409184</v>
      </c>
      <c r="N33">
        <f t="shared" si="1"/>
        <v>85</v>
      </c>
      <c r="O33" s="179">
        <f>寸法→圧入力!F$24*(1+寸法→圧入力!D$29*10^-6*(テーブル4[[#This Row],[inner温度'[℃']]]-20)) - 寸法→圧入力!D$33*(1+寸法→圧入力!D$38*10^-6*(テーブル4[[#This Row],[inner温度'[℃']]]+O$3-20))</f>
        <v>0.11181373499999836</v>
      </c>
      <c r="P33" s="179">
        <f>寸法→圧入力!F$24*(1+寸法→圧入力!D$29*10^-6*(テーブル4[[#This Row],[inner温度'[℃']]]-20)) - 寸法→圧入力!D$33*(1+寸法→圧入力!D$38*10^-6*(テーブル4[[#This Row],[inner温度'[℃']]]+P$3-20))</f>
        <v>0.10238473499999401</v>
      </c>
      <c r="Q33" s="179">
        <f>寸法→圧入力!F$24*(1+寸法→圧入力!D$29*10^-6*(テーブル4[[#This Row],[inner温度'[℃']]]-20)) - 寸法→圧入力!D$33*(1+寸法→圧入力!D$38*10^-6*(テーブル4[[#This Row],[inner温度'[℃']]]+Q$3-20))</f>
        <v>9.2955734999996764E-2</v>
      </c>
      <c r="R33" s="179">
        <f>寸法→圧入力!F$24*(1+寸法→圧入力!D$29*10^-6*(テーブル4[[#This Row],[inner温度'[℃']]]-20)) - 寸法→圧入力!D$33*(1+寸法→圧入力!D$38*10^-6*(テーブル4[[#This Row],[inner温度'[℃']]]+R$3-20))</f>
        <v>8.3526734999992414E-2</v>
      </c>
      <c r="S33" s="179">
        <f>寸法→圧入力!F$24*(1+寸法→圧入力!D$29*10^-6*(テーブル4[[#This Row],[inner温度'[℃']]]-20)) - 寸法→圧入力!D$33*(1+寸法→圧入力!D$38*10^-6*(テーブル4[[#This Row],[inner温度'[℃']]]+S$3-20))</f>
        <v>7.4097734999988063E-2</v>
      </c>
      <c r="T33" s="179">
        <f>寸法→圧入力!F$24*(1+寸法→圧入力!D$29*10^-6*(テーブル4[[#This Row],[inner温度'[℃']]]-20)) - 寸法→圧入力!D$33*(1+寸法→圧入力!D$38*10^-6*(テーブル4[[#This Row],[inner温度'[℃']]]+T$3-20))</f>
        <v>6.4668734999997923E-2</v>
      </c>
      <c r="U33" s="179">
        <f>寸法→圧入力!F$24*(1+寸法→圧入力!D$29*10^-6*(テーブル4[[#This Row],[inner温度'[℃']]]-20)) - 寸法→圧入力!D$33*(1+寸法→圧入力!D$38*10^-6*(テーブル4[[#This Row],[inner温度'[℃']]]+U$3-20))</f>
        <v>5.5239735000000678E-2</v>
      </c>
      <c r="V33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58.602374869017865</v>
      </c>
      <c r="W33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53.660568814151404</v>
      </c>
      <c r="X33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48.718762759288687</v>
      </c>
      <c r="Y33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43.77695670442224</v>
      </c>
      <c r="Z33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38.835150649555793</v>
      </c>
      <c r="AA33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33.893344594696792</v>
      </c>
      <c r="AB33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28.951538539834068</v>
      </c>
      <c r="AC33" s="101">
        <f>テーブル4[[#This Row],[半径方向応力:Δ-30℃]]*2*寸法→圧入力!D$24^2/(寸法→圧入力!D$24^2-寸法→圧入力!F$25^2)</f>
        <v>212.10164364250119</v>
      </c>
      <c r="AD33" s="101">
        <f>テーブル4[[#This Row],[半径方向応力:Δ-20℃]]*2*寸法→圧入力!D$24^2/(寸法→圧入力!D$24^2-寸法→圧入力!F$25^2)</f>
        <v>194.21559057481588</v>
      </c>
      <c r="AE33" s="101">
        <f>テーブル4[[#This Row],[半径方向応力:Δ-10℃]]*2*寸法→圧入力!D$24^2/(寸法→圧入力!D$24^2-寸法→圧入力!F$25^2)</f>
        <v>176.32953750714412</v>
      </c>
      <c r="AF33" s="101">
        <f>テーブル4[[#This Row],[半径方向応力:Δ0℃]]*2*寸法→圧入力!D$24^2/(寸法→圧入力!D$24^2-寸法→圧入力!F$25^2)</f>
        <v>158.4434844394589</v>
      </c>
      <c r="AG33" s="101">
        <f>テーブル4[[#This Row],[半径方向応力:Δ+10℃]]*2*寸法→圧入力!D$24^2/(寸法→圧入力!D$24^2-寸法→圧入力!F$25^2)</f>
        <v>140.55743137177365</v>
      </c>
      <c r="AH33" s="101">
        <f>テーブル4[[#This Row],[半径方向応力:Δ+20℃]]*2*寸法→圧入力!D$24^2/(寸法→圧入力!D$24^2-寸法→圧入力!F$25^2)</f>
        <v>122.67137830411536</v>
      </c>
      <c r="AI33" s="101">
        <f>テーブル4[[#This Row],[半径方向応力:Δ+30℃]]*2*寸法→圧入力!D$24^2/(寸法→圧入力!D$24^2-寸法→圧入力!F$25^2)</f>
        <v>104.78532523644357</v>
      </c>
      <c r="AJ33" s="101">
        <f>寸法→圧入力!$D$30</f>
        <v>345</v>
      </c>
      <c r="AK33" s="101">
        <f>テーブル4[[#This Row],[半径方向応力:Δ-30℃]]* (1+(寸法→圧入力!D$34/寸法→圧入力!F$33)^2)/((寸法→圧入力!D$34/寸法→圧入力!F$33)^2-1)</f>
        <v>114.71246375251458</v>
      </c>
      <c r="AL33" s="101">
        <f>テーブル4[[#This Row],[半径方向応力:Δ-20℃]]* (1+(寸法→圧入力!D$34/寸法→圧入力!F$33)^2)/((寸法→圧入力!D$34/寸法→圧入力!F$33)^2-1)</f>
        <v>105.03902049688075</v>
      </c>
      <c r="AM33" s="101">
        <f>テーブル4[[#This Row],[半径方向応力:Δ-10℃]]* (1+(寸法→圧入力!D$34/寸法→圧入力!F$33)^2)/((寸法→圧入力!D$34/寸法→圧入力!F$33)^2-1)</f>
        <v>95.365577241254258</v>
      </c>
      <c r="AN33" s="101">
        <f>テーブル4[[#This Row],[半径方向応力:Δ0℃]]* (1+(寸法→圧入力!D$34/寸法→圧入力!F$33)^2)/((寸法→圧入力!D$34/寸法→圧入力!F$33)^2-1)</f>
        <v>85.692133985620458</v>
      </c>
      <c r="AO33" s="101">
        <f>テーブル4[[#This Row],[半径方向応力:Δ+10℃]]* (1+(寸法→圧入力!D$34/寸法→圧入力!F$33)^2)/((寸法→圧入力!D$34/寸法→圧入力!F$33)^2-1)</f>
        <v>76.018690729986659</v>
      </c>
      <c r="AP33" s="101">
        <f>テーブル4[[#This Row],[半径方向応力:Δ+20℃]]* (1+(寸法→圧入力!D$34/寸法→圧入力!F$33)^2)/((寸法→圧入力!D$34/寸法→圧入力!F$33)^2-1)</f>
        <v>66.34524747436744</v>
      </c>
      <c r="AQ33" s="101">
        <f>テーブル4[[#This Row],[半径方向応力:Δ+30℃]]* (1+(寸法→圧入力!D$34/寸法→圧入力!F$33)^2)/((寸法→圧入力!D$34/寸法→圧入力!F$33)^2-1)</f>
        <v>56.671804218740931</v>
      </c>
      <c r="AR33" s="101">
        <f>寸法→圧入力!$D$39</f>
        <v>150</v>
      </c>
    </row>
    <row r="34" spans="1:44">
      <c r="A34" s="179">
        <f t="shared" si="0"/>
        <v>0.28000000000000003</v>
      </c>
      <c r="B34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143.79458271588342</v>
      </c>
      <c r="C34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145.28067483061375</v>
      </c>
      <c r="D34" s="101">
        <f>(A34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146.74999420532049</v>
      </c>
      <c r="E34" s="101">
        <f>テーブル3[[#This Row],[半径方向応力min]]*寸法→圧入力!D$46*寸法→圧入力!D$5/1000</f>
        <v>25.051786325094188</v>
      </c>
      <c r="F34" s="101">
        <f>テーブル3[[#This Row],[半径方向応力min]]*寸法→圧入力!E$46*寸法→圧入力!E$5/1000</f>
        <v>31.992453943878168</v>
      </c>
      <c r="G34" s="101">
        <f>テーブル3[[#This Row],[半径方向応力min]]*寸法→圧入力!F$46*寸法→圧入力!F$5/1000</f>
        <v>39.212059210445346</v>
      </c>
      <c r="H34" s="101">
        <f>寸法→圧入力!$D$30</f>
        <v>345</v>
      </c>
      <c r="I34" s="101">
        <f>寸法→圧入力!$D$39</f>
        <v>150</v>
      </c>
      <c r="J34" s="101">
        <f>テーブル3[[#This Row],[半径方向応力nor]]*2*寸法→圧入力!E$24^2/(寸法→圧入力!E$24^2-寸法→圧入力!E$25^2)</f>
        <v>522.91748177389479</v>
      </c>
      <c r="K34" s="101">
        <f>テーブル3[[#This Row],[半径方向応力nor]]* (1+(寸法→圧入力!E$34/寸法→圧入力!E$33)^2)/((寸法→圧入力!E$34/寸法→圧入力!E$33)^2-1)</f>
        <v>279.11483496720638</v>
      </c>
      <c r="N34">
        <f t="shared" si="1"/>
        <v>90</v>
      </c>
      <c r="O34" s="179">
        <f>寸法→圧入力!F$24*(1+寸法→圧入力!D$29*10^-6*(テーブル4[[#This Row],[inner温度'[℃']]]-20)) - 寸法→圧入力!D$33*(1+寸法→圧入力!D$38*10^-6*(テーブル4[[#This Row],[inner温度'[℃']]]+O$3-20))</f>
        <v>0.10977733000000711</v>
      </c>
      <c r="P34" s="179">
        <f>寸法→圧入力!F$24*(1+寸法→圧入力!D$29*10^-6*(テーブル4[[#This Row],[inner温度'[℃']]]-20)) - 寸法→圧入力!D$33*(1+寸法→圧入力!D$38*10^-6*(テーブル4[[#This Row],[inner温度'[℃']]]+P$3-20))</f>
        <v>0.10034833000000276</v>
      </c>
      <c r="Q34" s="179">
        <f>寸法→圧入力!F$24*(1+寸法→圧入力!D$29*10^-6*(テーブル4[[#This Row],[inner温度'[℃']]]-20)) - 寸法→圧入力!D$33*(1+寸法→圧入力!D$38*10^-6*(テーブル4[[#This Row],[inner温度'[℃']]]+Q$3-20))</f>
        <v>9.0919329999998411E-2</v>
      </c>
      <c r="R34" s="179">
        <f>寸法→圧入力!F$24*(1+寸法→圧入力!D$29*10^-6*(テーブル4[[#This Row],[inner温度'[℃']]]-20)) - 寸法→圧入力!D$33*(1+寸法→圧入力!D$38*10^-6*(テーブル4[[#This Row],[inner温度'[℃']]]+R$3-20))</f>
        <v>8.1490330000001165E-2</v>
      </c>
      <c r="S34" s="179">
        <f>寸法→圧入力!F$24*(1+寸法→圧入力!D$29*10^-6*(テーブル4[[#This Row],[inner温度'[℃']]]-20)) - 寸法→圧入力!D$33*(1+寸法→圧入力!D$38*10^-6*(テーブル4[[#This Row],[inner温度'[℃']]]+S$3-20))</f>
        <v>7.2061330000011026E-2</v>
      </c>
      <c r="T34" s="179">
        <f>寸法→圧入力!F$24*(1+寸法→圧入力!D$29*10^-6*(テーブル4[[#This Row],[inner温度'[℃']]]-20)) - 寸法→圧入力!D$33*(1+寸法→圧入力!D$38*10^-6*(テーブル4[[#This Row],[inner温度'[℃']]]+T$3-20))</f>
        <v>6.2632330000006675E-2</v>
      </c>
      <c r="U34" s="179">
        <f>寸法→圧入力!F$24*(1+寸法→圧入力!D$29*10^-6*(テーブル4[[#This Row],[inner温度'[℃']]]-20)) - 寸法→圧入力!D$33*(1+寸法→圧入力!D$38*10^-6*(テーブル4[[#This Row],[inner温度'[℃']]]+U$3-20))</f>
        <v>5.3203330000002325E-2</v>
      </c>
      <c r="V34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57.535080504916429</v>
      </c>
      <c r="W34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52.593274450049975</v>
      </c>
      <c r="X34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47.651468395183528</v>
      </c>
      <c r="Y34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42.709662340320804</v>
      </c>
      <c r="Z34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37.767856285461811</v>
      </c>
      <c r="AA34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32.826050230595357</v>
      </c>
      <c r="AB34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27.884244175728909</v>
      </c>
      <c r="AC34" s="101">
        <f>テーブル4[[#This Row],[半径方向応力:Δ-30℃]]*2*寸法→圧入力!D$24^2/(寸法→圧入力!D$24^2-寸法→圧入力!F$25^2)</f>
        <v>208.23874748202539</v>
      </c>
      <c r="AD34" s="101">
        <f>テーブル4[[#This Row],[半径方向応力:Δ-20℃]]*2*寸法→圧入力!D$24^2/(寸法→圧入力!D$24^2-寸法→圧入力!F$25^2)</f>
        <v>190.35269441434011</v>
      </c>
      <c r="AE34" s="101">
        <f>テーブル4[[#This Row],[半径方向応力:Δ-10℃]]*2*寸法→圧入力!D$24^2/(寸法→圧入力!D$24^2-寸法→圧入力!F$25^2)</f>
        <v>172.46664134665488</v>
      </c>
      <c r="AF34" s="101">
        <f>テーブル4[[#This Row],[半径方向応力:Δ0℃]]*2*寸法→圧入力!D$24^2/(寸法→圧入力!D$24^2-寸法→圧入力!F$25^2)</f>
        <v>154.5805882789831</v>
      </c>
      <c r="AG34" s="101">
        <f>テーブル4[[#This Row],[半径方向応力:Δ+10℃]]*2*寸法→圧入力!D$24^2/(寸法→圧入力!D$24^2-寸法→圧入力!F$25^2)</f>
        <v>136.69453521132482</v>
      </c>
      <c r="AH34" s="101">
        <f>テーブル4[[#This Row],[半径方向応力:Δ+20℃]]*2*寸法→圧入力!D$24^2/(寸法→圧入力!D$24^2-寸法→圧入力!F$25^2)</f>
        <v>118.80848214363955</v>
      </c>
      <c r="AI34" s="101">
        <f>テーブル4[[#This Row],[半径方向応力:Δ+30℃]]*2*寸法→圧入力!D$24^2/(寸法→圧入力!D$24^2-寸法→圧入力!F$25^2)</f>
        <v>100.9224290759543</v>
      </c>
      <c r="AJ34" s="101">
        <f>寸法→圧入力!$D$30</f>
        <v>345</v>
      </c>
      <c r="AK34" s="101">
        <f>テーブル4[[#This Row],[半径方向応力:Δ-30℃]]* (1+(寸法→圧入力!D$34/寸法→圧入力!F$33)^2)/((寸法→圧入力!D$34/寸法→圧入力!F$33)^2-1)</f>
        <v>112.62326572378457</v>
      </c>
      <c r="AL34" s="101">
        <f>テーブル4[[#This Row],[半径方向応力:Δ-20℃]]* (1+(寸法→圧入力!D$34/寸法→圧入力!F$33)^2)/((寸法→圧入力!D$34/寸法→圧入力!F$33)^2-1)</f>
        <v>102.94982246815076</v>
      </c>
      <c r="AM34" s="101">
        <f>テーブル4[[#This Row],[半径方向応力:Δ-10℃]]* (1+(寸法→圧入力!D$34/寸法→圧入力!F$33)^2)/((寸法→圧入力!D$34/寸法→圧入力!F$33)^2-1)</f>
        <v>93.276379212516972</v>
      </c>
      <c r="AN34" s="101">
        <f>テーブル4[[#This Row],[半径方向応力:Δ0℃]]* (1+(寸法→圧入力!D$34/寸法→圧入力!F$33)^2)/((寸法→圧入力!D$34/寸法→圧入力!F$33)^2-1)</f>
        <v>83.602935956890448</v>
      </c>
      <c r="AO34" s="101">
        <f>テーブル4[[#This Row],[半径方向応力:Δ+10℃]]* (1+(寸法→圧入力!D$34/寸法→圧入力!F$33)^2)/((寸法→圧入力!D$34/寸法→圧入力!F$33)^2-1)</f>
        <v>73.929492701271244</v>
      </c>
      <c r="AP34" s="101">
        <f>テーブル4[[#This Row],[半径方向応力:Δ+20℃]]* (1+(寸法→圧入力!D$34/寸法→圧入力!F$33)^2)/((寸法→圧入力!D$34/寸法→圧入力!F$33)^2-1)</f>
        <v>64.25604944563743</v>
      </c>
      <c r="AQ34" s="101">
        <f>テーブル4[[#This Row],[半径方向応力:Δ+30℃]]* (1+(寸法→圧入力!D$34/寸法→圧入力!F$33)^2)/((寸法→圧入力!D$34/寸法→圧入力!F$33)^2-1)</f>
        <v>54.582606190003638</v>
      </c>
      <c r="AR34" s="101">
        <f>寸法→圧入力!$D$39</f>
        <v>150</v>
      </c>
    </row>
    <row r="35" spans="1:44">
      <c r="A35" s="179">
        <f t="shared" si="0"/>
        <v>0.28999999999999998</v>
      </c>
      <c r="B35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148.93010352716493</v>
      </c>
      <c r="C35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150.4692703602785</v>
      </c>
      <c r="D35" s="101">
        <f>(A35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151.99106542693906</v>
      </c>
      <c r="E35" s="101">
        <f>テーブル3[[#This Row],[半径方向応力min]]*寸法→圧入力!D$46*寸法→圧入力!D$5/1000</f>
        <v>25.946492979561825</v>
      </c>
      <c r="F35" s="101">
        <f>テーブル3[[#This Row],[半径方向応力min]]*寸法→圧入力!E$46*寸法→圧入力!E$5/1000</f>
        <v>33.135041584730949</v>
      </c>
      <c r="G35" s="101">
        <f>テーブル3[[#This Row],[半径方向応力min]]*寸法→圧入力!F$46*寸法→圧入力!F$5/1000</f>
        <v>40.612489896532665</v>
      </c>
      <c r="H35" s="101">
        <f>寸法→圧入力!$D$30</f>
        <v>345</v>
      </c>
      <c r="I35" s="101">
        <f>寸法→圧入力!$D$39</f>
        <v>150</v>
      </c>
      <c r="J35" s="101">
        <f>テーブル3[[#This Row],[半径方向応力nor]]*2*寸法→圧入力!E$24^2/(寸法→圧入力!E$24^2-寸法→圧入力!E$25^2)</f>
        <v>541.59310612296235</v>
      </c>
      <c r="K35" s="101">
        <f>テーブル3[[#This Row],[半径方向応力nor]]* (1+(寸法→圧入力!E$34/寸法→圧入力!E$33)^2)/((寸法→圧入力!E$34/寸法→圧入力!E$33)^2-1)</f>
        <v>289.08322193032086</v>
      </c>
      <c r="N35">
        <f t="shared" si="1"/>
        <v>95</v>
      </c>
      <c r="O35" s="179">
        <f>寸法→圧入力!F$24*(1+寸法→圧入力!D$29*10^-6*(テーブル4[[#This Row],[inner温度'[℃']]]-20)) - 寸法→圧入力!D$33*(1+寸法→圧入力!D$38*10^-6*(テーブル4[[#This Row],[inner温度'[℃']]]+O$3-20))</f>
        <v>0.10774092499999455</v>
      </c>
      <c r="P35" s="179">
        <f>寸法→圧入力!F$24*(1+寸法→圧入力!D$29*10^-6*(テーブル4[[#This Row],[inner温度'[℃']]]-20)) - 寸法→圧入力!D$33*(1+寸法→圧入力!D$38*10^-6*(テーブル4[[#This Row],[inner温度'[℃']]]+P$3-20))</f>
        <v>9.8311924999997302E-2</v>
      </c>
      <c r="Q35" s="179">
        <f>寸法→圧入力!F$24*(1+寸法→圧入力!D$29*10^-6*(テーブル4[[#This Row],[inner温度'[℃']]]-20)) - 寸法→圧入力!D$33*(1+寸法→圧入力!D$38*10^-6*(テーブル4[[#This Row],[inner温度'[℃']]]+Q$3-20))</f>
        <v>8.8882924999992952E-2</v>
      </c>
      <c r="R35" s="179">
        <f>寸法→圧入力!F$24*(1+寸法→圧入力!D$29*10^-6*(テーブル4[[#This Row],[inner温度'[℃']]]-20)) - 寸法→圧入力!D$33*(1+寸法→圧入力!D$38*10^-6*(テーブル4[[#This Row],[inner温度'[℃']]]+R$3-20))</f>
        <v>7.9453924999988601E-2</v>
      </c>
      <c r="S35" s="179">
        <f>寸法→圧入力!F$24*(1+寸法→圧入力!D$29*10^-6*(テーブル4[[#This Row],[inner温度'[℃']]]-20)) - 寸法→圧入力!D$33*(1+寸法→圧入力!D$38*10^-6*(テーブル4[[#This Row],[inner温度'[℃']]]+S$3-20))</f>
        <v>7.0024924999998461E-2</v>
      </c>
      <c r="T35" s="179">
        <f>寸法→圧入力!F$24*(1+寸法→圧入力!D$29*10^-6*(テーブル4[[#This Row],[inner温度'[℃']]]-20)) - 寸法→圧入力!D$33*(1+寸法→圧入力!D$38*10^-6*(テーブル4[[#This Row],[inner温度'[℃']]]+T$3-20))</f>
        <v>6.0595925000001216E-2</v>
      </c>
      <c r="U35" s="179">
        <f>寸法→圧入力!F$24*(1+寸法→圧入力!D$29*10^-6*(テーブル4[[#This Row],[inner温度'[℃']]]-20)) - 寸法→圧入力!D$33*(1+寸法→圧入力!D$38*10^-6*(テーブル4[[#This Row],[inner温度'[℃']]]+U$3-20))</f>
        <v>5.1166924999996866E-2</v>
      </c>
      <c r="V35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56.467786140803817</v>
      </c>
      <c r="W35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51.525980085941093</v>
      </c>
      <c r="X35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46.584174031074653</v>
      </c>
      <c r="Y35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41.642367976208199</v>
      </c>
      <c r="Z35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36.700561921349198</v>
      </c>
      <c r="AA35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31.758755866486478</v>
      </c>
      <c r="AB35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26.816949811620027</v>
      </c>
      <c r="AC35" s="101">
        <f>テーブル4[[#This Row],[半径方向応力:Δ-30℃]]*2*寸法→圧入力!D$24^2/(寸法→圧入力!D$24^2-寸法→圧入力!F$25^2)</f>
        <v>204.37585132150912</v>
      </c>
      <c r="AD35" s="101">
        <f>テーブル4[[#This Row],[半径方向応力:Δ-20℃]]*2*寸法→圧入力!D$24^2/(寸法→圧入力!D$24^2-寸法→圧入力!F$25^2)</f>
        <v>186.48979825383736</v>
      </c>
      <c r="AE35" s="101">
        <f>テーブル4[[#This Row],[半径方向応力:Δ-10℃]]*2*寸法→圧入力!D$24^2/(寸法→圧入力!D$24^2-寸法→圧入力!F$25^2)</f>
        <v>168.60374518615214</v>
      </c>
      <c r="AF35" s="101">
        <f>テーブル4[[#This Row],[半径方向応力:Δ0℃]]*2*寸法→圧入力!D$24^2/(寸法→圧入力!D$24^2-寸法→圧入力!F$25^2)</f>
        <v>150.71769211846686</v>
      </c>
      <c r="AG35" s="101">
        <f>テーブル4[[#This Row],[半径方向応力:Δ+10℃]]*2*寸法→圧入力!D$24^2/(寸法→圧入力!D$24^2-寸法→圧入力!F$25^2)</f>
        <v>132.83163905080855</v>
      </c>
      <c r="AH35" s="101">
        <f>テーブル4[[#This Row],[半径方向応力:Δ+20℃]]*2*寸法→圧入力!D$24^2/(寸法→圧入力!D$24^2-寸法→圧入力!F$25^2)</f>
        <v>114.94558598313681</v>
      </c>
      <c r="AI35" s="101">
        <f>テーブル4[[#This Row],[半径方向応力:Δ+30℃]]*2*寸法→圧入力!D$24^2/(寸法→圧入力!D$24^2-寸法→圧入力!F$25^2)</f>
        <v>97.059532915451541</v>
      </c>
      <c r="AJ35" s="101">
        <f>寸法→圧入力!$D$30</f>
        <v>345</v>
      </c>
      <c r="AK35" s="101">
        <f>テーブル4[[#This Row],[半径方向応力:Δ-30℃]]* (1+(寸法→圧入力!D$34/寸法→圧入力!F$33)^2)/((寸法→圧入力!D$34/寸法→圧入力!F$33)^2-1)</f>
        <v>110.53406769503268</v>
      </c>
      <c r="AL35" s="101">
        <f>テーブル4[[#This Row],[半径方向応力:Δ-20℃]]* (1+(寸法→圧入力!D$34/寸法→圧入力!F$33)^2)/((寸法→圧入力!D$34/寸法→圧入力!F$33)^2-1)</f>
        <v>100.86062443940618</v>
      </c>
      <c r="AM35" s="101">
        <f>テーブル4[[#This Row],[半径方向応力:Δ-10℃]]* (1+(寸法→圧入力!D$34/寸法→圧入力!F$33)^2)/((寸法→圧入力!D$34/寸法→圧入力!F$33)^2-1)</f>
        <v>91.187181183772395</v>
      </c>
      <c r="AN35" s="101">
        <f>テーブル4[[#This Row],[半径方向応力:Δ0℃]]* (1+(寸法→圧入力!D$34/寸法→圧入力!F$33)^2)/((寸法→圧入力!D$34/寸法→圧入力!F$33)^2-1)</f>
        <v>81.513737928138582</v>
      </c>
      <c r="AO35" s="101">
        <f>テーブル4[[#This Row],[半径方向応力:Δ+10℃]]* (1+(寸法→圧入力!D$34/寸法→圧入力!F$33)^2)/((寸法→圧入力!D$34/寸法→圧入力!F$33)^2-1)</f>
        <v>71.840294672519363</v>
      </c>
      <c r="AP35" s="101">
        <f>テーブル4[[#This Row],[半径方向応力:Δ+20℃]]* (1+(寸法→圧入力!D$34/寸法→圧入力!F$33)^2)/((寸法→圧入力!D$34/寸法→圧入力!F$33)^2-1)</f>
        <v>62.166851416892854</v>
      </c>
      <c r="AQ35" s="101">
        <f>テーブル4[[#This Row],[半径方向応力:Δ+30℃]]* (1+(寸法→圧入力!D$34/寸法→圧入力!F$33)^2)/((寸法→圧入力!D$34/寸法→圧入力!F$33)^2-1)</f>
        <v>52.493408161259055</v>
      </c>
      <c r="AR35" s="101">
        <f>寸法→圧入力!$D$39</f>
        <v>150</v>
      </c>
    </row>
    <row r="36" spans="1:44">
      <c r="A36" s="179">
        <f t="shared" si="0"/>
        <v>0.3</v>
      </c>
      <c r="B36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154.0656243384465</v>
      </c>
      <c r="C36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155.65786588994328</v>
      </c>
      <c r="D36" s="101">
        <f>(A36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157.23213664855766</v>
      </c>
      <c r="E36" s="101">
        <f>テーブル3[[#This Row],[半径方向応力min]]*寸法→圧入力!D$46*寸法→圧入力!D$5/1000</f>
        <v>26.841199634029483</v>
      </c>
      <c r="F36" s="101">
        <f>テーブル3[[#This Row],[半径方向応力min]]*寸法→圧入力!E$46*寸法→圧入力!E$5/1000</f>
        <v>34.277629225583745</v>
      </c>
      <c r="G36" s="101">
        <f>テーブル3[[#This Row],[半径方向応力min]]*寸法→圧入力!F$46*寸法→圧入力!F$5/1000</f>
        <v>42.012920582620005</v>
      </c>
      <c r="H36" s="101">
        <f>寸法→圧入力!$D$30</f>
        <v>345</v>
      </c>
      <c r="I36" s="101">
        <f>寸法→圧入力!$D$39</f>
        <v>150</v>
      </c>
      <c r="J36" s="101">
        <f>テーブル3[[#This Row],[半径方向応力nor]]*2*寸法→圧入力!E$24^2/(寸法→圧入力!E$24^2-寸法→圧入力!E$25^2)</f>
        <v>560.26873047203003</v>
      </c>
      <c r="K36" s="101">
        <f>テーブル3[[#This Row],[半径方向応力nor]]* (1+(寸法→圧入力!E$34/寸法→圧入力!E$33)^2)/((寸法→圧入力!E$34/寸法→圧入力!E$33)^2-1)</f>
        <v>299.0516088934354</v>
      </c>
      <c r="N36">
        <f t="shared" si="1"/>
        <v>100</v>
      </c>
      <c r="O36" s="179">
        <f>寸法→圧入力!F$24*(1+寸法→圧入力!D$29*10^-6*(テーブル4[[#This Row],[inner温度'[℃']]]-20)) - 寸法→圧入力!D$33*(1+寸法→圧入力!D$38*10^-6*(テーブル4[[#This Row],[inner温度'[℃']]]+O$3-20))</f>
        <v>0.1057045200000033</v>
      </c>
      <c r="P36" s="179">
        <f>寸法→圧入力!F$24*(1+寸法→圧入力!D$29*10^-6*(テーブル4[[#This Row],[inner温度'[℃']]]-20)) - 寸法→圧入力!D$33*(1+寸法→圧入力!D$38*10^-6*(テーブル4[[#This Row],[inner温度'[℃']]]+P$3-20))</f>
        <v>9.6275519999998949E-2</v>
      </c>
      <c r="Q36" s="179">
        <f>寸法→圧入力!F$24*(1+寸法→圧入力!D$29*10^-6*(テーブル4[[#This Row],[inner温度'[℃']]]-20)) - 寸法→圧入力!D$33*(1+寸法→圧入力!D$38*10^-6*(テーブル4[[#This Row],[inner温度'[℃']]]+Q$3-20))</f>
        <v>8.6846520000001703E-2</v>
      </c>
      <c r="R36" s="179">
        <f>寸法→圧入力!F$24*(1+寸法→圧入力!D$29*10^-6*(テーブル4[[#This Row],[inner温度'[℃']]]-20)) - 寸法→圧入力!D$33*(1+寸法→圧入力!D$38*10^-6*(テーブル4[[#This Row],[inner温度'[℃']]]+R$3-20))</f>
        <v>7.7417520000011564E-2</v>
      </c>
      <c r="S36" s="179">
        <f>寸法→圧入力!F$24*(1+寸法→圧入力!D$29*10^-6*(テーブル4[[#This Row],[inner温度'[℃']]]-20)) - 寸法→圧入力!D$33*(1+寸法→圧入力!D$38*10^-6*(テーブル4[[#This Row],[inner温度'[℃']]]+S$3-20))</f>
        <v>6.7988520000007213E-2</v>
      </c>
      <c r="T36" s="179">
        <f>寸法→圧入力!F$24*(1+寸法→圧入力!D$29*10^-6*(テーブル4[[#This Row],[inner温度'[℃']]]-20)) - 寸法→圧入力!D$33*(1+寸法→圧入力!D$38*10^-6*(テーブル4[[#This Row],[inner温度'[℃']]]+T$3-20))</f>
        <v>5.8559520000002863E-2</v>
      </c>
      <c r="U36" s="179">
        <f>寸法→圧入力!F$24*(1+寸法→圧入力!D$29*10^-6*(テーブル4[[#This Row],[inner温度'[℃']]]-20)) - 寸法→圧入力!D$33*(1+寸法→圧入力!D$38*10^-6*(テーブル4[[#This Row],[inner温度'[℃']]]+U$3-20))</f>
        <v>4.9130520000005617E-2</v>
      </c>
      <c r="V36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55.400491776702381</v>
      </c>
      <c r="W36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50.458685721835941</v>
      </c>
      <c r="X36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45.516879666973217</v>
      </c>
      <c r="Y36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40.57507361211421</v>
      </c>
      <c r="Z36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35.63326755724777</v>
      </c>
      <c r="AA36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30.691461502381319</v>
      </c>
      <c r="AB36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25.749655447518595</v>
      </c>
      <c r="AC36" s="101">
        <f>テーブル4[[#This Row],[半径方向応力:Δ-30℃]]*2*寸法→圧入力!D$24^2/(寸法→圧入力!D$24^2-寸法→圧入力!F$25^2)</f>
        <v>200.51295516103335</v>
      </c>
      <c r="AD36" s="101">
        <f>テーブル4[[#This Row],[半径方向応力:Δ-20℃]]*2*寸法→圧入力!D$24^2/(寸法→圧入力!D$24^2-寸法→圧入力!F$25^2)</f>
        <v>182.62690209334812</v>
      </c>
      <c r="AE36" s="101">
        <f>テーブル4[[#This Row],[半径方向応力:Δ-10℃]]*2*寸法→圧入力!D$24^2/(寸法→圧入力!D$24^2-寸法→圧入力!F$25^2)</f>
        <v>164.74084902567634</v>
      </c>
      <c r="AF36" s="101">
        <f>テーブル4[[#This Row],[半径方向応力:Δ0℃]]*2*寸法→圧入力!D$24^2/(寸法→圧入力!D$24^2-寸法→圧入力!F$25^2)</f>
        <v>146.854795958018</v>
      </c>
      <c r="AG36" s="101">
        <f>テーブル4[[#This Row],[半径方向応力:Δ+10℃]]*2*寸法→圧入力!D$24^2/(寸法→圧入力!D$24^2-寸法→圧入力!F$25^2)</f>
        <v>128.96874289033281</v>
      </c>
      <c r="AH36" s="101">
        <f>テーブル4[[#This Row],[半径方向応力:Δ+20℃]]*2*寸法→圧入力!D$24^2/(寸法→圧入力!D$24^2-寸法→圧入力!F$25^2)</f>
        <v>111.08268982264754</v>
      </c>
      <c r="AI36" s="101">
        <f>テーブル4[[#This Row],[半径方向応力:Δ+30℃]]*2*寸法→圧入力!D$24^2/(寸法→圧入力!D$24^2-寸法→圧入力!F$25^2)</f>
        <v>93.196636754975771</v>
      </c>
      <c r="AJ36" s="101">
        <f>寸法→圧入力!$D$30</f>
        <v>345</v>
      </c>
      <c r="AK36" s="101">
        <f>テーブル4[[#This Row],[半径方向応力:Δ-30℃]]* (1+(寸法→圧入力!D$34/寸法→圧入力!F$33)^2)/((寸法→圧入力!D$34/寸法→圧入力!F$33)^2-1)</f>
        <v>108.44486966630268</v>
      </c>
      <c r="AL36" s="101">
        <f>テーブル4[[#This Row],[半径方向応力:Δ-20℃]]* (1+(寸法→圧入力!D$34/寸法→圧入力!F$33)^2)/((寸法→圧入力!D$34/寸法→圧入力!F$33)^2-1)</f>
        <v>98.771426410668894</v>
      </c>
      <c r="AM36" s="101">
        <f>テーブル4[[#This Row],[半径方向応力:Δ-10℃]]* (1+(寸法→圧入力!D$34/寸法→圧入力!F$33)^2)/((寸法→圧入力!D$34/寸法→圧入力!F$33)^2-1)</f>
        <v>89.097983155042385</v>
      </c>
      <c r="AN36" s="101">
        <f>テーブル4[[#This Row],[半径方向応力:Δ0℃]]* (1+(寸法→圧入力!D$34/寸法→圧入力!F$33)^2)/((寸法→圧入力!D$34/寸法→圧入力!F$33)^2-1)</f>
        <v>79.424539899423152</v>
      </c>
      <c r="AO36" s="101">
        <f>テーブル4[[#This Row],[半径方向応力:Δ+10℃]]* (1+(寸法→圧入力!D$34/寸法→圧入力!F$33)^2)/((寸法→圧入力!D$34/寸法→圧入力!F$33)^2-1)</f>
        <v>69.751096643789367</v>
      </c>
      <c r="AP36" s="101">
        <f>テーブル4[[#This Row],[半径方向応力:Δ+20℃]]* (1+(寸法→圧入力!D$34/寸法→圧入力!F$33)^2)/((寸法→圧入力!D$34/寸法→圧入力!F$33)^2-1)</f>
        <v>60.077653388155561</v>
      </c>
      <c r="AQ36" s="101">
        <f>テーブル4[[#This Row],[半径方向応力:Δ+30℃]]* (1+(寸法→圧入力!D$34/寸法→圧入力!F$33)^2)/((寸法→圧入力!D$34/寸法→圧入力!F$33)^2-1)</f>
        <v>50.404210132529052</v>
      </c>
      <c r="AR36" s="101">
        <f>寸法→圧入力!$D$39</f>
        <v>150</v>
      </c>
    </row>
    <row r="37" spans="1:44">
      <c r="A37" s="179">
        <f t="shared" si="0"/>
        <v>0.31</v>
      </c>
      <c r="B37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159.20114514972806</v>
      </c>
      <c r="C37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160.84646141960809</v>
      </c>
      <c r="D37" s="101">
        <f>(A37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162.47320787017625</v>
      </c>
      <c r="E37" s="101">
        <f>テーブル3[[#This Row],[半径方向応力min]]*寸法→圧入力!D$46*寸法→圧入力!D$5/1000</f>
        <v>27.735906288497134</v>
      </c>
      <c r="F37" s="101">
        <f>テーブル3[[#This Row],[半径方向応力min]]*寸法→圧入力!E$46*寸法→圧入力!E$5/1000</f>
        <v>35.42021686643654</v>
      </c>
      <c r="G37" s="101">
        <f>テーブル3[[#This Row],[半径方向応力min]]*寸法→圧入力!F$46*寸法→圧入力!F$5/1000</f>
        <v>43.413351268707345</v>
      </c>
      <c r="H37" s="101">
        <f>寸法→圧入力!$D$30</f>
        <v>345</v>
      </c>
      <c r="I37" s="101">
        <f>寸法→圧入力!$D$39</f>
        <v>150</v>
      </c>
      <c r="J37" s="101">
        <f>テーブル3[[#This Row],[半径方向応力nor]]*2*寸法→圧入力!E$24^2/(寸法→圧入力!E$24^2-寸法→圧入力!E$25^2)</f>
        <v>578.94435482109782</v>
      </c>
      <c r="K37" s="101">
        <f>テーブル3[[#This Row],[半径方向応力nor]]* (1+(寸法→圧入力!E$34/寸法→圧入力!E$33)^2)/((寸法→圧入力!E$34/寸法→圧入力!E$33)^2-1)</f>
        <v>309.01999585654994</v>
      </c>
      <c r="N37">
        <f t="shared" si="1"/>
        <v>105</v>
      </c>
      <c r="O37" s="179">
        <f>寸法→圧入力!F$24*(1+寸法→圧入力!D$29*10^-6*(テーブル4[[#This Row],[inner温度'[℃']]]-20)) - 寸法→圧入力!D$33*(1+寸法→圧入力!D$38*10^-6*(テーブル4[[#This Row],[inner温度'[℃']]]+O$3-20))</f>
        <v>0.10366811499999784</v>
      </c>
      <c r="P37" s="179">
        <f>寸法→圧入力!F$24*(1+寸法→圧入力!D$29*10^-6*(テーブル4[[#This Row],[inner温度'[℃']]]-20)) - 寸法→圧入力!D$33*(1+寸法→圧入力!D$38*10^-6*(テーブル4[[#This Row],[inner温度'[℃']]]+P$3-20))</f>
        <v>9.423911499999349E-2</v>
      </c>
      <c r="Q37" s="179">
        <f>寸法→圧入力!F$24*(1+寸法→圧入力!D$29*10^-6*(テーブル4[[#This Row],[inner温度'[℃']]]-20)) - 寸法→圧入力!D$33*(1+寸法→圧入力!D$38*10^-6*(テーブル4[[#This Row],[inner温度'[℃']]]+Q$3-20))</f>
        <v>8.4810114999989139E-2</v>
      </c>
      <c r="R37" s="179">
        <f>寸法→圧入力!F$24*(1+寸法→圧入力!D$29*10^-6*(テーブル4[[#This Row],[inner温度'[℃']]]-20)) - 寸法→圧入力!D$33*(1+寸法→圧入力!D$38*10^-6*(テーブル4[[#This Row],[inner温度'[℃']]]+R$3-20))</f>
        <v>7.5381114999998999E-2</v>
      </c>
      <c r="S37" s="179">
        <f>寸法→圧入力!F$24*(1+寸法→圧入力!D$29*10^-6*(テーブル4[[#This Row],[inner温度'[℃']]]-20)) - 寸法→圧入力!D$33*(1+寸法→圧入力!D$38*10^-6*(テーブル4[[#This Row],[inner温度'[℃']]]+S$3-20))</f>
        <v>6.5952115000001754E-2</v>
      </c>
      <c r="T37" s="179">
        <f>寸法→圧入力!F$24*(1+寸法→圧入力!D$29*10^-6*(テーブル4[[#This Row],[inner温度'[℃']]]-20)) - 寸法→圧入力!D$33*(1+寸法→圧入力!D$38*10^-6*(テーブル4[[#This Row],[inner温度'[℃']]]+T$3-20))</f>
        <v>5.6523114999997404E-2</v>
      </c>
      <c r="U37" s="179">
        <f>寸法→圧入力!F$24*(1+寸法→圧入力!D$29*10^-6*(テーブル4[[#This Row],[inner温度'[℃']]]-20)) - 寸法→圧入力!D$33*(1+寸法→圧入力!D$38*10^-6*(テーブル4[[#This Row],[inner温度'[℃']]]+U$3-20))</f>
        <v>4.7094114999993053E-2</v>
      </c>
      <c r="V37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54.333197412593506</v>
      </c>
      <c r="W37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49.391391357727059</v>
      </c>
      <c r="X37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44.449585302860612</v>
      </c>
      <c r="Y37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39.507779248001611</v>
      </c>
      <c r="Z37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34.565973193138881</v>
      </c>
      <c r="AA37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29.624167138272441</v>
      </c>
      <c r="AB37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24.68236108340599</v>
      </c>
      <c r="AC37" s="101">
        <f>テーブル4[[#This Row],[半径方向応力:Δ-30℃]]*2*寸法→圧入力!D$24^2/(寸法→圧入力!D$24^2-寸法→圧入力!F$25^2)</f>
        <v>196.6500590005306</v>
      </c>
      <c r="AD37" s="101">
        <f>テーブル4[[#This Row],[半径方向応力:Δ-20℃]]*2*寸法→圧入力!D$24^2/(寸法→圧入力!D$24^2-寸法→圧入力!F$25^2)</f>
        <v>178.76400593284535</v>
      </c>
      <c r="AE37" s="101">
        <f>テーブル4[[#This Row],[半径方向応力:Δ-10℃]]*2*寸法→圧入力!D$24^2/(寸法→圧入力!D$24^2-寸法→圧入力!F$25^2)</f>
        <v>160.8779528651601</v>
      </c>
      <c r="AF37" s="101">
        <f>テーブル4[[#This Row],[半径方向応力:Δ0℃]]*2*寸法→圧入力!D$24^2/(寸法→圧入力!D$24^2-寸法→圧入力!F$25^2)</f>
        <v>142.99189979750182</v>
      </c>
      <c r="AG37" s="101">
        <f>テーブル4[[#This Row],[半径方向応力:Δ+10℃]]*2*寸法→圧入力!D$24^2/(寸法→圧入力!D$24^2-寸法→圧入力!F$25^2)</f>
        <v>125.10584672983003</v>
      </c>
      <c r="AH37" s="101">
        <f>テーブル4[[#This Row],[半径方向応力:Δ+20℃]]*2*寸法→圧入力!D$24^2/(寸法→圧入力!D$24^2-寸法→圧入力!F$25^2)</f>
        <v>107.2197936621448</v>
      </c>
      <c r="AI37" s="101">
        <f>テーブル4[[#This Row],[半径方向応力:Δ+30℃]]*2*寸法→圧入力!D$24^2/(寸法→圧入力!D$24^2-寸法→圧入力!F$25^2)</f>
        <v>89.333740594459542</v>
      </c>
      <c r="AJ37" s="101">
        <f>寸法→圧入力!$D$30</f>
        <v>345</v>
      </c>
      <c r="AK37" s="101">
        <f>テーブル4[[#This Row],[半径方向応力:Δ-30℃]]* (1+(寸法→圧入力!D$34/寸法→圧入力!F$33)^2)/((寸法→圧入力!D$34/寸法→圧入力!F$33)^2-1)</f>
        <v>106.3556716375581</v>
      </c>
      <c r="AL37" s="101">
        <f>テーブル4[[#This Row],[半径方向応力:Δ-20℃]]* (1+(寸法→圧入力!D$34/寸法→圧入力!F$33)^2)/((寸法→圧入力!D$34/寸法→圧入力!F$33)^2-1)</f>
        <v>96.682228381924318</v>
      </c>
      <c r="AM37" s="101">
        <f>テーブル4[[#This Row],[半径方向応力:Δ-10℃]]* (1+(寸法→圧入力!D$34/寸法→圧入力!F$33)^2)/((寸法→圧入力!D$34/寸法→圧入力!F$33)^2-1)</f>
        <v>87.008785126290519</v>
      </c>
      <c r="AN37" s="101">
        <f>テーブル4[[#This Row],[半径方向応力:Δ0℃]]* (1+(寸法→圧入力!D$34/寸法→圧入力!F$33)^2)/((寸法→圧入力!D$34/寸法→圧入力!F$33)^2-1)</f>
        <v>77.3353418706713</v>
      </c>
      <c r="AO37" s="101">
        <f>テーブル4[[#This Row],[半径方向応力:Δ+10℃]]* (1+(寸法→圧入力!D$34/寸法→圧入力!F$33)^2)/((寸法→圧入力!D$34/寸法→圧入力!F$33)^2-1)</f>
        <v>67.661898615044763</v>
      </c>
      <c r="AP37" s="101">
        <f>テーブル4[[#This Row],[半径方向応力:Δ+20℃]]* (1+(寸法→圧入力!D$34/寸法→圧入力!F$33)^2)/((寸法→圧入力!D$34/寸法→圧入力!F$33)^2-1)</f>
        <v>57.988455359410992</v>
      </c>
      <c r="AQ37" s="101">
        <f>テーブル4[[#This Row],[半径方向応力:Δ+30℃]]* (1+(寸法→圧入力!D$34/寸法→圧入力!F$33)^2)/((寸法→圧入力!D$34/寸法→圧入力!F$33)^2-1)</f>
        <v>48.315012103777185</v>
      </c>
      <c r="AR37" s="101">
        <f>寸法→圧入力!$D$39</f>
        <v>150</v>
      </c>
    </row>
    <row r="38" spans="1:44">
      <c r="A38" s="179">
        <f t="shared" si="0"/>
        <v>0.32</v>
      </c>
      <c r="B38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164.3366659610096</v>
      </c>
      <c r="C38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166.03505694927287</v>
      </c>
      <c r="D38" s="101">
        <f>(A38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167.71427909179485</v>
      </c>
      <c r="E38" s="101">
        <f>テーブル3[[#This Row],[半径方向応力min]]*寸法→圧入力!D$46*寸法→圧入力!D$5/1000</f>
        <v>28.630612942964781</v>
      </c>
      <c r="F38" s="101">
        <f>テーブル3[[#This Row],[半径方向応力min]]*寸法→圧入力!E$46*寸法→圧入力!E$5/1000</f>
        <v>36.562804507289329</v>
      </c>
      <c r="G38" s="101">
        <f>テーブル3[[#This Row],[半径方向応力min]]*寸法→圧入力!F$46*寸法→圧入力!F$5/1000</f>
        <v>44.813781954794671</v>
      </c>
      <c r="H38" s="101">
        <f>寸法→圧入力!$D$30</f>
        <v>345</v>
      </c>
      <c r="I38" s="101">
        <f>寸法→圧入力!$D$39</f>
        <v>150</v>
      </c>
      <c r="J38" s="101">
        <f>テーブル3[[#This Row],[半径方向応力nor]]*2*寸法→圧入力!E$24^2/(寸法→圧入力!E$24^2-寸法→圧入力!E$25^2)</f>
        <v>597.61997917016549</v>
      </c>
      <c r="K38" s="101">
        <f>テーブル3[[#This Row],[半径方向応力nor]]* (1+(寸法→圧入力!E$34/寸法→圧入力!E$33)^2)/((寸法→圧入力!E$34/寸法→圧入力!E$33)^2-1)</f>
        <v>318.98838281966448</v>
      </c>
      <c r="N38">
        <f t="shared" si="1"/>
        <v>110</v>
      </c>
      <c r="O38" s="179">
        <f>寸法→圧入力!F$24*(1+寸法→圧入力!D$29*10^-6*(テーブル4[[#This Row],[inner温度'[℃']]]-20)) - 寸法→圧入力!D$33*(1+寸法→圧入力!D$38*10^-6*(テーブル4[[#This Row],[inner温度'[℃']]]+O$3-20))</f>
        <v>0.10163170999999949</v>
      </c>
      <c r="P38" s="179">
        <f>寸法→圧入力!F$24*(1+寸法→圧入力!D$29*10^-6*(テーブル4[[#This Row],[inner温度'[℃']]]-20)) - 寸法→圧入力!D$33*(1+寸法→圧入力!D$38*10^-6*(テーブル4[[#This Row],[inner温度'[℃']]]+P$3-20))</f>
        <v>9.2202710000002241E-2</v>
      </c>
      <c r="Q38" s="179">
        <f>寸法→圧入力!F$24*(1+寸法→圧入力!D$29*10^-6*(テーブル4[[#This Row],[inner温度'[℃']]]-20)) - 寸法→圧入力!D$33*(1+寸法→圧入力!D$38*10^-6*(テーブル4[[#This Row],[inner温度'[℃']]]+Q$3-20))</f>
        <v>8.2773710000012102E-2</v>
      </c>
      <c r="R38" s="179">
        <f>寸法→圧入力!F$24*(1+寸法→圧入力!D$29*10^-6*(テーブル4[[#This Row],[inner温度'[℃']]]-20)) - 寸法→圧入力!D$33*(1+寸法→圧入力!D$38*10^-6*(テーブル4[[#This Row],[inner温度'[℃']]]+R$3-20))</f>
        <v>7.3344710000007751E-2</v>
      </c>
      <c r="S38" s="179">
        <f>寸法→圧入力!F$24*(1+寸法→圧入力!D$29*10^-6*(テーブル4[[#This Row],[inner温度'[℃']]]-20)) - 寸法→圧入力!D$33*(1+寸法→圧入力!D$38*10^-6*(テーブル4[[#This Row],[inner温度'[℃']]]+S$3-20))</f>
        <v>6.3915710000003401E-2</v>
      </c>
      <c r="T38" s="179">
        <f>寸法→圧入力!F$24*(1+寸法→圧入力!D$29*10^-6*(テーブル4[[#This Row],[inner温度'[℃']]]-20)) - 寸法→圧入力!D$33*(1+寸法→圧入力!D$38*10^-6*(テーブル4[[#This Row],[inner温度'[℃']]]+T$3-20))</f>
        <v>5.4486710000006155E-2</v>
      </c>
      <c r="U38" s="179">
        <f>寸法→圧入力!F$24*(1+寸法→圧入力!D$29*10^-6*(テーブル4[[#This Row],[inner温度'[℃']]]-20)) - 寸法→圧入力!D$33*(1+寸法→圧入力!D$38*10^-6*(テーブル4[[#This Row],[inner温度'[℃']]]+U$3-20))</f>
        <v>4.5057710000001805E-2</v>
      </c>
      <c r="V38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53.265903048488347</v>
      </c>
      <c r="W38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48.324096993625623</v>
      </c>
      <c r="X38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43.382290938766623</v>
      </c>
      <c r="Y38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38.440484883900176</v>
      </c>
      <c r="Z38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33.498678829033729</v>
      </c>
      <c r="AA38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28.556872774171005</v>
      </c>
      <c r="AB38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23.615066719304554</v>
      </c>
      <c r="AC38" s="101">
        <f>テーブル4[[#This Row],[半径方向応力:Δ-30℃]]*2*寸法→圧入力!D$24^2/(寸法→圧入力!D$24^2-寸法→圧入力!F$25^2)</f>
        <v>192.78716284004133</v>
      </c>
      <c r="AD38" s="101">
        <f>テーブル4[[#This Row],[半径方向応力:Δ-20℃]]*2*寸法→圧入力!D$24^2/(寸法→圧入力!D$24^2-寸法→圧入力!F$25^2)</f>
        <v>174.90110977236958</v>
      </c>
      <c r="AE38" s="101">
        <f>テーブル4[[#This Row],[半径方向応力:Δ-10℃]]*2*寸法→圧入力!D$24^2/(寸法→圧入力!D$24^2-寸法→圧入力!F$25^2)</f>
        <v>157.01505670471127</v>
      </c>
      <c r="AF38" s="101">
        <f>テーブル4[[#This Row],[半径方向応力:Δ0℃]]*2*寸法→圧入力!D$24^2/(寸法→圧入力!D$24^2-寸法→圧入力!F$25^2)</f>
        <v>139.12900363702602</v>
      </c>
      <c r="AG38" s="101">
        <f>テーブル4[[#This Row],[半径方向応力:Δ+10℃]]*2*寸法→圧入力!D$24^2/(寸法→圧入力!D$24^2-寸法→圧入力!F$25^2)</f>
        <v>121.24295056934076</v>
      </c>
      <c r="AH38" s="101">
        <f>テーブル4[[#This Row],[半径方向応力:Δ+20℃]]*2*寸法→圧入力!D$24^2/(寸法→圧入力!D$24^2-寸法→圧入力!F$25^2)</f>
        <v>103.356897501669</v>
      </c>
      <c r="AI38" s="101">
        <f>テーブル4[[#This Row],[半径方向応力:Δ+30℃]]*2*寸法→圧入力!D$24^2/(寸法→圧入力!D$24^2-寸法→圧入力!F$25^2)</f>
        <v>85.470844433983729</v>
      </c>
      <c r="AJ38" s="101">
        <f>寸法→圧入力!$D$30</f>
        <v>345</v>
      </c>
      <c r="AK38" s="101">
        <f>テーブル4[[#This Row],[半径方向応力:Δ-30℃]]* (1+(寸法→圧入力!D$34/寸法→圧入力!F$33)^2)/((寸法→圧入力!D$34/寸法→圧入力!F$33)^2-1)</f>
        <v>104.2664736088208</v>
      </c>
      <c r="AL38" s="101">
        <f>テーブル4[[#This Row],[半径方向応力:Δ-20℃]]* (1+(寸法→圧入力!D$34/寸法→圧入力!F$33)^2)/((寸法→圧入力!D$34/寸法→圧入力!F$33)^2-1)</f>
        <v>94.593030353194308</v>
      </c>
      <c r="AM38" s="101">
        <f>テーブル4[[#This Row],[半径方向応力:Δ-10℃]]* (1+(寸法→圧入力!D$34/寸法→圧入力!F$33)^2)/((寸法→圧入力!D$34/寸法→圧入力!F$33)^2-1)</f>
        <v>84.919587097575089</v>
      </c>
      <c r="AN38" s="101">
        <f>テーブル4[[#This Row],[半径方向応力:Δ0℃]]* (1+(寸法→圧入力!D$34/寸法→圧入力!F$33)^2)/((寸法→圧入力!D$34/寸法→圧入力!F$33)^2-1)</f>
        <v>75.24614384194129</v>
      </c>
      <c r="AO38" s="101">
        <f>テーブル4[[#This Row],[半径方向応力:Δ+10℃]]* (1+(寸法→圧入力!D$34/寸法→圧入力!F$33)^2)/((寸法→圧入力!D$34/寸法→圧入力!F$33)^2-1)</f>
        <v>65.572700586307491</v>
      </c>
      <c r="AP38" s="101">
        <f>テーブル4[[#This Row],[半径方向応力:Δ+20℃]]* (1+(寸法→圧入力!D$34/寸法→圧入力!F$33)^2)/((寸法→圧入力!D$34/寸法→圧入力!F$33)^2-1)</f>
        <v>55.899257330680982</v>
      </c>
      <c r="AQ38" s="101">
        <f>テーブル4[[#This Row],[半径方向応力:Δ+30℃]]* (1+(寸法→圧入力!D$34/寸法→圧入力!F$33)^2)/((寸法→圧入力!D$34/寸法→圧入力!F$33)^2-1)</f>
        <v>46.225814075047182</v>
      </c>
      <c r="AR38" s="101">
        <f>寸法→圧入力!$D$39</f>
        <v>150</v>
      </c>
    </row>
    <row r="39" spans="1:44">
      <c r="A39" s="179">
        <f t="shared" ref="A39:A56" si="2">$A$6+($A$3*(ROW(A39)-ROW($A$6)))</f>
        <v>0.33</v>
      </c>
      <c r="B39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169.47218677229117</v>
      </c>
      <c r="C39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171.22365247893765</v>
      </c>
      <c r="D39" s="101">
        <f>(A39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172.95535031341345</v>
      </c>
      <c r="E39" s="101">
        <f>テーブル3[[#This Row],[半径方向応力min]]*寸法→圧入力!D$46*寸法→圧入力!D$5/1000</f>
        <v>29.525319597432432</v>
      </c>
      <c r="F39" s="101">
        <f>テーブル3[[#This Row],[半径方向応力min]]*寸法→圧入力!E$46*寸法→圧入力!E$5/1000</f>
        <v>37.705392148142117</v>
      </c>
      <c r="G39" s="101">
        <f>テーブル3[[#This Row],[半径方向応力min]]*寸法→圧入力!F$46*寸法→圧入力!F$5/1000</f>
        <v>46.21421264088201</v>
      </c>
      <c r="H39" s="101">
        <f>寸法→圧入力!$D$30</f>
        <v>345</v>
      </c>
      <c r="I39" s="101">
        <f>寸法→圧入力!$D$39</f>
        <v>150</v>
      </c>
      <c r="J39" s="101">
        <f>テーブル3[[#This Row],[半径方向応力nor]]*2*寸法→圧入力!E$24^2/(寸法→圧入力!E$24^2-寸法→圧入力!E$25^2)</f>
        <v>616.29560351923317</v>
      </c>
      <c r="K39" s="101">
        <f>テーブル3[[#This Row],[半径方向応力nor]]* (1+(寸法→圧入力!E$34/寸法→圧入力!E$33)^2)/((寸法→圧入力!E$34/寸法→圧入力!E$33)^2-1)</f>
        <v>328.95676978277902</v>
      </c>
      <c r="N39">
        <f t="shared" si="1"/>
        <v>115</v>
      </c>
      <c r="O39" s="179">
        <f>寸法→圧入力!F$24*(1+寸法→圧入力!D$29*10^-6*(テーブル4[[#This Row],[inner温度'[℃']]]-20)) - 寸法→圧入力!D$33*(1+寸法→圧入力!D$38*10^-6*(テーブル4[[#This Row],[inner温度'[℃']]]+O$3-20))</f>
        <v>9.9595304999994028E-2</v>
      </c>
      <c r="P39" s="179">
        <f>寸法→圧入力!F$24*(1+寸法→圧入力!D$29*10^-6*(テーブル4[[#This Row],[inner温度'[℃']]]-20)) - 寸法→圧入力!D$33*(1+寸法→圧入力!D$38*10^-6*(テーブル4[[#This Row],[inner温度'[℃']]]+P$3-20))</f>
        <v>9.0166304999989677E-2</v>
      </c>
      <c r="Q39" s="179">
        <f>寸法→圧入力!F$24*(1+寸法→圧入力!D$29*10^-6*(テーブル4[[#This Row],[inner温度'[℃']]]-20)) - 寸法→圧入力!D$33*(1+寸法→圧入力!D$38*10^-6*(テーブル4[[#This Row],[inner温度'[℃']]]+Q$3-20))</f>
        <v>8.0737304999999537E-2</v>
      </c>
      <c r="R39" s="179">
        <f>寸法→圧入力!F$24*(1+寸法→圧入力!D$29*10^-6*(テーブル4[[#This Row],[inner温度'[℃']]]-20)) - 寸法→圧入力!D$33*(1+寸法→圧入力!D$38*10^-6*(テーブル4[[#This Row],[inner温度'[℃']]]+R$3-20))</f>
        <v>7.1308305000002292E-2</v>
      </c>
      <c r="S39" s="179">
        <f>寸法→圧入力!F$24*(1+寸法→圧入力!D$29*10^-6*(テーブル4[[#This Row],[inner温度'[℃']]]-20)) - 寸法→圧入力!D$33*(1+寸法→圧入力!D$38*10^-6*(テーブル4[[#This Row],[inner温度'[℃']]]+S$3-20))</f>
        <v>6.1879304999997942E-2</v>
      </c>
      <c r="T39" s="179">
        <f>寸法→圧入力!F$24*(1+寸法→圧入力!D$29*10^-6*(テーブル4[[#This Row],[inner温度'[℃']]]-20)) - 寸法→圧入力!D$33*(1+寸法→圧入力!D$38*10^-6*(テーブル4[[#This Row],[inner温度'[℃']]]+T$3-20))</f>
        <v>5.2450304999993591E-2</v>
      </c>
      <c r="U39" s="179">
        <f>寸法→圧入力!F$24*(1+寸法→圧入力!D$29*10^-6*(テーブル4[[#This Row],[inner温度'[℃']]]-20)) - 寸法→圧入力!D$33*(1+寸法→圧入力!D$38*10^-6*(テーブル4[[#This Row],[inner温度'[℃']]]+U$3-20))</f>
        <v>4.3021304999996346E-2</v>
      </c>
      <c r="V39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52.198608684379472</v>
      </c>
      <c r="W39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47.256802629513011</v>
      </c>
      <c r="X39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42.314996574654018</v>
      </c>
      <c r="Y39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37.373190519791294</v>
      </c>
      <c r="Z39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32.431384464924847</v>
      </c>
      <c r="AA39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27.4895784100584</v>
      </c>
      <c r="AB39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22.547772355195676</v>
      </c>
      <c r="AC39" s="101">
        <f>テーブル4[[#This Row],[半径方向応力:Δ-30℃]]*2*寸法→圧入力!D$24^2/(寸法→圧入力!D$24^2-寸法→圧入力!F$25^2)</f>
        <v>188.92426667953862</v>
      </c>
      <c r="AD39" s="101">
        <f>テーブル4[[#This Row],[半径方向応力:Δ-20℃]]*2*寸法→圧入力!D$24^2/(寸法→圧入力!D$24^2-寸法→圧入力!F$25^2)</f>
        <v>171.03821361185331</v>
      </c>
      <c r="AE39" s="101">
        <f>テーブル4[[#This Row],[半径方向応力:Δ-10℃]]*2*寸法→圧入力!D$24^2/(寸法→圧入力!D$24^2-寸法→圧入力!F$25^2)</f>
        <v>153.15216054419503</v>
      </c>
      <c r="AF39" s="101">
        <f>テーブル4[[#This Row],[半径方向応力:Δ0℃]]*2*寸法→圧入力!D$24^2/(寸法→圧入力!D$24^2-寸法→圧入力!F$25^2)</f>
        <v>135.26610747652325</v>
      </c>
      <c r="AG39" s="101">
        <f>テーブル4[[#This Row],[半径方向応力:Δ+10℃]]*2*寸法→圧入力!D$24^2/(寸法→圧入力!D$24^2-寸法→圧入力!F$25^2)</f>
        <v>117.38005440883801</v>
      </c>
      <c r="AH39" s="101">
        <f>テーブル4[[#This Row],[半径方向応力:Δ+20℃]]*2*寸法→圧入力!D$24^2/(寸法→圧入力!D$24^2-寸法→圧入力!F$25^2)</f>
        <v>99.494001341152767</v>
      </c>
      <c r="AI39" s="101">
        <f>テーブル4[[#This Row],[半径方向応力:Δ+30℃]]*2*寸法→圧入力!D$24^2/(寸法→圧入力!D$24^2-寸法→圧入力!F$25^2)</f>
        <v>81.607948273481</v>
      </c>
      <c r="AJ39" s="101">
        <f>寸法→圧入力!$D$30</f>
        <v>345</v>
      </c>
      <c r="AK39" s="101">
        <f>テーブル4[[#This Row],[半径方向応力:Δ-30℃]]* (1+(寸法→圧入力!D$34/寸法→圧入力!F$33)^2)/((寸法→圧入力!D$34/寸法→圧入力!F$33)^2-1)</f>
        <v>102.17727558007624</v>
      </c>
      <c r="AL39" s="101">
        <f>テーブル4[[#This Row],[半径方向応力:Δ-20℃]]* (1+(寸法→圧入力!D$34/寸法→圧入力!F$33)^2)/((寸法→圧入力!D$34/寸法→圧入力!F$33)^2-1)</f>
        <v>92.503832324442413</v>
      </c>
      <c r="AM39" s="101">
        <f>テーブル4[[#This Row],[半径方向応力:Δ-10℃]]* (1+(寸法→圧入力!D$34/寸法→圧入力!F$33)^2)/((寸法→圧入力!D$34/寸法→圧入力!F$33)^2-1)</f>
        <v>82.830389068823209</v>
      </c>
      <c r="AN39" s="101">
        <f>テーブル4[[#This Row],[半径方向応力:Δ0℃]]* (1+(寸法→圧入力!D$34/寸法→圧入力!F$33)^2)/((寸法→圧入力!D$34/寸法→圧入力!F$33)^2-1)</f>
        <v>73.1569458131967</v>
      </c>
      <c r="AO39" s="101">
        <f>テーブル4[[#This Row],[半径方向応力:Δ+10℃]]* (1+(寸法→圧入力!D$34/寸法→圧入力!F$33)^2)/((寸法→圧入力!D$34/寸法→圧入力!F$33)^2-1)</f>
        <v>63.4835025575629</v>
      </c>
      <c r="AP39" s="101">
        <f>テーブル4[[#This Row],[半径方向応力:Δ+20℃]]* (1+(寸法→圧入力!D$34/寸法→圧入力!F$33)^2)/((寸法→圧入力!D$34/寸法→圧入力!F$33)^2-1)</f>
        <v>53.810059301929108</v>
      </c>
      <c r="AQ39" s="101">
        <f>テーブル4[[#This Row],[半径方向応力:Δ+30℃]]* (1+(寸法→圧入力!D$34/寸法→圧入力!F$33)^2)/((寸法→圧入力!D$34/寸法→圧入力!F$33)^2-1)</f>
        <v>44.136616046302599</v>
      </c>
      <c r="AR39" s="101">
        <f>寸法→圧入力!$D$39</f>
        <v>150</v>
      </c>
    </row>
    <row r="40" spans="1:44">
      <c r="A40" s="179">
        <f t="shared" si="2"/>
        <v>0.34</v>
      </c>
      <c r="B40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174.6077075835727</v>
      </c>
      <c r="C40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176.4122480086024</v>
      </c>
      <c r="D40" s="101">
        <f>(A40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178.19642153503202</v>
      </c>
      <c r="E40" s="101">
        <f>テーブル3[[#This Row],[半径方向応力min]]*寸法→圧入力!D$46*寸法→圧入力!D$5/1000</f>
        <v>30.420026251900079</v>
      </c>
      <c r="F40" s="101">
        <f>テーブル3[[#This Row],[半径方向応力min]]*寸法→圧入力!E$46*寸法→圧入力!E$5/1000</f>
        <v>38.847979788994913</v>
      </c>
      <c r="G40" s="101">
        <f>テーブル3[[#This Row],[半径方向応力min]]*寸法→圧入力!F$46*寸法→圧入力!F$5/1000</f>
        <v>47.614643326969336</v>
      </c>
      <c r="H40" s="101">
        <f>寸法→圧入力!$D$30</f>
        <v>345</v>
      </c>
      <c r="I40" s="101">
        <f>寸法→圧入力!$D$39</f>
        <v>150</v>
      </c>
      <c r="J40" s="101">
        <f>テーブル3[[#This Row],[半径方向応力nor]]*2*寸法→圧入力!E$24^2/(寸法→圧入力!E$24^2-寸法→圧入力!E$25^2)</f>
        <v>634.97122786830073</v>
      </c>
      <c r="K40" s="101">
        <f>テーブル3[[#This Row],[半径方向応力nor]]* (1+(寸法→圧入力!E$34/寸法→圧入力!E$33)^2)/((寸法→圧入力!E$34/寸法→圧入力!E$33)^2-1)</f>
        <v>338.92515674589345</v>
      </c>
      <c r="N40">
        <f t="shared" si="1"/>
        <v>120</v>
      </c>
      <c r="O40" s="179">
        <f>寸法→圧入力!F$24*(1+寸法→圧入力!D$29*10^-6*(テーブル4[[#This Row],[inner温度'[℃']]]-20)) - 寸法→圧入力!D$33*(1+寸法→圧入力!D$38*10^-6*(テーブル4[[#This Row],[inner温度'[℃']]]+O$3-20))</f>
        <v>9.7558899999995674E-2</v>
      </c>
      <c r="P40" s="179">
        <f>寸法→圧入力!F$24*(1+寸法→圧入力!D$29*10^-6*(テーブル4[[#This Row],[inner温度'[℃']]]-20)) - 寸法→圧入力!D$33*(1+寸法→圧入力!D$38*10^-6*(テーブル4[[#This Row],[inner温度'[℃']]]+P$3-20))</f>
        <v>8.8129900000005534E-2</v>
      </c>
      <c r="Q40" s="179">
        <f>寸法→圧入力!F$24*(1+寸法→圧入力!D$29*10^-6*(テーブル4[[#This Row],[inner温度'[℃']]]-20)) - 寸法→圧入力!D$33*(1+寸法→圧入力!D$38*10^-6*(テーブル4[[#This Row],[inner温度'[℃']]]+Q$3-20))</f>
        <v>7.8700900000001184E-2</v>
      </c>
      <c r="R40" s="179">
        <f>寸法→圧入力!F$24*(1+寸法→圧入力!D$29*10^-6*(テーブル4[[#This Row],[inner温度'[℃']]]-20)) - 寸法→圧入力!D$33*(1+寸法→圧入力!D$38*10^-6*(テーブル4[[#This Row],[inner温度'[℃']]]+R$3-20))</f>
        <v>6.9271899999996833E-2</v>
      </c>
      <c r="S40" s="179">
        <f>寸法→圧入力!F$24*(1+寸法→圧入力!D$29*10^-6*(テーブル4[[#This Row],[inner温度'[℃']]]-20)) - 寸法→圧入力!D$33*(1+寸法→圧入力!D$38*10^-6*(テーブル4[[#This Row],[inner温度'[℃']]]+S$3-20))</f>
        <v>5.9842899999999588E-2</v>
      </c>
      <c r="T40" s="179">
        <f>寸法→圧入力!F$24*(1+寸法→圧入力!D$29*10^-6*(テーブル4[[#This Row],[inner温度'[℃']]]-20)) - 寸法→圧入力!D$33*(1+寸法→圧入力!D$38*10^-6*(テーブル4[[#This Row],[inner温度'[℃']]]+T$3-20))</f>
        <v>5.0413899999995238E-2</v>
      </c>
      <c r="U40" s="179">
        <f>寸法→圧入力!F$24*(1+寸法→圧入力!D$29*10^-6*(テーブル4[[#This Row],[inner温度'[℃']]]-20)) - 寸法→圧入力!D$33*(1+寸法→圧入力!D$38*10^-6*(テーブル4[[#This Row],[inner温度'[℃']]]+U$3-20))</f>
        <v>4.0984900000005098E-2</v>
      </c>
      <c r="V40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51.131314320274306</v>
      </c>
      <c r="W40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46.189508265415306</v>
      </c>
      <c r="X40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41.247702210548859</v>
      </c>
      <c r="Y40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36.305896155682412</v>
      </c>
      <c r="Z40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31.364090100819688</v>
      </c>
      <c r="AA40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26.422284045953244</v>
      </c>
      <c r="AB40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21.48047799109424</v>
      </c>
      <c r="AC40" s="101">
        <f>テーブル4[[#This Row],[半径方向応力:Δ-30℃]]*2*寸法→圧入力!D$24^2/(寸法→圧入力!D$24^2-寸法→圧入力!F$25^2)</f>
        <v>185.06137051904932</v>
      </c>
      <c r="AD40" s="101">
        <f>テーブル4[[#This Row],[半径方向応力:Δ-20℃]]*2*寸法→圧入力!D$24^2/(寸法→圧入力!D$24^2-寸法→圧入力!F$25^2)</f>
        <v>167.17531745139101</v>
      </c>
      <c r="AE40" s="101">
        <f>テーブル4[[#This Row],[半径方向応力:Δ-10℃]]*2*寸法→圧入力!D$24^2/(寸法→圧入力!D$24^2-寸法→圧入力!F$25^2)</f>
        <v>149.28926438370576</v>
      </c>
      <c r="AF40" s="101">
        <f>テーブル4[[#This Row],[半径方向応力:Δ0℃]]*2*寸法→圧入力!D$24^2/(寸法→圧入力!D$24^2-寸法→圧入力!F$25^2)</f>
        <v>131.40321131602053</v>
      </c>
      <c r="AG40" s="101">
        <f>テーブル4[[#This Row],[半径方向応力:Δ+10℃]]*2*寸法→圧入力!D$24^2/(寸法→圧入力!D$24^2-寸法→圧入力!F$25^2)</f>
        <v>113.51715824834875</v>
      </c>
      <c r="AH40" s="101">
        <f>テーブル4[[#This Row],[半径方向応力:Δ+20℃]]*2*寸法→圧入力!D$24^2/(寸法→圧入力!D$24^2-寸法→圧入力!F$25^2)</f>
        <v>95.631105180663511</v>
      </c>
      <c r="AI40" s="101">
        <f>テーブル4[[#This Row],[半径方向応力:Δ+30℃]]*2*寸法→圧入力!D$24^2/(寸法→圧入力!D$24^2-寸法→圧入力!F$25^2)</f>
        <v>77.745052113005201</v>
      </c>
      <c r="AJ40" s="101">
        <f>寸法→圧入力!$D$30</f>
        <v>345</v>
      </c>
      <c r="AK40" s="101">
        <f>テーブル4[[#This Row],[半径方向応力:Δ-30℃]]* (1+(寸法→圧入力!D$34/寸法→圧入力!F$33)^2)/((寸法→圧入力!D$34/寸法→圧入力!F$33)^2-1)</f>
        <v>100.08807755133894</v>
      </c>
      <c r="AL40" s="101">
        <f>テーブル4[[#This Row],[半径方向応力:Δ-20℃]]* (1+(寸法→圧入力!D$34/寸法→圧入力!F$33)^2)/((寸法→圧入力!D$34/寸法→圧入力!F$33)^2-1)</f>
        <v>90.414634295719722</v>
      </c>
      <c r="AM40" s="101">
        <f>テーブル4[[#This Row],[半径方向応力:Δ-10℃]]* (1+(寸法→圧入力!D$34/寸法→圧入力!F$33)^2)/((寸法→圧入力!D$34/寸法→圧入力!F$33)^2-1)</f>
        <v>80.741191040085909</v>
      </c>
      <c r="AN40" s="101">
        <f>テーブル4[[#This Row],[半径方向応力:Δ0℃]]* (1+(寸法→圧入力!D$34/寸法→圧入力!F$33)^2)/((寸法→圧入力!D$34/寸法→圧入力!F$33)^2-1)</f>
        <v>71.067747784452123</v>
      </c>
      <c r="AO40" s="101">
        <f>テーブル4[[#This Row],[半径方向応力:Δ+10℃]]* (1+(寸法→圧入力!D$34/寸法→圧入力!F$33)^2)/((寸法→圧入力!D$34/寸法→圧入力!F$33)^2-1)</f>
        <v>61.394304528825614</v>
      </c>
      <c r="AP40" s="101">
        <f>テーブル4[[#This Row],[半径方向応力:Δ+20℃]]* (1+(寸法→圧入力!D$34/寸法→圧入力!F$33)^2)/((寸法→圧入力!D$34/寸法→圧入力!F$33)^2-1)</f>
        <v>51.720861273191822</v>
      </c>
      <c r="AQ40" s="101">
        <f>テーブル4[[#This Row],[半径方向応力:Δ+30℃]]* (1+(寸法→圧入力!D$34/寸法→圧入力!F$33)^2)/((寸法→圧入力!D$34/寸法→圧入力!F$33)^2-1)</f>
        <v>42.047418017572596</v>
      </c>
      <c r="AR40" s="101">
        <f>寸法→圧入力!$D$39</f>
        <v>150</v>
      </c>
    </row>
    <row r="41" spans="1:44">
      <c r="A41" s="179">
        <f t="shared" si="2"/>
        <v>0.35000000000000003</v>
      </c>
      <c r="B41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179.74322839485427</v>
      </c>
      <c r="C41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181.60084353826721</v>
      </c>
      <c r="D41" s="101">
        <f>(A41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183.43749275665064</v>
      </c>
      <c r="E41" s="101">
        <f>テーブル3[[#This Row],[半径方向応力min]]*寸法→圧入力!D$46*寸法→圧入力!D$5/1000</f>
        <v>31.31473290636773</v>
      </c>
      <c r="F41" s="101">
        <f>テーブル3[[#This Row],[半径方向応力min]]*寸法→圧入力!E$46*寸法→圧入力!E$5/1000</f>
        <v>39.990567429847701</v>
      </c>
      <c r="G41" s="101">
        <f>テーブル3[[#This Row],[半径方向応力min]]*寸法→圧入力!F$46*寸法→圧入力!F$5/1000</f>
        <v>49.015074013056676</v>
      </c>
      <c r="H41" s="101">
        <f>寸法→圧入力!$D$30</f>
        <v>345</v>
      </c>
      <c r="I41" s="101">
        <f>寸法→圧入力!$D$39</f>
        <v>150</v>
      </c>
      <c r="J41" s="101">
        <f>テーブル3[[#This Row],[半径方向応力nor]]*2*寸法→圧入力!E$24^2/(寸法→圧入力!E$24^2-寸法→圧入力!E$25^2)</f>
        <v>653.64685221736852</v>
      </c>
      <c r="K41" s="101">
        <f>テーブル3[[#This Row],[半径方向応力nor]]* (1+(寸法→圧入力!E$34/寸法→圧入力!E$33)^2)/((寸法→圧入力!E$34/寸法→圧入力!E$33)^2-1)</f>
        <v>348.89354370900804</v>
      </c>
      <c r="N41">
        <f t="shared" si="1"/>
        <v>125</v>
      </c>
      <c r="O41" s="179">
        <f>寸法→圧入力!F$24*(1+寸法→圧入力!D$29*10^-6*(テーブル4[[#This Row],[inner温度'[℃']]]-20)) - 寸法→圧入力!D$33*(1+寸法→圧入力!D$38*10^-6*(テーブル4[[#This Row],[inner温度'[℃']]]+O$3-20))</f>
        <v>9.5522494999990215E-2</v>
      </c>
      <c r="P41" s="179">
        <f>寸法→圧入力!F$24*(1+寸法→圧入力!D$29*10^-6*(テーブル4[[#This Row],[inner温度'[℃']]]-20)) - 寸法→圧入力!D$33*(1+寸法→圧入力!D$38*10^-6*(テーブル4[[#This Row],[inner温度'[℃']]]+P$3-20))</f>
        <v>8.6093495000000075E-2</v>
      </c>
      <c r="Q41" s="179">
        <f>寸法→圧入力!F$24*(1+寸法→圧入力!D$29*10^-6*(テーブル4[[#This Row],[inner温度'[℃']]]-20)) - 寸法→圧入力!D$33*(1+寸法→圧入力!D$38*10^-6*(テーブル4[[#This Row],[inner温度'[℃']]]+Q$3-20))</f>
        <v>7.666449500000283E-2</v>
      </c>
      <c r="R41" s="179">
        <f>寸法→圧入力!F$24*(1+寸法→圧入力!D$29*10^-6*(テーブル4[[#This Row],[inner温度'[℃']]]-20)) - 寸法→圧入力!D$33*(1+寸法→圧入力!D$38*10^-6*(テーブル4[[#This Row],[inner温度'[℃']]]+R$3-20))</f>
        <v>6.723549499999848E-2</v>
      </c>
      <c r="S41" s="179">
        <f>寸法→圧入力!F$24*(1+寸法→圧入力!D$29*10^-6*(テーブル4[[#This Row],[inner温度'[℃']]]-20)) - 寸法→圧入力!D$33*(1+寸法→圧入力!D$38*10^-6*(テーブル4[[#This Row],[inner温度'[℃']]]+S$3-20))</f>
        <v>5.7806494999994129E-2</v>
      </c>
      <c r="T41" s="179">
        <f>寸法→圧入力!F$24*(1+寸法→圧入力!D$29*10^-6*(テーブル4[[#This Row],[inner温度'[℃']]]-20)) - 寸法→圧入力!D$33*(1+寸法→圧入力!D$38*10^-6*(テーブル4[[#This Row],[inner温度'[℃']]]+T$3-20))</f>
        <v>4.8377494999996884E-2</v>
      </c>
      <c r="U41" s="179">
        <f>寸法→圧入力!F$24*(1+寸法→圧入力!D$29*10^-6*(テーブル4[[#This Row],[inner温度'[℃']]]-20)) - 寸法→圧入力!D$33*(1+寸法→圧入力!D$38*10^-6*(テーブル4[[#This Row],[inner温度'[℃']]]+U$3-20))</f>
        <v>3.8948494999999639E-2</v>
      </c>
      <c r="V41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50.064019956165424</v>
      </c>
      <c r="W41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45.122213901306424</v>
      </c>
      <c r="X41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40.180407846443707</v>
      </c>
      <c r="Y41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35.238601791577253</v>
      </c>
      <c r="Z41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30.296795736710809</v>
      </c>
      <c r="AA41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25.354989681848085</v>
      </c>
      <c r="AB41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20.413183626985361</v>
      </c>
      <c r="AC41" s="101">
        <f>テーブル4[[#This Row],[半径方向応力:Δ-30℃]]*2*寸法→圧入力!D$24^2/(寸法→圧入力!D$24^2-寸法→圧入力!F$25^2)</f>
        <v>181.19847435854655</v>
      </c>
      <c r="AD41" s="101">
        <f>テーブル4[[#This Row],[半径方向応力:Δ-20℃]]*2*寸法→圧入力!D$24^2/(寸法→圧入力!D$24^2-寸法→圧入力!F$25^2)</f>
        <v>163.31242129088824</v>
      </c>
      <c r="AE41" s="101">
        <f>テーブル4[[#This Row],[半径方向応力:Δ-10℃]]*2*寸法→圧入力!D$24^2/(寸法→圧入力!D$24^2-寸法→圧入力!F$25^2)</f>
        <v>145.42636822321651</v>
      </c>
      <c r="AF41" s="101">
        <f>テーブル4[[#This Row],[半径方向応力:Δ0℃]]*2*寸法→圧入力!D$24^2/(寸法→圧入力!D$24^2-寸法→圧入力!F$25^2)</f>
        <v>127.54031515553123</v>
      </c>
      <c r="AG41" s="101">
        <f>テーブル4[[#This Row],[半径方向応力:Δ+10℃]]*2*寸法→圧入力!D$24^2/(寸法→圧入力!D$24^2-寸法→圧入力!F$25^2)</f>
        <v>109.65426208784601</v>
      </c>
      <c r="AH41" s="101">
        <f>テーブル4[[#This Row],[半径方向応力:Δ+20℃]]*2*寸法→圧入力!D$24^2/(寸法→圧入力!D$24^2-寸法→圧入力!F$25^2)</f>
        <v>91.768209020174226</v>
      </c>
      <c r="AI41" s="101">
        <f>テーブル4[[#This Row],[半径方向応力:Δ+30℃]]*2*寸法→圧入力!D$24^2/(寸法→圧入力!D$24^2-寸法→圧入力!F$25^2)</f>
        <v>73.882155952502458</v>
      </c>
      <c r="AJ41" s="101">
        <f>寸法→圧入力!$D$30</f>
        <v>345</v>
      </c>
      <c r="AK41" s="101">
        <f>テーブル4[[#This Row],[半径方向応力:Δ-30℃]]* (1+(寸法→圧入力!D$34/寸法→圧入力!F$33)^2)/((寸法→圧入力!D$34/寸法→圧入力!F$33)^2-1)</f>
        <v>97.998879522594351</v>
      </c>
      <c r="AL41" s="101">
        <f>テーブル4[[#This Row],[半径方向応力:Δ-20℃]]* (1+(寸法→圧入力!D$34/寸法→圧入力!F$33)^2)/((寸法→圧入力!D$34/寸法→圧入力!F$33)^2-1)</f>
        <v>88.325436266975132</v>
      </c>
      <c r="AM41" s="101">
        <f>テーブル4[[#This Row],[半径方向応力:Δ-10℃]]* (1+(寸法→圧入力!D$34/寸法→圧入力!F$33)^2)/((寸法→圧入力!D$34/寸法→圧入力!F$33)^2-1)</f>
        <v>78.651993011348637</v>
      </c>
      <c r="AN41" s="101">
        <f>テーブル4[[#This Row],[半径方向応力:Δ0℃]]* (1+(寸法→圧入力!D$34/寸法→圧入力!F$33)^2)/((寸法→圧入力!D$34/寸法→圧入力!F$33)^2-1)</f>
        <v>68.978549755714837</v>
      </c>
      <c r="AO41" s="101">
        <f>テーブル4[[#This Row],[半径方向応力:Δ+10℃]]* (1+(寸法→圧入力!D$34/寸法→圧入力!F$33)^2)/((寸法→圧入力!D$34/寸法→圧入力!F$33)^2-1)</f>
        <v>59.305106500081038</v>
      </c>
      <c r="AP41" s="101">
        <f>テーブル4[[#This Row],[半径方向応力:Δ+20℃]]* (1+(寸法→圧入力!D$34/寸法→圧入力!F$33)^2)/((寸法→圧入力!D$34/寸法→圧入力!F$33)^2-1)</f>
        <v>49.631663244454529</v>
      </c>
      <c r="AQ41" s="101">
        <f>テーブル4[[#This Row],[半径方向応力:Δ+30℃]]* (1+(寸法→圧入力!D$34/寸法→圧入力!F$33)^2)/((寸法→圧入力!D$34/寸法→圧入力!F$33)^2-1)</f>
        <v>39.95821998882802</v>
      </c>
      <c r="AR41" s="101">
        <f>寸法→圧入力!$D$39</f>
        <v>150</v>
      </c>
    </row>
    <row r="42" spans="1:44">
      <c r="A42" s="179">
        <f t="shared" si="2"/>
        <v>0.36</v>
      </c>
      <c r="B42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184.87874920613581</v>
      </c>
      <c r="C42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186.78943906793197</v>
      </c>
      <c r="D42" s="101">
        <f>(A42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188.67856397826921</v>
      </c>
      <c r="E42" s="101">
        <f>テーブル3[[#This Row],[半径方向応力min]]*寸法→圧入力!D$46*寸法→圧入力!D$5/1000</f>
        <v>32.209439560835378</v>
      </c>
      <c r="F42" s="101">
        <f>テーブル3[[#This Row],[半径方向応力min]]*寸法→圧入力!E$46*寸法→圧入力!E$5/1000</f>
        <v>41.133155070700496</v>
      </c>
      <c r="G42" s="101">
        <f>テーブル3[[#This Row],[半径方向応力min]]*寸法→圧入力!F$46*寸法→圧入力!F$5/1000</f>
        <v>50.415504699144009</v>
      </c>
      <c r="H42" s="101">
        <f>寸法→圧入力!$D$30</f>
        <v>345</v>
      </c>
      <c r="I42" s="101">
        <f>寸法→圧入力!$D$39</f>
        <v>150</v>
      </c>
      <c r="J42" s="101">
        <f>テーブル3[[#This Row],[半径方向応力nor]]*2*寸法→圧入力!E$24^2/(寸法→圧入力!E$24^2-寸法→圧入力!E$25^2)</f>
        <v>672.32247656643619</v>
      </c>
      <c r="K42" s="101">
        <f>テーブル3[[#This Row],[半径方向応力nor]]* (1+(寸法→圧入力!E$34/寸法→圧入力!E$33)^2)/((寸法→圧入力!E$34/寸法→圧入力!E$33)^2-1)</f>
        <v>358.86193067212253</v>
      </c>
      <c r="N42">
        <f t="shared" si="1"/>
        <v>130</v>
      </c>
      <c r="O42" s="179">
        <f>寸法→圧入力!F$24*(1+寸法→圧入力!D$29*10^-6*(テーブル4[[#This Row],[inner温度'[℃']]]-20)) - 寸法→圧入力!D$33*(1+寸法→圧入力!D$38*10^-6*(テーブル4[[#This Row],[inner温度'[℃']]]+O$3-20))</f>
        <v>9.3486090000006072E-2</v>
      </c>
      <c r="P42" s="179">
        <f>寸法→圧入力!F$24*(1+寸法→圧入力!D$29*10^-6*(テーブル4[[#This Row],[inner温度'[℃']]]-20)) - 寸法→圧入力!D$33*(1+寸法→圧入力!D$38*10^-6*(テーブル4[[#This Row],[inner温度'[℃']]]+P$3-20))</f>
        <v>8.4057090000001722E-2</v>
      </c>
      <c r="Q42" s="179">
        <f>寸法→圧入力!F$24*(1+寸法→圧入力!D$29*10^-6*(テーブル4[[#This Row],[inner温度'[℃']]]-20)) - 寸法→圧入力!D$33*(1+寸法→圧入力!D$38*10^-6*(テーブル4[[#This Row],[inner温度'[℃']]]+Q$3-20))</f>
        <v>7.4628089999997371E-2</v>
      </c>
      <c r="R42" s="179">
        <f>寸法→圧入力!F$24*(1+寸法→圧入力!D$29*10^-6*(テーブル4[[#This Row],[inner温度'[℃']]]-20)) - 寸法→圧入力!D$33*(1+寸法→圧入力!D$38*10^-6*(テーブル4[[#This Row],[inner温度'[℃']]]+R$3-20))</f>
        <v>6.5199090000000126E-2</v>
      </c>
      <c r="S42" s="179">
        <f>寸法→圧入力!F$24*(1+寸法→圧入力!D$29*10^-6*(テーブル4[[#This Row],[inner温度'[℃']]]-20)) - 寸法→圧入力!D$33*(1+寸法→圧入力!D$38*10^-6*(テーブル4[[#This Row],[inner温度'[℃']]]+S$3-20))</f>
        <v>5.5770089999995776E-2</v>
      </c>
      <c r="T42" s="179">
        <f>寸法→圧入力!F$24*(1+寸法→圧入力!D$29*10^-6*(テーブル4[[#This Row],[inner温度'[℃']]]-20)) - 寸法→圧入力!D$33*(1+寸法→圧入力!D$38*10^-6*(テーブル4[[#This Row],[inner温度'[℃']]]+T$3-20))</f>
        <v>4.6341090000005636E-2</v>
      </c>
      <c r="U42" s="179">
        <f>寸法→圧入力!F$24*(1+寸法→圧入力!D$29*10^-6*(テーブル4[[#This Row],[inner温度'[℃']]]-20)) - 寸法→圧入力!D$33*(1+寸法→圧入力!D$38*10^-6*(テーブル4[[#This Row],[inner温度'[℃']]]+U$3-20))</f>
        <v>3.6912090000001285E-2</v>
      </c>
      <c r="V42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48.996725592067712</v>
      </c>
      <c r="W42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44.054919537201272</v>
      </c>
      <c r="X42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39.113113482334825</v>
      </c>
      <c r="Y42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34.171307427472101</v>
      </c>
      <c r="Z42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29.229501372605654</v>
      </c>
      <c r="AA42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24.28769531774665</v>
      </c>
      <c r="AB42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19.345889262880203</v>
      </c>
      <c r="AC42" s="101">
        <f>テーブル4[[#This Row],[半径方向応力:Δ-30℃]]*2*寸法→圧入力!D$24^2/(寸法→圧入力!D$24^2-寸法→圧入力!F$25^2)</f>
        <v>177.33557819808425</v>
      </c>
      <c r="AD42" s="101">
        <f>テーブル4[[#This Row],[半径方向応力:Δ-20℃]]*2*寸法→圧入力!D$24^2/(寸法→圧入力!D$24^2-寸法→圧入力!F$25^2)</f>
        <v>159.44952513039902</v>
      </c>
      <c r="AE42" s="101">
        <f>テーブル4[[#This Row],[半径方向応力:Δ-10℃]]*2*寸法→圧入力!D$24^2/(寸法→圧入力!D$24^2-寸法→圧入力!F$25^2)</f>
        <v>141.56347206271377</v>
      </c>
      <c r="AF42" s="101">
        <f>テーブル4[[#This Row],[半径方向応力:Δ0℃]]*2*寸法→圧入力!D$24^2/(寸法→圧入力!D$24^2-寸法→圧入力!F$25^2)</f>
        <v>123.67741899504199</v>
      </c>
      <c r="AG42" s="101">
        <f>テーブル4[[#This Row],[半径方向応力:Δ+10℃]]*2*寸法→圧入力!D$24^2/(寸法→圧入力!D$24^2-寸法→圧入力!F$25^2)</f>
        <v>105.79136592735675</v>
      </c>
      <c r="AH42" s="101">
        <f>テーブル4[[#This Row],[半径方向応力:Δ+20℃]]*2*寸法→圧入力!D$24^2/(寸法→圧入力!D$24^2-寸法→圧入力!F$25^2)</f>
        <v>87.905312859698427</v>
      </c>
      <c r="AI42" s="101">
        <f>テーブル4[[#This Row],[半径方向応力:Δ+30℃]]*2*寸法→圧入力!D$24^2/(寸法→圧入力!D$24^2-寸法→圧入力!F$25^2)</f>
        <v>70.019259792013173</v>
      </c>
      <c r="AJ42" s="101">
        <f>寸法→圧入力!$D$30</f>
        <v>345</v>
      </c>
      <c r="AK42" s="101">
        <f>テーブル4[[#This Row],[半径方向応力:Δ-30℃]]* (1+(寸法→圧入力!D$34/寸法→圧入力!F$33)^2)/((寸法→圧入力!D$34/寸法→圧入力!F$33)^2-1)</f>
        <v>95.909681493871631</v>
      </c>
      <c r="AL42" s="101">
        <f>テーブル4[[#This Row],[半径方向応力:Δ-20℃]]* (1+(寸法→圧入力!D$34/寸法→圧入力!F$33)^2)/((寸法→圧入力!D$34/寸法→圧入力!F$33)^2-1)</f>
        <v>86.23623823823786</v>
      </c>
      <c r="AM42" s="101">
        <f>テーブル4[[#This Row],[半径方向応力:Δ-10℃]]* (1+(寸法→圧入力!D$34/寸法→圧入力!F$33)^2)/((寸法→圧入力!D$34/寸法→圧入力!F$33)^2-1)</f>
        <v>76.562794982604061</v>
      </c>
      <c r="AN42" s="101">
        <f>テーブル4[[#This Row],[半径方向応力:Δ0℃]]* (1+(寸法→圧入力!D$34/寸法→圧入力!F$33)^2)/((寸法→圧入力!D$34/寸法→圧入力!F$33)^2-1)</f>
        <v>66.889351726977537</v>
      </c>
      <c r="AO42" s="101">
        <f>テーブル4[[#This Row],[半径方向応力:Δ+10℃]]* (1+(寸法→圧入力!D$34/寸法→圧入力!F$33)^2)/((寸法→圧入力!D$34/寸法→圧入力!F$33)^2-1)</f>
        <v>57.215908471343752</v>
      </c>
      <c r="AP42" s="101">
        <f>テーブル4[[#This Row],[半径方向応力:Δ+20℃]]* (1+(寸法→圧入力!D$34/寸法→圧入力!F$33)^2)/((寸法→圧入力!D$34/寸法→圧入力!F$33)^2-1)</f>
        <v>47.542465215724519</v>
      </c>
      <c r="AQ42" s="101">
        <f>テーブル4[[#This Row],[半径方向応力:Δ+30℃]]* (1+(寸法→圧入力!D$34/寸法→圧入力!F$33)^2)/((寸法→圧入力!D$34/寸法→圧入力!F$33)^2-1)</f>
        <v>37.86902196009072</v>
      </c>
      <c r="AR42" s="101">
        <f>寸法→圧入力!$D$39</f>
        <v>150</v>
      </c>
    </row>
    <row r="43" spans="1:44">
      <c r="A43" s="179">
        <f t="shared" si="2"/>
        <v>0.37</v>
      </c>
      <c r="B43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190.01427001741737</v>
      </c>
      <c r="C43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191.97803459759675</v>
      </c>
      <c r="D43" s="101">
        <f>(A43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193.91963519988781</v>
      </c>
      <c r="E43" s="101">
        <f>テーブル3[[#This Row],[半径方向応力min]]*寸法→圧入力!D$46*寸法→圧入力!D$5/1000</f>
        <v>33.104146215303032</v>
      </c>
      <c r="F43" s="101">
        <f>テーブル3[[#This Row],[半径方向応力min]]*寸法→圧入力!E$46*寸法→圧入力!E$5/1000</f>
        <v>42.275742711553285</v>
      </c>
      <c r="G43" s="101">
        <f>テーブル3[[#This Row],[半径方向応力min]]*寸法→圧入力!F$46*寸法→圧入力!F$5/1000</f>
        <v>51.815935385231342</v>
      </c>
      <c r="H43" s="101">
        <f>寸法→圧入力!$D$30</f>
        <v>345</v>
      </c>
      <c r="I43" s="101">
        <f>寸法→圧入力!$D$39</f>
        <v>150</v>
      </c>
      <c r="J43" s="101">
        <f>テーブル3[[#This Row],[半径方向応力nor]]*2*寸法→圧入力!E$24^2/(寸法→圧入力!E$24^2-寸法→圧入力!E$25^2)</f>
        <v>690.99810091550387</v>
      </c>
      <c r="K43" s="101">
        <f>テーブル3[[#This Row],[半径方向応力nor]]* (1+(寸法→圧入力!E$34/寸法→圧入力!E$33)^2)/((寸法→圧入力!E$34/寸法→圧入力!E$33)^2-1)</f>
        <v>368.83031763523707</v>
      </c>
      <c r="N43">
        <f t="shared" si="1"/>
        <v>135</v>
      </c>
      <c r="O43" s="179">
        <f>寸法→圧入力!F$24*(1+寸法→圧入力!D$29*10^-6*(テーブル4[[#This Row],[inner温度'[℃']]]-20)) - 寸法→圧入力!D$33*(1+寸法→圧入力!D$38*10^-6*(テーブル4[[#This Row],[inner温度'[℃']]]+O$3-20))</f>
        <v>9.1449685000007719E-2</v>
      </c>
      <c r="P43" s="179">
        <f>寸法→圧入力!F$24*(1+寸法→圧入力!D$29*10^-6*(テーブル4[[#This Row],[inner温度'[℃']]]-20)) - 寸法→圧入力!D$33*(1+寸法→圧入力!D$38*10^-6*(テーブル4[[#This Row],[inner温度'[℃']]]+P$3-20))</f>
        <v>8.2020685000010474E-2</v>
      </c>
      <c r="Q43" s="179">
        <f>寸法→圧入力!F$24*(1+寸法→圧入力!D$29*10^-6*(テーブル4[[#This Row],[inner温度'[℃']]]-20)) - 寸法→圧入力!D$33*(1+寸法→圧入力!D$38*10^-6*(テーブル4[[#This Row],[inner温度'[℃']]]+Q$3-20))</f>
        <v>7.2591685000006123E-2</v>
      </c>
      <c r="R43" s="179">
        <f>寸法→圧入力!F$24*(1+寸法→圧入力!D$29*10^-6*(テーブル4[[#This Row],[inner温度'[℃']]]-20)) - 寸法→圧入力!D$33*(1+寸法→圧入力!D$38*10^-6*(テーブル4[[#This Row],[inner温度'[℃']]]+R$3-20))</f>
        <v>6.3162685000001773E-2</v>
      </c>
      <c r="S43" s="179">
        <f>寸法→圧入力!F$24*(1+寸法→圧入力!D$29*10^-6*(テーブル4[[#This Row],[inner温度'[℃']]]-20)) - 寸法→圧入力!D$33*(1+寸法→圧入力!D$38*10^-6*(テーブル4[[#This Row],[inner温度'[℃']]]+S$3-20))</f>
        <v>5.3733685000004527E-2</v>
      </c>
      <c r="T43" s="179">
        <f>寸法→圧入力!F$24*(1+寸法→圧入力!D$29*10^-6*(テーブル4[[#This Row],[inner温度'[℃']]]-20)) - 寸法→圧入力!D$33*(1+寸法→圧入力!D$38*10^-6*(テーブル4[[#This Row],[inner温度'[℃']]]+T$3-20))</f>
        <v>4.4304685000007282E-2</v>
      </c>
      <c r="U43" s="179">
        <f>寸法→圧入力!F$24*(1+寸法→圧入力!D$29*10^-6*(テーブル4[[#This Row],[inner温度'[℃']]]-20)) - 寸法→圧入力!D$33*(1+寸法→圧入力!D$38*10^-6*(テーブル4[[#This Row],[inner温度'[℃']]]+U$3-20))</f>
        <v>3.4875685000010037E-2</v>
      </c>
      <c r="V43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47.92943122796256</v>
      </c>
      <c r="W43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42.987625173099836</v>
      </c>
      <c r="X43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38.045819118233389</v>
      </c>
      <c r="Y43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33.104013063366942</v>
      </c>
      <c r="Z43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28.162207008504218</v>
      </c>
      <c r="AA43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23.220400953641494</v>
      </c>
      <c r="AB43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18.278594898778771</v>
      </c>
      <c r="AC43" s="101">
        <f>テーブル4[[#This Row],[半径方向応力:Δ-30℃]]*2*寸法→圧入力!D$24^2/(寸法→圧入力!D$24^2-寸法→圧入力!F$25^2)</f>
        <v>173.47268203759498</v>
      </c>
      <c r="AD43" s="101">
        <f>テーブル4[[#This Row],[半径方向応力:Δ-20℃]]*2*寸法→圧入力!D$24^2/(寸法→圧入力!D$24^2-寸法→圧入力!F$25^2)</f>
        <v>155.5866289699232</v>
      </c>
      <c r="AE43" s="101">
        <f>テーブル4[[#This Row],[半径方向応力:Δ-10℃]]*2*寸法→圧入力!D$24^2/(寸法→圧入力!D$24^2-寸法→圧入力!F$25^2)</f>
        <v>137.70057590223794</v>
      </c>
      <c r="AF43" s="101">
        <f>テーブル4[[#This Row],[半径方向応力:Δ0℃]]*2*寸法→圧入力!D$24^2/(寸法→圧入力!D$24^2-寸法→圧入力!F$25^2)</f>
        <v>119.8145228345527</v>
      </c>
      <c r="AG43" s="101">
        <f>テーブル4[[#This Row],[半径方向応力:Δ+10℃]]*2*寸法→圧入力!D$24^2/(寸法→圧入力!D$24^2-寸法→圧入力!F$25^2)</f>
        <v>101.92846976688094</v>
      </c>
      <c r="AH43" s="101">
        <f>テーブル4[[#This Row],[半径方向応力:Δ+20℃]]*2*寸法→圧入力!D$24^2/(寸法→圧入力!D$24^2-寸法→圧入力!F$25^2)</f>
        <v>84.04241669920917</v>
      </c>
      <c r="AI43" s="101">
        <f>テーブル4[[#This Row],[半径方向応力:Δ+30℃]]*2*寸法→圧入力!D$24^2/(寸法→圧入力!D$24^2-寸法→圧入力!F$25^2)</f>
        <v>66.156363631537403</v>
      </c>
      <c r="AJ43" s="101">
        <f>寸法→圧入力!$D$30</f>
        <v>345</v>
      </c>
      <c r="AK43" s="101">
        <f>テーブル4[[#This Row],[半径方向応力:Δ-30℃]]* (1+(寸法→圧入力!D$34/寸法→圧入力!F$33)^2)/((寸法→圧入力!D$34/寸法→圧入力!F$33)^2-1)</f>
        <v>93.820483465134345</v>
      </c>
      <c r="AL43" s="101">
        <f>テーブル4[[#This Row],[半径方向応力:Δ-20℃]]* (1+(寸法→圧入力!D$34/寸法→圧入力!F$33)^2)/((寸法→圧入力!D$34/寸法→圧入力!F$33)^2-1)</f>
        <v>84.14704020950785</v>
      </c>
      <c r="AM43" s="101">
        <f>テーブル4[[#This Row],[半径方向応力:Δ-10℃]]* (1+(寸法→圧入力!D$34/寸法→圧入力!F$33)^2)/((寸法→圧入力!D$34/寸法→圧入力!F$33)^2-1)</f>
        <v>74.473596953874051</v>
      </c>
      <c r="AN43" s="101">
        <f>テーブル4[[#This Row],[半径方向応力:Δ0℃]]* (1+(寸法→圧入力!D$34/寸法→圧入力!F$33)^2)/((寸法→圧入力!D$34/寸法→圧入力!F$33)^2-1)</f>
        <v>64.800153698240237</v>
      </c>
      <c r="AO43" s="101">
        <f>テーブル4[[#This Row],[半径方向応力:Δ+10℃]]* (1+(寸法→圧入力!D$34/寸法→圧入力!F$33)^2)/((寸法→圧入力!D$34/寸法→圧入力!F$33)^2-1)</f>
        <v>55.126710442613742</v>
      </c>
      <c r="AP43" s="101">
        <f>テーブル4[[#This Row],[半径方向応力:Δ+20℃]]* (1+(寸法→圧入力!D$34/寸法→圧入力!F$33)^2)/((寸法→圧入力!D$34/寸法→圧入力!F$33)^2-1)</f>
        <v>45.453267186987226</v>
      </c>
      <c r="AQ43" s="101">
        <f>テーブル4[[#This Row],[半径方向応力:Δ+30℃]]* (1+(寸法→圧入力!D$34/寸法→圧入力!F$33)^2)/((寸法→圧入力!D$34/寸法→圧入力!F$33)^2-1)</f>
        <v>35.779823931360717</v>
      </c>
      <c r="AR43" s="101">
        <f>寸法→圧入力!$D$39</f>
        <v>150</v>
      </c>
    </row>
    <row r="44" spans="1:44">
      <c r="A44" s="179">
        <f t="shared" si="2"/>
        <v>0.38</v>
      </c>
      <c r="B44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195.14979082869894</v>
      </c>
      <c r="C44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197.16663012726153</v>
      </c>
      <c r="D44" s="101">
        <f>(A44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199.1607064215064</v>
      </c>
      <c r="E44" s="101">
        <f>テーブル3[[#This Row],[半径方向応力min]]*寸法→圧入力!D$46*寸法→圧入力!D$5/1000</f>
        <v>33.998852869770687</v>
      </c>
      <c r="F44" s="101">
        <f>テーブル3[[#This Row],[半径方向応力min]]*寸法→圧入力!E$46*寸法→圧入力!E$5/1000</f>
        <v>43.418330352406088</v>
      </c>
      <c r="G44" s="101">
        <f>テーブル3[[#This Row],[半径方向応力min]]*寸法→圧入力!F$46*寸法→圧入力!F$5/1000</f>
        <v>53.216366071318681</v>
      </c>
      <c r="H44" s="101">
        <f>寸法→圧入力!$D$30</f>
        <v>345</v>
      </c>
      <c r="I44" s="101">
        <f>寸法→圧入力!$D$39</f>
        <v>150</v>
      </c>
      <c r="J44" s="101">
        <f>テーブル3[[#This Row],[半径方向応力nor]]*2*寸法→圧入力!E$24^2/(寸法→圧入力!E$24^2-寸法→圧入力!E$25^2)</f>
        <v>709.67372526457154</v>
      </c>
      <c r="K44" s="101">
        <f>テーブル3[[#This Row],[半径方向応力nor]]* (1+(寸法→圧入力!E$34/寸法→圧入力!E$33)^2)/((寸法→圧入力!E$34/寸法→圧入力!E$33)^2-1)</f>
        <v>378.79870459835155</v>
      </c>
      <c r="N44">
        <f t="shared" si="1"/>
        <v>140</v>
      </c>
      <c r="O44" s="179">
        <f>寸法→圧入力!F$24*(1+寸法→圧入力!D$29*10^-6*(テーブル4[[#This Row],[inner温度'[℃']]]-20)) - 寸法→圧入力!D$33*(1+寸法→圧入力!D$38*10^-6*(テーブル4[[#This Row],[inner温度'[℃']]]+O$3-20))</f>
        <v>8.941328000000226E-2</v>
      </c>
      <c r="P44" s="179">
        <f>寸法→圧入力!F$24*(1+寸法→圧入力!D$29*10^-6*(テーブル4[[#This Row],[inner温度'[℃']]]-20)) - 寸法→圧入力!D$33*(1+寸法→圧入力!D$38*10^-6*(テーブル4[[#This Row],[inner温度'[℃']]]+P$3-20))</f>
        <v>7.9984279999997909E-2</v>
      </c>
      <c r="Q44" s="179">
        <f>寸法→圧入力!F$24*(1+寸法→圧入力!D$29*10^-6*(テーブル4[[#This Row],[inner温度'[℃']]]-20)) - 寸法→圧入力!D$33*(1+寸法→圧入力!D$38*10^-6*(テーブル4[[#This Row],[inner温度'[℃']]]+Q$3-20))</f>
        <v>7.0555280000000664E-2</v>
      </c>
      <c r="R44" s="179">
        <f>寸法→圧入力!F$24*(1+寸法→圧入力!D$29*10^-6*(テーブル4[[#This Row],[inner温度'[℃']]]-20)) - 寸法→圧入力!D$33*(1+寸法→圧入力!D$38*10^-6*(テーブル4[[#This Row],[inner温度'[℃']]]+R$3-20))</f>
        <v>6.1126279999996314E-2</v>
      </c>
      <c r="S44" s="179">
        <f>寸法→圧入力!F$24*(1+寸法→圧入力!D$29*10^-6*(テーブル4[[#This Row],[inner温度'[℃']]]-20)) - 寸法→圧入力!D$33*(1+寸法→圧入力!D$38*10^-6*(テーブル4[[#This Row],[inner温度'[℃']]]+S$3-20))</f>
        <v>5.1697280000006174E-2</v>
      </c>
      <c r="T44" s="179">
        <f>寸法→圧入力!F$24*(1+寸法→圧入力!D$29*10^-6*(テーブル4[[#This Row],[inner温度'[℃']]]-20)) - 寸法→圧入力!D$33*(1+寸法→圧入力!D$38*10^-6*(テーブル4[[#This Row],[inner温度'[℃']]]+T$3-20))</f>
        <v>4.2268280000001823E-2</v>
      </c>
      <c r="U44" s="179">
        <f>寸法→圧入力!F$24*(1+寸法→圧入力!D$29*10^-6*(テーブル4[[#This Row],[inner温度'[℃']]]-20)) - 寸法→圧入力!D$33*(1+寸法→圧入力!D$38*10^-6*(テーブル4[[#This Row],[inner温度'[℃']]]+U$3-20))</f>
        <v>3.2839279999997473E-2</v>
      </c>
      <c r="V44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46.862136863853678</v>
      </c>
      <c r="W44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41.920330808987231</v>
      </c>
      <c r="X44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36.978524754124507</v>
      </c>
      <c r="Y44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32.03671869925806</v>
      </c>
      <c r="Z44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27.094912644399059</v>
      </c>
      <c r="AA44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22.153106589532612</v>
      </c>
      <c r="AB44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17.211300534666165</v>
      </c>
      <c r="AC44" s="101">
        <f>テーブル4[[#This Row],[半径方向応力:Δ-30℃]]*2*寸法→圧入力!D$24^2/(寸法→圧入力!D$24^2-寸法→圧入力!F$25^2)</f>
        <v>169.60978587709224</v>
      </c>
      <c r="AD44" s="101">
        <f>テーブル4[[#This Row],[半径方向応力:Δ-20℃]]*2*寸法→圧入力!D$24^2/(寸法→圧入力!D$24^2-寸法→圧入力!F$25^2)</f>
        <v>151.72373280940698</v>
      </c>
      <c r="AE44" s="101">
        <f>テーブル4[[#This Row],[半径方向応力:Δ-10℃]]*2*寸法→圧入力!D$24^2/(寸法→圧入力!D$24^2-寸法→圧入力!F$25^2)</f>
        <v>133.8376797417352</v>
      </c>
      <c r="AF44" s="101">
        <f>テーブル4[[#This Row],[半径方向応力:Δ0℃]]*2*寸法→圧入力!D$24^2/(寸法→圧入力!D$24^2-寸法→圧入力!F$25^2)</f>
        <v>115.95162667404996</v>
      </c>
      <c r="AG44" s="101">
        <f>テーブル4[[#This Row],[半径方向応力:Δ+10℃]]*2*寸法→圧入力!D$24^2/(寸法→圧入力!D$24^2-寸法→圧入力!F$25^2)</f>
        <v>98.065573606391666</v>
      </c>
      <c r="AH44" s="101">
        <f>テーブル4[[#This Row],[半径方向応力:Δ+20℃]]*2*寸法→圧入力!D$24^2/(寸法→圧入力!D$24^2-寸法→圧入力!F$25^2)</f>
        <v>80.179520538706413</v>
      </c>
      <c r="AI44" s="101">
        <f>テーブル4[[#This Row],[半径方向応力:Δ+30℃]]*2*寸法→圧入力!D$24^2/(寸法→圧入力!D$24^2-寸法→圧入力!F$25^2)</f>
        <v>62.293467471021167</v>
      </c>
      <c r="AJ44" s="101">
        <f>寸法→圧入力!$D$30</f>
        <v>345</v>
      </c>
      <c r="AK44" s="101">
        <f>テーブル4[[#This Row],[半径方向応力:Δ-30℃]]* (1+(寸法→圧入力!D$34/寸法→圧入力!F$33)^2)/((寸法→圧入力!D$34/寸法→圧入力!F$33)^2-1)</f>
        <v>91.731285436389769</v>
      </c>
      <c r="AL44" s="101">
        <f>テーブル4[[#This Row],[半径方向応力:Δ-20℃]]* (1+(寸法→圧入力!D$34/寸法→圧入力!F$33)^2)/((寸法→圧入力!D$34/寸法→圧入力!F$33)^2-1)</f>
        <v>82.057842180755969</v>
      </c>
      <c r="AM44" s="101">
        <f>テーブル4[[#This Row],[半径方向応力:Δ-10℃]]* (1+(寸法→圧入力!D$34/寸法→圧入力!F$33)^2)/((寸法→圧入力!D$34/寸法→圧入力!F$33)^2-1)</f>
        <v>72.38439892512946</v>
      </c>
      <c r="AN44" s="101">
        <f>テーブル4[[#This Row],[半径方向応力:Δ0℃]]* (1+(寸法→圧入力!D$34/寸法→圧入力!F$33)^2)/((寸法→圧入力!D$34/寸法→圧入力!F$33)^2-1)</f>
        <v>62.710955669495661</v>
      </c>
      <c r="AO44" s="101">
        <f>テーブル4[[#This Row],[半径方向応力:Δ+10℃]]* (1+(寸法→圧入力!D$34/寸法→圧入力!F$33)^2)/((寸法→圧入力!D$34/寸法→圧入力!F$33)^2-1)</f>
        <v>53.037512413876442</v>
      </c>
      <c r="AP44" s="101">
        <f>テーブル4[[#This Row],[半径方向応力:Δ+20℃]]* (1+(寸法→圧入力!D$34/寸法→圧入力!F$33)^2)/((寸法→圧入力!D$34/寸法→圧入力!F$33)^2-1)</f>
        <v>43.36406915824265</v>
      </c>
      <c r="AQ44" s="101">
        <f>テーブル4[[#This Row],[半径方向応力:Δ+30℃]]* (1+(寸法→圧入力!D$34/寸法→圧入力!F$33)^2)/((寸法→圧入力!D$34/寸法→圧入力!F$33)^2-1)</f>
        <v>33.690625902608851</v>
      </c>
      <c r="AR44" s="101">
        <f>寸法→圧入力!$D$39</f>
        <v>150</v>
      </c>
    </row>
    <row r="45" spans="1:44">
      <c r="A45" s="179">
        <f t="shared" si="2"/>
        <v>0.39</v>
      </c>
      <c r="B45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200.28531163998045</v>
      </c>
      <c r="C45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202.35522565692628</v>
      </c>
      <c r="D45" s="101">
        <f>(A45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204.40177764312497</v>
      </c>
      <c r="E45" s="101">
        <f>テーブル3[[#This Row],[半径方向応力min]]*寸法→圧入力!D$46*寸法→圧入力!D$5/1000</f>
        <v>34.893559524238327</v>
      </c>
      <c r="F45" s="101">
        <f>テーブル3[[#This Row],[半径方向応力min]]*寸法→圧入力!E$46*寸法→圧入力!E$5/1000</f>
        <v>44.560917993258869</v>
      </c>
      <c r="G45" s="101">
        <f>テーブル3[[#This Row],[半径方向応力min]]*寸法→圧入力!F$46*寸法→圧入力!F$5/1000</f>
        <v>54.616796757406</v>
      </c>
      <c r="H45" s="101">
        <f>寸法→圧入力!$D$30</f>
        <v>345</v>
      </c>
      <c r="I45" s="101">
        <f>寸法→圧入力!$D$39</f>
        <v>150</v>
      </c>
      <c r="J45" s="101">
        <f>テーブル3[[#This Row],[半径方向応力nor]]*2*寸法→圧入力!E$24^2/(寸法→圧入力!E$24^2-寸法→圧入力!E$25^2)</f>
        <v>728.34934961363911</v>
      </c>
      <c r="K45" s="101">
        <f>テーブル3[[#This Row],[半径方向応力nor]]* (1+(寸法→圧入力!E$34/寸法→圧入力!E$33)^2)/((寸法→圧入力!E$34/寸法→圧入力!E$33)^2-1)</f>
        <v>388.76709156146603</v>
      </c>
      <c r="N45">
        <f t="shared" si="1"/>
        <v>145</v>
      </c>
      <c r="O45" s="179">
        <f>寸法→圧入力!F$24*(1+寸法→圧入力!D$29*10^-6*(テーブル4[[#This Row],[inner温度'[℃']]]-20)) - 寸法→圧入力!D$33*(1+寸法→圧入力!D$38*10^-6*(テーブル4[[#This Row],[inner温度'[℃']]]+O$3-20))</f>
        <v>8.7376875000011012E-2</v>
      </c>
      <c r="P45" s="179">
        <f>寸法→圧入力!F$24*(1+寸法→圧入力!D$29*10^-6*(テーブル4[[#This Row],[inner温度'[℃']]]-20)) - 寸法→圧入力!D$33*(1+寸法→圧入力!D$38*10^-6*(テーブル4[[#This Row],[inner温度'[℃']]]+P$3-20))</f>
        <v>7.7947875000006661E-2</v>
      </c>
      <c r="Q45" s="179">
        <f>寸法→圧入力!F$24*(1+寸法→圧入力!D$29*10^-6*(テーブル4[[#This Row],[inner温度'[℃']]]-20)) - 寸法→圧入力!D$33*(1+寸法→圧入力!D$38*10^-6*(テーブル4[[#This Row],[inner温度'[℃']]]+Q$3-20))</f>
        <v>6.8518875000002311E-2</v>
      </c>
      <c r="R45" s="179">
        <f>寸法→圧入力!F$24*(1+寸法→圧入力!D$29*10^-6*(テーブル4[[#This Row],[inner温度'[℃']]]-20)) - 寸法→圧入力!D$33*(1+寸法→圧入力!D$38*10^-6*(テーブル4[[#This Row],[inner温度'[℃']]]+R$3-20))</f>
        <v>5.9089875000005065E-2</v>
      </c>
      <c r="S45" s="179">
        <f>寸法→圧入力!F$24*(1+寸法→圧入力!D$29*10^-6*(テーブル4[[#This Row],[inner温度'[℃']]]-20)) - 寸法→圧入力!D$33*(1+寸法→圧入力!D$38*10^-6*(テーブル4[[#This Row],[inner温度'[℃']]]+S$3-20))</f>
        <v>4.966087500000782E-2</v>
      </c>
      <c r="T45" s="179">
        <f>寸法→圧入力!F$24*(1+寸法→圧入力!D$29*10^-6*(テーブル4[[#This Row],[inner温度'[℃']]]-20)) - 寸法→圧入力!D$33*(1+寸法→圧入力!D$38*10^-6*(テーブル4[[#This Row],[inner温度'[℃']]]+T$3-20))</f>
        <v>4.0231875000010575E-2</v>
      </c>
      <c r="U45" s="179">
        <f>寸法→圧入力!F$24*(1+寸法→圧入力!D$29*10^-6*(テーブル4[[#This Row],[inner温度'[℃']]]-20)) - 寸法→圧入力!D$33*(1+寸法→圧入力!D$38*10^-6*(テーブル4[[#This Row],[inner温度'[℃']]]+U$3-20))</f>
        <v>3.0802875000006225E-2</v>
      </c>
      <c r="V45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45.794842499752249</v>
      </c>
      <c r="W45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40.853036444885795</v>
      </c>
      <c r="X45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35.911230390019348</v>
      </c>
      <c r="Y45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30.969424335156624</v>
      </c>
      <c r="Z45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26.027618280293904</v>
      </c>
      <c r="AA45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21.085812225431177</v>
      </c>
      <c r="AB45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16.14400617056473</v>
      </c>
      <c r="AC45" s="101">
        <f>テーブル4[[#This Row],[半径方向応力:Δ-30℃]]*2*寸法→圧入力!D$24^2/(寸法→圧入力!D$24^2-寸法→圧入力!F$25^2)</f>
        <v>165.74688971661644</v>
      </c>
      <c r="AD45" s="101">
        <f>テーブル4[[#This Row],[半径方向応力:Δ-20℃]]*2*寸法→圧入力!D$24^2/(寸法→圧入力!D$24^2-寸法→圧入力!F$25^2)</f>
        <v>147.86083664893118</v>
      </c>
      <c r="AE45" s="101">
        <f>テーブル4[[#This Row],[半径方向応力:Δ-10℃]]*2*寸法→圧入力!D$24^2/(寸法→圧入力!D$24^2-寸法→圧入力!F$25^2)</f>
        <v>129.97478358124593</v>
      </c>
      <c r="AF45" s="101">
        <f>テーブル4[[#This Row],[半径方向応力:Δ0℃]]*2*寸法→圧入力!D$24^2/(寸法→圧入力!D$24^2-寸法→圧入力!F$25^2)</f>
        <v>112.08873051357416</v>
      </c>
      <c r="AG45" s="101">
        <f>テーブル4[[#This Row],[半径方向応力:Δ+10℃]]*2*寸法→圧入力!D$24^2/(寸法→圧入力!D$24^2-寸法→圧入力!F$25^2)</f>
        <v>94.202677445902395</v>
      </c>
      <c r="AH45" s="101">
        <f>テーブル4[[#This Row],[半径方向応力:Δ+20℃]]*2*寸法→圧入力!D$24^2/(寸法→圧入力!D$24^2-寸法→圧入力!F$25^2)</f>
        <v>76.316624378230628</v>
      </c>
      <c r="AI45" s="101">
        <f>テーブル4[[#This Row],[半径方向応力:Δ+30℃]]*2*寸法→圧入力!D$24^2/(寸法→圧入力!D$24^2-寸法→圧入力!F$25^2)</f>
        <v>58.430571310545368</v>
      </c>
      <c r="AJ45" s="101">
        <f>寸法→圧入力!$D$30</f>
        <v>345</v>
      </c>
      <c r="AK45" s="101">
        <f>テーブル4[[#This Row],[半径方向応力:Δ-30℃]]* (1+(寸法→圧入力!D$34/寸法→圧入力!F$33)^2)/((寸法→圧入力!D$34/寸法→圧入力!F$33)^2-1)</f>
        <v>89.642087407659773</v>
      </c>
      <c r="AL45" s="101">
        <f>テーブル4[[#This Row],[半径方向応力:Δ-20℃]]* (1+(寸法→圧入力!D$34/寸法→圧入力!F$33)^2)/((寸法→圧入力!D$34/寸法→圧入力!F$33)^2-1)</f>
        <v>79.968644152025959</v>
      </c>
      <c r="AM45" s="101">
        <f>テーブル4[[#This Row],[半径方向応力:Δ-10℃]]* (1+(寸法→圧入力!D$34/寸法→圧入力!F$33)^2)/((寸法→圧入力!D$34/寸法→圧入力!F$33)^2-1)</f>
        <v>70.295200896392174</v>
      </c>
      <c r="AN45" s="101">
        <f>テーブル4[[#This Row],[半径方向応力:Δ0℃]]* (1+(寸法→圧入力!D$34/寸法→圧入力!F$33)^2)/((寸法→圧入力!D$34/寸法→圧入力!F$33)^2-1)</f>
        <v>60.621757640765658</v>
      </c>
      <c r="AO45" s="101">
        <f>テーブル4[[#This Row],[半径方向応力:Δ+10℃]]* (1+(寸法→圧入力!D$34/寸法→圧入力!F$33)^2)/((寸法→圧入力!D$34/寸法→圧入力!F$33)^2-1)</f>
        <v>50.948314385139156</v>
      </c>
      <c r="AP45" s="101">
        <f>テーブル4[[#This Row],[半径方向応力:Δ+20℃]]* (1+(寸法→圧入力!D$34/寸法→圧入力!F$33)^2)/((寸法→圧入力!D$34/寸法→圧入力!F$33)^2-1)</f>
        <v>41.27487112951264</v>
      </c>
      <c r="AQ45" s="101">
        <f>テーブル4[[#This Row],[半径方向応力:Δ+30℃]]* (1+(寸法→圧入力!D$34/寸法→圧入力!F$33)^2)/((寸法→圧入力!D$34/寸法→圧入力!F$33)^2-1)</f>
        <v>31.601427873878841</v>
      </c>
      <c r="AR45" s="101">
        <f>寸法→圧入力!$D$39</f>
        <v>150</v>
      </c>
    </row>
    <row r="46" spans="1:44">
      <c r="A46" s="179">
        <f t="shared" si="2"/>
        <v>0.4</v>
      </c>
      <c r="B46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205.42083245126202</v>
      </c>
      <c r="C46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207.54382118659106</v>
      </c>
      <c r="D46" s="101">
        <f>(A46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209.64284886474357</v>
      </c>
      <c r="E46" s="101">
        <f>テーブル3[[#This Row],[半径方向応力min]]*寸法→圧入力!D$46*寸法→圧入力!D$5/1000</f>
        <v>35.788266178705975</v>
      </c>
      <c r="F46" s="101">
        <f>テーブル3[[#This Row],[半径方向応力min]]*寸法→圧入力!E$46*寸法→圧入力!E$5/1000</f>
        <v>45.703505634111664</v>
      </c>
      <c r="G46" s="101">
        <f>テーブル3[[#This Row],[半径方向応力min]]*寸法→圧入力!F$46*寸法→圧入力!F$5/1000</f>
        <v>56.01722744349334</v>
      </c>
      <c r="H46" s="101">
        <f>寸法→圧入力!$D$30</f>
        <v>345</v>
      </c>
      <c r="I46" s="101">
        <f>寸法→圧入力!$D$39</f>
        <v>150</v>
      </c>
      <c r="J46" s="101">
        <f>テーブル3[[#This Row],[半径方向応力nor]]*2*寸法→圧入力!E$24^2/(寸法→圧入力!E$24^2-寸法→圧入力!E$25^2)</f>
        <v>747.02497396270678</v>
      </c>
      <c r="K46" s="101">
        <f>テーブル3[[#This Row],[半径方向応力nor]]* (1+(寸法→圧入力!E$34/寸法→圧入力!E$33)^2)/((寸法→圧入力!E$34/寸法→圧入力!E$33)^2-1)</f>
        <v>398.73547852458057</v>
      </c>
      <c r="N46">
        <f t="shared" si="1"/>
        <v>150</v>
      </c>
      <c r="O46" s="179">
        <f>寸法→圧入力!F$24*(1+寸法→圧入力!D$29*10^-6*(テーブル4[[#This Row],[inner温度'[℃']]]-20)) - 寸法→圧入力!D$33*(1+寸法→圧入力!D$38*10^-6*(テーブル4[[#This Row],[inner温度'[℃']]]+O$3-20))</f>
        <v>8.5340469999998447E-2</v>
      </c>
      <c r="P46" s="179">
        <f>寸法→圧入力!F$24*(1+寸法→圧入力!D$29*10^-6*(テーブル4[[#This Row],[inner温度'[℃']]]-20)) - 寸法→圧入力!D$33*(1+寸法→圧入力!D$38*10^-6*(テーブル4[[#This Row],[inner温度'[℃']]]+P$3-20))</f>
        <v>7.5911470000001202E-2</v>
      </c>
      <c r="Q46" s="179">
        <f>寸法→圧入力!F$24*(1+寸法→圧入力!D$29*10^-6*(テーブル4[[#This Row],[inner温度'[℃']]]-20)) - 寸法→圧入力!D$33*(1+寸法→圧入力!D$38*10^-6*(テーブル4[[#This Row],[inner温度'[℃']]]+Q$3-20))</f>
        <v>6.6482469999996852E-2</v>
      </c>
      <c r="R46" s="179">
        <f>寸法→圧入力!F$24*(1+寸法→圧入力!D$29*10^-6*(テーブル4[[#This Row],[inner温度'[℃']]]-20)) - 寸法→圧入力!D$33*(1+寸法→圧入力!D$38*10^-6*(テーブル4[[#This Row],[inner温度'[℃']]]+R$3-20))</f>
        <v>5.7053470000006712E-2</v>
      </c>
      <c r="S46" s="179">
        <f>寸法→圧入力!F$24*(1+寸法→圧入力!D$29*10^-6*(テーブル4[[#This Row],[inner温度'[℃']]]-20)) - 寸法→圧入力!D$33*(1+寸法→圧入力!D$38*10^-6*(テーブル4[[#This Row],[inner温度'[℃']]]+S$3-20))</f>
        <v>4.7624470000002361E-2</v>
      </c>
      <c r="T46" s="179">
        <f>寸法→圧入力!F$24*(1+寸法→圧入力!D$29*10^-6*(テーブル4[[#This Row],[inner温度'[℃']]]-20)) - 寸法→圧入力!D$33*(1+寸法→圧入力!D$38*10^-6*(テーブル4[[#This Row],[inner温度'[℃']]]+T$3-20))</f>
        <v>3.8195469999998011E-2</v>
      </c>
      <c r="U46" s="179">
        <f>寸法→圧入力!F$24*(1+寸法→圧入力!D$29*10^-6*(テーブル4[[#This Row],[inner温度'[℃']]]-20)) - 寸法→圧入力!D$33*(1+寸法→圧入力!D$38*10^-6*(テーブル4[[#This Row],[inner温度'[℃']]]+U$3-20))</f>
        <v>2.8766470000000766E-2</v>
      </c>
      <c r="V46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44.727548135639637</v>
      </c>
      <c r="W46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39.78574208077692</v>
      </c>
      <c r="X46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34.843936025910466</v>
      </c>
      <c r="Y46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29.902129971051469</v>
      </c>
      <c r="Z46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24.960323916185022</v>
      </c>
      <c r="AA46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20.018517861318575</v>
      </c>
      <c r="AB46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15.076711806455849</v>
      </c>
      <c r="AC46" s="101">
        <f>テーブル4[[#This Row],[半径方向応力:Δ-30℃]]*2*寸法→圧入力!D$24^2/(寸法→圧入力!D$24^2-寸法→圧入力!F$25^2)</f>
        <v>161.88399355610022</v>
      </c>
      <c r="AD46" s="101">
        <f>テーブル4[[#This Row],[半径方向応力:Δ-20℃]]*2*寸法→圧入力!D$24^2/(寸法→圧入力!D$24^2-寸法→圧入力!F$25^2)</f>
        <v>143.99794048842847</v>
      </c>
      <c r="AE46" s="101">
        <f>テーブル4[[#This Row],[半径方向応力:Δ-10℃]]*2*寸法→圧入力!D$24^2/(寸法→圧入力!D$24^2-寸法→圧入力!F$25^2)</f>
        <v>126.11188742074319</v>
      </c>
      <c r="AF46" s="101">
        <f>テーブル4[[#This Row],[半径方向応力:Δ0℃]]*2*寸法→圧入力!D$24^2/(寸法→圧入力!D$24^2-寸法→圧入力!F$25^2)</f>
        <v>108.22583435308491</v>
      </c>
      <c r="AG46" s="101">
        <f>テーブル4[[#This Row],[半径方向応力:Δ+10℃]]*2*寸法→圧入力!D$24^2/(寸法→圧入力!D$24^2-寸法→圧入力!F$25^2)</f>
        <v>90.339781285399653</v>
      </c>
      <c r="AH46" s="101">
        <f>テーブル4[[#This Row],[半径方向応力:Δ+20℃]]*2*寸法→圧入力!D$24^2/(寸法→圧入力!D$24^2-寸法→圧入力!F$25^2)</f>
        <v>72.453728217714399</v>
      </c>
      <c r="AI46" s="101">
        <f>テーブル4[[#This Row],[半径方向応力:Δ+30℃]]*2*寸法→圧入力!D$24^2/(寸法→圧入力!D$24^2-寸法→圧入力!F$25^2)</f>
        <v>54.567675150042632</v>
      </c>
      <c r="AJ46" s="101">
        <f>寸法→圧入力!$D$30</f>
        <v>345</v>
      </c>
      <c r="AK46" s="101">
        <f>テーブル4[[#This Row],[半径方向応力:Δ-30℃]]* (1+(寸法→圧入力!D$34/寸法→圧入力!F$33)^2)/((寸法→圧入力!D$34/寸法→圧入力!F$33)^2-1)</f>
        <v>87.552889378907892</v>
      </c>
      <c r="AL46" s="101">
        <f>テーブル4[[#This Row],[半径方向応力:Δ-20℃]]* (1+(寸法→圧入力!D$34/寸法→圧入力!F$33)^2)/((寸法→圧入力!D$34/寸法→圧入力!F$33)^2-1)</f>
        <v>77.879446123281397</v>
      </c>
      <c r="AM46" s="101">
        <f>テーブル4[[#This Row],[半径方向応力:Δ-10℃]]* (1+(寸法→圧入力!D$34/寸法→圧入力!F$33)^2)/((寸法→圧入力!D$34/寸法→圧入力!F$33)^2-1)</f>
        <v>68.206002867647584</v>
      </c>
      <c r="AN46" s="101">
        <f>テーブル4[[#This Row],[半径方向応力:Δ0℃]]* (1+(寸法→圧入力!D$34/寸法→圧入力!F$33)^2)/((寸法→圧入力!D$34/寸法→圧入力!F$33)^2-1)</f>
        <v>58.532559612028372</v>
      </c>
      <c r="AO46" s="101">
        <f>テーブル4[[#This Row],[半径方向応力:Δ+10℃]]* (1+(寸法→圧入力!D$34/寸法→圧入力!F$33)^2)/((寸法→圧入力!D$34/寸法→圧入力!F$33)^2-1)</f>
        <v>48.859116356394573</v>
      </c>
      <c r="AP46" s="101">
        <f>テーブル4[[#This Row],[半径方向応力:Δ+20℃]]* (1+(寸法→圧入力!D$34/寸法→圧入力!F$33)^2)/((寸法→圧入力!D$34/寸法→圧入力!F$33)^2-1)</f>
        <v>39.185673100760773</v>
      </c>
      <c r="AQ46" s="101">
        <f>テーブル4[[#This Row],[半径方向応力:Δ+30℃]]* (1+(寸法→圧入力!D$34/寸法→圧入力!F$33)^2)/((寸法→圧入力!D$34/寸法→圧入力!F$33)^2-1)</f>
        <v>29.512229845134264</v>
      </c>
      <c r="AR46" s="101">
        <f>寸法→圧入力!$D$39</f>
        <v>150</v>
      </c>
    </row>
    <row r="47" spans="1:44">
      <c r="A47" s="179">
        <f t="shared" si="2"/>
        <v>0.41000000000000003</v>
      </c>
      <c r="B47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210.55635326254355</v>
      </c>
      <c r="C47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212.73241671625584</v>
      </c>
      <c r="D47" s="101">
        <f>(A47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214.88392008636217</v>
      </c>
      <c r="E47" s="101">
        <f>テーブル3[[#This Row],[半径方向応力min]]*寸法→圧入力!D$46*寸法→圧入力!D$5/1000</f>
        <v>36.682972833173629</v>
      </c>
      <c r="F47" s="101">
        <f>テーブル3[[#This Row],[半径方向応力min]]*寸法→圧入力!E$46*寸法→圧入力!E$5/1000</f>
        <v>46.846093274964446</v>
      </c>
      <c r="G47" s="101">
        <f>テーブル3[[#This Row],[半径方向応力min]]*寸法→圧入力!F$46*寸法→圧入力!F$5/1000</f>
        <v>57.417658129580673</v>
      </c>
      <c r="H47" s="101">
        <f>寸法→圧入力!$D$30</f>
        <v>345</v>
      </c>
      <c r="I47" s="101">
        <f>寸法→圧入力!$D$39</f>
        <v>150</v>
      </c>
      <c r="J47" s="101">
        <f>テーブル3[[#This Row],[半径方向応力nor]]*2*寸法→圧入力!E$24^2/(寸法→圧入力!E$24^2-寸法→圧入力!E$25^2)</f>
        <v>765.70059831177446</v>
      </c>
      <c r="K47" s="101">
        <f>テーブル3[[#This Row],[半径方向応力nor]]* (1+(寸法→圧入力!E$34/寸法→圧入力!E$33)^2)/((寸法→圧入力!E$34/寸法→圧入力!E$33)^2-1)</f>
        <v>408.70386548769505</v>
      </c>
      <c r="N47">
        <f t="shared" si="1"/>
        <v>155</v>
      </c>
      <c r="O47" s="179">
        <f>寸法→圧入力!F$24*(1+寸法→圧入力!D$29*10^-6*(テーブル4[[#This Row],[inner温度'[℃']]]-20)) - 寸法→圧入力!D$33*(1+寸法→圧入力!D$38*10^-6*(テーブル4[[#This Row],[inner温度'[℃']]]+O$3-20))</f>
        <v>8.3304065000000094E-2</v>
      </c>
      <c r="P47" s="179">
        <f>寸法→圧入力!F$24*(1+寸法→圧入力!D$29*10^-6*(テーブル4[[#This Row],[inner温度'[℃']]]-20)) - 寸法→圧入力!D$33*(1+寸法→圧入力!D$38*10^-6*(テーブル4[[#This Row],[inner温度'[℃']]]+P$3-20))</f>
        <v>7.3875064999995743E-2</v>
      </c>
      <c r="Q47" s="179">
        <f>寸法→圧入力!F$24*(1+寸法→圧入力!D$29*10^-6*(テーブル4[[#This Row],[inner温度'[℃']]]-20)) - 寸法→圧入力!D$33*(1+寸法→圧入力!D$38*10^-6*(テーブル4[[#This Row],[inner温度'[℃']]]+Q$3-20))</f>
        <v>6.4446064999998498E-2</v>
      </c>
      <c r="R47" s="179">
        <f>寸法→圧入力!F$24*(1+寸法→圧入力!D$29*10^-6*(テーブル4[[#This Row],[inner温度'[℃']]]-20)) - 寸法→圧入力!D$33*(1+寸法→圧入力!D$38*10^-6*(テーブル4[[#This Row],[inner温度'[℃']]]+R$3-20))</f>
        <v>5.5017065000001253E-2</v>
      </c>
      <c r="S47" s="179">
        <f>寸法→圧入力!F$24*(1+寸法→圧入力!D$29*10^-6*(テーブル4[[#This Row],[inner温度'[℃']]]-20)) - 寸法→圧入力!D$33*(1+寸法→圧入力!D$38*10^-6*(テーブル4[[#This Row],[inner温度'[℃']]]+S$3-20))</f>
        <v>4.5588065000004008E-2</v>
      </c>
      <c r="T47" s="179">
        <f>寸法→圧入力!F$24*(1+寸法→圧入力!D$29*10^-6*(テーブル4[[#This Row],[inner温度'[℃']]]-20)) - 寸法→圧入力!D$33*(1+寸法→圧入力!D$38*10^-6*(テーブル4[[#This Row],[inner温度'[℃']]]+T$3-20))</f>
        <v>3.6159064999999657E-2</v>
      </c>
      <c r="U47" s="179">
        <f>寸法→圧入力!F$24*(1+寸法→圧入力!D$29*10^-6*(テーブル4[[#This Row],[inner温度'[℃']]]-20)) - 寸法→圧入力!D$33*(1+寸法→圧入力!D$38*10^-6*(テーブル4[[#This Row],[inner温度'[℃']]]+U$3-20))</f>
        <v>2.6730064999995307E-2</v>
      </c>
      <c r="V47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43.660253771534485</v>
      </c>
      <c r="W47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38.718447716668031</v>
      </c>
      <c r="X47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33.776641661805314</v>
      </c>
      <c r="Y47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28.83483560694259</v>
      </c>
      <c r="Z47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23.893029552079863</v>
      </c>
      <c r="AA47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18.951223497213416</v>
      </c>
      <c r="AB47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14.009417442346971</v>
      </c>
      <c r="AC47" s="101">
        <f>テーブル4[[#This Row],[半径方向応力:Δ-30℃]]*2*寸法→圧入力!D$24^2/(寸法→圧入力!D$24^2-寸法→圧入力!F$25^2)</f>
        <v>158.02109739561095</v>
      </c>
      <c r="AD47" s="101">
        <f>テーブル4[[#This Row],[半径方向応力:Δ-20℃]]*2*寸法→圧入力!D$24^2/(寸法→圧入力!D$24^2-寸法→圧入力!F$25^2)</f>
        <v>140.13504432792567</v>
      </c>
      <c r="AE47" s="101">
        <f>テーブル4[[#This Row],[半径方向応力:Δ-10℃]]*2*寸法→圧入力!D$24^2/(寸法→圧入力!D$24^2-寸法→圧入力!F$25^2)</f>
        <v>122.24899126025393</v>
      </c>
      <c r="AF47" s="101">
        <f>テーブル4[[#This Row],[半径方向応力:Δ0℃]]*2*寸法→圧入力!D$24^2/(寸法→圧入力!D$24^2-寸法→圧入力!F$25^2)</f>
        <v>104.36293819258216</v>
      </c>
      <c r="AG47" s="101">
        <f>テーブル4[[#This Row],[半径方向応力:Δ+10℃]]*2*寸法→圧入力!D$24^2/(寸法→圧入力!D$24^2-寸法→圧入力!F$25^2)</f>
        <v>86.476885124910382</v>
      </c>
      <c r="AH47" s="101">
        <f>テーブル4[[#This Row],[半径方向応力:Δ+20℃]]*2*寸法→圧入力!D$24^2/(寸法→圧入力!D$24^2-寸法→圧入力!F$25^2)</f>
        <v>68.590832057225128</v>
      </c>
      <c r="AI47" s="101">
        <f>テーブル4[[#This Row],[半径方向応力:Δ+30℃]]*2*寸法→圧入力!D$24^2/(寸法→圧入力!D$24^2-寸法→圧入力!F$25^2)</f>
        <v>50.704778989539889</v>
      </c>
      <c r="AJ47" s="101">
        <f>寸法→圧入力!$D$30</f>
        <v>345</v>
      </c>
      <c r="AK47" s="101">
        <f>テーブル4[[#This Row],[半径方向応力:Δ-30℃]]* (1+(寸法→圧入力!D$34/寸法→圧入力!F$33)^2)/((寸法→圧入力!D$34/寸法→圧入力!F$33)^2-1)</f>
        <v>85.46369135017062</v>
      </c>
      <c r="AL47" s="101">
        <f>テーブル4[[#This Row],[半径方向応力:Δ-20℃]]* (1+(寸法→圧入力!D$34/寸法→圧入力!F$33)^2)/((寸法→圧入力!D$34/寸法→圧入力!F$33)^2-1)</f>
        <v>75.790248094536793</v>
      </c>
      <c r="AM47" s="101">
        <f>テーブル4[[#This Row],[半径方向応力:Δ-10℃]]* (1+(寸法→圧入力!D$34/寸法→圧入力!F$33)^2)/((寸法→圧入力!D$34/寸法→圧入力!F$33)^2-1)</f>
        <v>66.116804838910312</v>
      </c>
      <c r="AN47" s="101">
        <f>テーブル4[[#This Row],[半径方向応力:Δ0℃]]* (1+(寸法→圧入力!D$34/寸法→圧入力!F$33)^2)/((寸法→圧入力!D$34/寸法→圧入力!F$33)^2-1)</f>
        <v>56.443361583283789</v>
      </c>
      <c r="AO47" s="101">
        <f>テーブル4[[#This Row],[半径方向応力:Δ+10℃]]* (1+(寸法→圧入力!D$34/寸法→圧入力!F$33)^2)/((寸法→圧入力!D$34/寸法→圧入力!F$33)^2-1)</f>
        <v>46.769918327657273</v>
      </c>
      <c r="AP47" s="101">
        <f>テーブル4[[#This Row],[半径方向応力:Δ+20℃]]* (1+(寸法→圧入力!D$34/寸法→圧入力!F$33)^2)/((寸法→圧入力!D$34/寸法→圧入力!F$33)^2-1)</f>
        <v>37.09647507202348</v>
      </c>
      <c r="AQ47" s="101">
        <f>テーブル4[[#This Row],[半径方向応力:Δ+30℃]]* (1+(寸法→圧入力!D$34/寸法→圧入力!F$33)^2)/((寸法→圧入力!D$34/寸法→圧入力!F$33)^2-1)</f>
        <v>27.423031816389688</v>
      </c>
      <c r="AR47" s="101">
        <f>寸法→圧入力!$D$39</f>
        <v>150</v>
      </c>
    </row>
    <row r="48" spans="1:44">
      <c r="A48" s="179">
        <f t="shared" si="2"/>
        <v>0.42</v>
      </c>
      <c r="B48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215.69187407382509</v>
      </c>
      <c r="C48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217.92101224592059</v>
      </c>
      <c r="D48" s="101">
        <f>(A48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220.12499130798071</v>
      </c>
      <c r="E48" s="101">
        <f>テーブル3[[#This Row],[半径方向応力min]]*寸法→圧入力!D$46*寸法→圧入力!D$5/1000</f>
        <v>37.577679487641277</v>
      </c>
      <c r="F48" s="101">
        <f>テーブル3[[#This Row],[半径方向応力min]]*寸法→圧入力!E$46*寸法→圧入力!E$5/1000</f>
        <v>47.988680915817241</v>
      </c>
      <c r="G48" s="101">
        <f>テーブル3[[#This Row],[半径方向応力min]]*寸法→圧入力!F$46*寸法→圧入力!F$5/1000</f>
        <v>58.818088815667998</v>
      </c>
      <c r="H48" s="101">
        <f>寸法→圧入力!$D$30</f>
        <v>345</v>
      </c>
      <c r="I48" s="101">
        <f>寸法→圧入力!$D$39</f>
        <v>150</v>
      </c>
      <c r="J48" s="101">
        <f>テーブル3[[#This Row],[半径方向応力nor]]*2*寸法→圧入力!E$24^2/(寸法→圧入力!E$24^2-寸法→圧入力!E$25^2)</f>
        <v>784.37622266084202</v>
      </c>
      <c r="K48" s="101">
        <f>テーブル3[[#This Row],[半径方向応力nor]]* (1+(寸法→圧入力!E$34/寸法→圧入力!E$33)^2)/((寸法→圧入力!E$34/寸法→圧入力!E$33)^2-1)</f>
        <v>418.67225245080954</v>
      </c>
      <c r="N48">
        <f t="shared" si="1"/>
        <v>160</v>
      </c>
      <c r="O48" s="179">
        <f>寸法→圧入力!F$24*(1+寸法→圧入力!D$29*10^-6*(テーブル4[[#This Row],[inner温度'[℃']]]-20)) - 寸法→圧入力!D$33*(1+寸法→圧入力!D$38*10^-6*(テーブル4[[#This Row],[inner温度'[℃']]]+O$3-20))</f>
        <v>8.126766000000174E-2</v>
      </c>
      <c r="P48" s="179">
        <f>寸法→圧入力!F$24*(1+寸法→圧入力!D$29*10^-6*(テーブル4[[#This Row],[inner温度'[℃']]]-20)) - 寸法→圧入力!D$33*(1+寸法→圧入力!D$38*10^-6*(テーブル4[[#This Row],[inner温度'[℃']]]+P$3-20))</f>
        <v>7.183865999999739E-2</v>
      </c>
      <c r="Q48" s="179">
        <f>寸法→圧入力!F$24*(1+寸法→圧入力!D$29*10^-6*(テーブル4[[#This Row],[inner温度'[℃']]]-20)) - 寸法→圧入力!D$33*(1+寸法→圧入力!D$38*10^-6*(テーブル4[[#This Row],[inner温度'[℃']]]+Q$3-20))</f>
        <v>6.240966000000725E-2</v>
      </c>
      <c r="R48" s="179">
        <f>寸法→圧入力!F$24*(1+寸法→圧入力!D$29*10^-6*(テーブル4[[#This Row],[inner温度'[℃']]]-20)) - 寸法→圧入力!D$33*(1+寸法→圧入力!D$38*10^-6*(テーブル4[[#This Row],[inner温度'[℃']]]+R$3-20))</f>
        <v>5.2980660000002899E-2</v>
      </c>
      <c r="S48" s="179">
        <f>寸法→圧入力!F$24*(1+寸法→圧入力!D$29*10^-6*(テーブル4[[#This Row],[inner温度'[℃']]]-20)) - 寸法→圧入力!D$33*(1+寸法→圧入力!D$38*10^-6*(テーブル4[[#This Row],[inner温度'[℃']]]+S$3-20))</f>
        <v>4.3551659999998549E-2</v>
      </c>
      <c r="T48" s="179">
        <f>寸法→圧入力!F$24*(1+寸法→圧入力!D$29*10^-6*(テーブル4[[#This Row],[inner温度'[℃']]]-20)) - 寸法→圧入力!D$33*(1+寸法→圧入力!D$38*10^-6*(テーブル4[[#This Row],[inner温度'[℃']]]+T$3-20))</f>
        <v>3.4122660000001304E-2</v>
      </c>
      <c r="U48" s="179">
        <f>寸法→圧入力!F$24*(1+寸法→圧入力!D$29*10^-6*(テーブル4[[#This Row],[inner温度'[℃']]]-20)) - 寸法→圧入力!D$33*(1+寸法→圧入力!D$38*10^-6*(テーブル4[[#This Row],[inner温度'[℃']]]+U$3-20))</f>
        <v>2.4693659999996953E-2</v>
      </c>
      <c r="V48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42.592959407429326</v>
      </c>
      <c r="W48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37.651153352562879</v>
      </c>
      <c r="X48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32.709347297703879</v>
      </c>
      <c r="Y48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27.767541242837428</v>
      </c>
      <c r="Z48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22.825735187970984</v>
      </c>
      <c r="AA48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17.883929133108261</v>
      </c>
      <c r="AB48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12.942123078241812</v>
      </c>
      <c r="AC48" s="101">
        <f>テーブル4[[#This Row],[半径方向応力:Δ-30℃]]*2*寸法→圧入力!D$24^2/(寸法→圧入力!D$24^2-寸法→圧入力!F$25^2)</f>
        <v>154.15820123512168</v>
      </c>
      <c r="AD48" s="101">
        <f>テーブル4[[#This Row],[半径方向応力:Δ-20℃]]*2*寸法→圧入力!D$24^2/(寸法→圧入力!D$24^2-寸法→圧入力!F$25^2)</f>
        <v>136.27214816743643</v>
      </c>
      <c r="AE48" s="101">
        <f>テーブル4[[#This Row],[半径方向応力:Δ-10℃]]*2*寸法→圧入力!D$24^2/(寸法→圧入力!D$24^2-寸法→圧入力!F$25^2)</f>
        <v>118.38609509977813</v>
      </c>
      <c r="AF48" s="101">
        <f>テーブル4[[#This Row],[半径方向応力:Δ0℃]]*2*寸法→圧入力!D$24^2/(寸法→圧入力!D$24^2-寸法→圧入力!F$25^2)</f>
        <v>100.50004203209288</v>
      </c>
      <c r="AG48" s="101">
        <f>テーブル4[[#This Row],[半径方向応力:Δ+10℃]]*2*寸法→圧入力!D$24^2/(寸法→圧入力!D$24^2-寸法→圧入力!F$25^2)</f>
        <v>82.613988964407639</v>
      </c>
      <c r="AH48" s="101">
        <f>テーブル4[[#This Row],[半径方向応力:Δ+20℃]]*2*寸法→圧入力!D$24^2/(寸法→圧入力!D$24^2-寸法→圧入力!F$25^2)</f>
        <v>64.727935896735858</v>
      </c>
      <c r="AI48" s="101">
        <f>テーブル4[[#This Row],[半径方向応力:Δ+30℃]]*2*寸法→圧入力!D$24^2/(寸法→圧入力!D$24^2-寸法→圧入力!F$25^2)</f>
        <v>46.841882829050618</v>
      </c>
      <c r="AJ48" s="101">
        <f>寸法→圧入力!$D$30</f>
        <v>345</v>
      </c>
      <c r="AK48" s="101">
        <f>テーブル4[[#This Row],[半径方向応力:Δ-30℃]]* (1+(寸法→圧入力!D$34/寸法→圧入力!F$33)^2)/((寸法→圧入力!D$34/寸法→圧入力!F$33)^2-1)</f>
        <v>83.37449332143332</v>
      </c>
      <c r="AL48" s="101">
        <f>テーブル4[[#This Row],[半径方向応力:Δ-20℃]]* (1+(寸法→圧入力!D$34/寸法→圧入力!F$33)^2)/((寸法→圧入力!D$34/寸法→圧入力!F$33)^2-1)</f>
        <v>73.701050065799521</v>
      </c>
      <c r="AM48" s="101">
        <f>テーブル4[[#This Row],[半径方向応力:Δ-10℃]]* (1+(寸法→圧入力!D$34/寸法→圧入力!F$33)^2)/((寸法→圧入力!D$34/寸法→圧入力!F$33)^2-1)</f>
        <v>64.027606810180302</v>
      </c>
      <c r="AN48" s="101">
        <f>テーブル4[[#This Row],[半径方向応力:Δ0℃]]* (1+(寸法→圧入力!D$34/寸法→圧入力!F$33)^2)/((寸法→圧入力!D$34/寸法→圧入力!F$33)^2-1)</f>
        <v>54.354163554546489</v>
      </c>
      <c r="AO48" s="101">
        <f>テーブル4[[#This Row],[半径方向応力:Δ+10℃]]* (1+(寸法→圧入力!D$34/寸法→圧入力!F$33)^2)/((寸法→圧入力!D$34/寸法→圧入力!F$33)^2-1)</f>
        <v>44.680720298912703</v>
      </c>
      <c r="AP48" s="101">
        <f>テーブル4[[#This Row],[半径方向応力:Δ+20℃]]* (1+(寸法→圧入力!D$34/寸法→圧入力!F$33)^2)/((寸法→圧入力!D$34/寸法→圧入力!F$33)^2-1)</f>
        <v>35.007277043286194</v>
      </c>
      <c r="AQ48" s="101">
        <f>テーブル4[[#This Row],[半径方向応力:Δ+30℃]]* (1+(寸法→圧入力!D$34/寸法→圧入力!F$33)^2)/((寸法→圧入力!D$34/寸法→圧入力!F$33)^2-1)</f>
        <v>25.333833787652392</v>
      </c>
      <c r="AR48" s="101">
        <f>寸法→圧入力!$D$39</f>
        <v>150</v>
      </c>
    </row>
    <row r="49" spans="1:44">
      <c r="A49" s="179">
        <f t="shared" si="2"/>
        <v>0.43</v>
      </c>
      <c r="B49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220.82739488510666</v>
      </c>
      <c r="C49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223.10960777558537</v>
      </c>
      <c r="D49" s="101">
        <f>(A49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225.3660625295993</v>
      </c>
      <c r="E49" s="101">
        <f>テーブル3[[#This Row],[半径方向応力min]]*寸法→圧入力!D$46*寸法→圧入力!D$5/1000</f>
        <v>38.472386142108924</v>
      </c>
      <c r="F49" s="101">
        <f>テーブル3[[#This Row],[半径方向応力min]]*寸法→圧入力!E$46*寸法→圧入力!E$5/1000</f>
        <v>49.13126855667003</v>
      </c>
      <c r="G49" s="101">
        <f>テーブル3[[#This Row],[半径方向応力min]]*寸法→圧入力!F$46*寸法→圧入力!F$5/1000</f>
        <v>60.218519501755338</v>
      </c>
      <c r="H49" s="101">
        <f>寸法→圧入力!$D$30</f>
        <v>345</v>
      </c>
      <c r="I49" s="101">
        <f>寸法→圧入力!$D$39</f>
        <v>150</v>
      </c>
      <c r="J49" s="101">
        <f>テーブル3[[#This Row],[半径方向応力nor]]*2*寸法→圧入力!E$24^2/(寸法→圧入力!E$24^2-寸法→圧入力!E$25^2)</f>
        <v>803.05184700990969</v>
      </c>
      <c r="K49" s="101">
        <f>テーブル3[[#This Row],[半径方向応力nor]]* (1+(寸法→圧入力!E$34/寸法→圧入力!E$33)^2)/((寸法→圧入力!E$34/寸法→圧入力!E$33)^2-1)</f>
        <v>428.64063941392408</v>
      </c>
      <c r="N49">
        <f t="shared" si="1"/>
        <v>165</v>
      </c>
      <c r="O49" s="179">
        <f>寸法→圧入力!F$24*(1+寸法→圧入力!D$29*10^-6*(テーブル4[[#This Row],[inner温度'[℃']]]-20)) - 寸法→圧入力!D$33*(1+寸法→圧入力!D$38*10^-6*(テーブル4[[#This Row],[inner温度'[℃']]]+O$3-20))</f>
        <v>7.9231254999996281E-2</v>
      </c>
      <c r="P49" s="179">
        <f>寸法→圧入力!F$24*(1+寸法→圧入力!D$29*10^-6*(テーブル4[[#This Row],[inner温度'[℃']]]-20)) - 寸法→圧入力!D$33*(1+寸法→圧入力!D$38*10^-6*(テーブル4[[#This Row],[inner温度'[℃']]]+P$3-20))</f>
        <v>6.9802254999999036E-2</v>
      </c>
      <c r="Q49" s="179">
        <f>寸法→圧入力!F$24*(1+寸法→圧入力!D$29*10^-6*(テーブル4[[#This Row],[inner温度'[℃']]]-20)) - 寸法→圧入力!D$33*(1+寸法→圧入力!D$38*10^-6*(テーブル4[[#This Row],[inner温度'[℃']]]+Q$3-20))</f>
        <v>6.0373255000001791E-2</v>
      </c>
      <c r="R49" s="179">
        <f>寸法→圧入力!F$24*(1+寸法→圧入力!D$29*10^-6*(テーブル4[[#This Row],[inner温度'[℃']]]-20)) - 寸法→圧入力!D$33*(1+寸法→圧入力!D$38*10^-6*(テーブル4[[#This Row],[inner温度'[℃']]]+R$3-20))</f>
        <v>5.0944255000004546E-2</v>
      </c>
      <c r="S49" s="179">
        <f>寸法→圧入力!F$24*(1+寸法→圧入力!D$29*10^-6*(テーブル4[[#This Row],[inner温度'[℃']]]-20)) - 寸法→圧入力!D$33*(1+寸法→圧入力!D$38*10^-6*(テーブル4[[#This Row],[inner温度'[℃']]]+S$3-20))</f>
        <v>4.1515255000000195E-2</v>
      </c>
      <c r="T49" s="179">
        <f>寸法→圧入力!F$24*(1+寸法→圧入力!D$29*10^-6*(テーブル4[[#This Row],[inner温度'[℃']]]-20)) - 寸法→圧入力!D$33*(1+寸法→圧入力!D$38*10^-6*(テーブル4[[#This Row],[inner温度'[℃']]]+T$3-20))</f>
        <v>3.2086254999995845E-2</v>
      </c>
      <c r="U49" s="179">
        <f>寸法→圧入力!F$24*(1+寸法→圧入力!D$29*10^-6*(テーブル4[[#This Row],[inner温度'[℃']]]-20)) - 寸法→圧入力!D$33*(1+寸法→圧入力!D$38*10^-6*(テーブル4[[#This Row],[inner温度'[℃']]]+U$3-20))</f>
        <v>2.2657254999998599E-2</v>
      </c>
      <c r="V49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41.525665043320444</v>
      </c>
      <c r="W49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36.58385898845772</v>
      </c>
      <c r="X49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31.642052933595</v>
      </c>
      <c r="Y49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26.700246878732273</v>
      </c>
      <c r="Z49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21.758440823865826</v>
      </c>
      <c r="AA49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16.816634768999378</v>
      </c>
      <c r="AB49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11.874828714136653</v>
      </c>
      <c r="AC49" s="101">
        <f>テーブル4[[#This Row],[半径方向応力:Δ-30℃]]*2*寸法→圧入力!D$24^2/(寸法→圧入力!D$24^2-寸法→圧入力!F$25^2)</f>
        <v>150.29530507461894</v>
      </c>
      <c r="AD49" s="101">
        <f>テーブル4[[#This Row],[半径方向応力:Δ-20℃]]*2*寸法→圧入力!D$24^2/(寸法→圧入力!D$24^2-寸法→圧入力!F$25^2)</f>
        <v>132.40925200694716</v>
      </c>
      <c r="AE49" s="101">
        <f>テーブル4[[#This Row],[半径方向応力:Δ-10℃]]*2*寸法→圧入力!D$24^2/(寸法→圧入力!D$24^2-寸法→圧入力!F$25^2)</f>
        <v>114.5231989392754</v>
      </c>
      <c r="AF49" s="101">
        <f>テーブル4[[#This Row],[半径方向応力:Δ0℃]]*2*寸法→圧入力!D$24^2/(寸法→圧入力!D$24^2-寸法→圧入力!F$25^2)</f>
        <v>96.637145871603607</v>
      </c>
      <c r="AG49" s="101">
        <f>テーブル4[[#This Row],[半径方向応力:Δ+10℃]]*2*寸法→圧入力!D$24^2/(寸法→圧入力!D$24^2-寸法→圧入力!F$25^2)</f>
        <v>78.751092803918368</v>
      </c>
      <c r="AH49" s="101">
        <f>テーブル4[[#This Row],[半径方向応力:Δ+20℃]]*2*寸法→圧入力!D$24^2/(寸法→圧入力!D$24^2-寸法→圧入力!F$25^2)</f>
        <v>60.865039736233115</v>
      </c>
      <c r="AI49" s="101">
        <f>テーブル4[[#This Row],[半径方向応力:Δ+30℃]]*2*寸法→圧入力!D$24^2/(寸法→圧入力!D$24^2-寸法→圧入力!F$25^2)</f>
        <v>42.97898666856134</v>
      </c>
      <c r="AJ49" s="101">
        <f>寸法→圧入力!$D$30</f>
        <v>345</v>
      </c>
      <c r="AK49" s="101">
        <f>テーブル4[[#This Row],[半径方向応力:Δ-30℃]]* (1+(寸法→圧入力!D$34/寸法→圧入力!F$33)^2)/((寸法→圧入力!D$34/寸法→圧入力!F$33)^2-1)</f>
        <v>81.28529529268873</v>
      </c>
      <c r="AL49" s="101">
        <f>テーブル4[[#This Row],[半径方向応力:Δ-20℃]]* (1+(寸法→圧入力!D$34/寸法→圧入力!F$33)^2)/((寸法→圧入力!D$34/寸法→圧入力!F$33)^2-1)</f>
        <v>71.611852037062221</v>
      </c>
      <c r="AM49" s="101">
        <f>テーブル4[[#This Row],[半径方向応力:Δ-10℃]]* (1+(寸法→圧入力!D$34/寸法→圧入力!F$33)^2)/((寸法→圧入力!D$34/寸法→圧入力!F$33)^2-1)</f>
        <v>61.938408781435719</v>
      </c>
      <c r="AN49" s="101">
        <f>テーブル4[[#This Row],[半径方向応力:Δ0℃]]* (1+(寸法→圧入力!D$34/寸法→圧入力!F$33)^2)/((寸法→圧入力!D$34/寸法→圧入力!F$33)^2-1)</f>
        <v>52.264965525809203</v>
      </c>
      <c r="AO49" s="101">
        <f>テーブル4[[#This Row],[半径方向応力:Δ+10℃]]* (1+(寸法→圧入力!D$34/寸法→圧入力!F$33)^2)/((寸法→圧入力!D$34/寸法→圧入力!F$33)^2-1)</f>
        <v>42.591522270175403</v>
      </c>
      <c r="AP49" s="101">
        <f>テーブル4[[#This Row],[半径方向応力:Δ+20℃]]* (1+(寸法→圧入力!D$34/寸法→圧入力!F$33)^2)/((寸法→圧入力!D$34/寸法→圧入力!F$33)^2-1)</f>
        <v>32.918079014541611</v>
      </c>
      <c r="AQ49" s="101">
        <f>テーブル4[[#This Row],[半径方向応力:Δ+30℃]]* (1+(寸法→圧入力!D$34/寸法→圧入力!F$33)^2)/((寸法→圧入力!D$34/寸法→圧入力!F$33)^2-1)</f>
        <v>23.244635758915098</v>
      </c>
      <c r="AR49" s="101">
        <f>寸法→圧入力!$D$39</f>
        <v>150</v>
      </c>
    </row>
    <row r="50" spans="1:44">
      <c r="A50" s="179">
        <f t="shared" si="2"/>
        <v>0.44</v>
      </c>
      <c r="B50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225.96291569638819</v>
      </c>
      <c r="C50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228.29820330525018</v>
      </c>
      <c r="D50" s="101">
        <f>(A50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230.6071337512179</v>
      </c>
      <c r="E50" s="101">
        <f>テーブル3[[#This Row],[半径方向応力min]]*寸法→圧入力!D$46*寸法→圧入力!D$5/1000</f>
        <v>39.367092796576571</v>
      </c>
      <c r="F50" s="101">
        <f>テーブル3[[#This Row],[半径方向応力min]]*寸法→圧入力!E$46*寸法→圧入力!E$5/1000</f>
        <v>50.273856197522832</v>
      </c>
      <c r="G50" s="101">
        <f>テーブル3[[#This Row],[半径方向応力min]]*寸法→圧入力!F$46*寸法→圧入力!F$5/1000</f>
        <v>61.618950187842664</v>
      </c>
      <c r="H50" s="101">
        <f>寸法→圧入力!$D$30</f>
        <v>345</v>
      </c>
      <c r="I50" s="101">
        <f>寸法→圧入力!$D$39</f>
        <v>150</v>
      </c>
      <c r="J50" s="101">
        <f>テーブル3[[#This Row],[半径方向応力nor]]*2*寸法→圧入力!E$24^2/(寸法→圧入力!E$24^2-寸法→圧入力!E$25^2)</f>
        <v>821.72747135897748</v>
      </c>
      <c r="K50" s="101">
        <f>テーブル3[[#This Row],[半径方向応力nor]]* (1+(寸法→圧入力!E$34/寸法→圧入力!E$33)^2)/((寸法→圧入力!E$34/寸法→圧入力!E$33)^2-1)</f>
        <v>438.60902637703862</v>
      </c>
      <c r="N50">
        <f t="shared" si="1"/>
        <v>170</v>
      </c>
      <c r="O50" s="179">
        <f>寸法→圧入力!F$24*(1+寸法→圧入力!D$29*10^-6*(テーブル4[[#This Row],[inner温度'[℃']]]-20)) - 寸法→圧入力!D$33*(1+寸法→圧入力!D$38*10^-6*(テーブル4[[#This Row],[inner温度'[℃']]]+O$3-20))</f>
        <v>7.7194849999990822E-2</v>
      </c>
      <c r="P50" s="179">
        <f>寸法→圧入力!F$24*(1+寸法→圧入力!D$29*10^-6*(テーブル4[[#This Row],[inner温度'[℃']]]-20)) - 寸法→圧入力!D$33*(1+寸法→圧入力!D$38*10^-6*(テーブル4[[#This Row],[inner温度'[℃']]]+P$3-20))</f>
        <v>6.7765850000000682E-2</v>
      </c>
      <c r="Q50" s="179">
        <f>寸法→圧入力!F$24*(1+寸法→圧入力!D$29*10^-6*(テーブル4[[#This Row],[inner温度'[℃']]]-20)) - 寸法→圧入力!D$33*(1+寸法→圧入力!D$38*10^-6*(テーブル4[[#This Row],[inner温度'[℃']]]+Q$3-20))</f>
        <v>5.8336849999996332E-2</v>
      </c>
      <c r="R50" s="179">
        <f>寸法→圧入力!F$24*(1+寸法→圧入力!D$29*10^-6*(テーブル4[[#This Row],[inner温度'[℃']]]-20)) - 寸法→圧入力!D$33*(1+寸法→圧入力!D$38*10^-6*(テーブル4[[#This Row],[inner温度'[℃']]]+R$3-20))</f>
        <v>4.8907849999991981E-2</v>
      </c>
      <c r="S50" s="179">
        <f>寸法→圧入力!F$24*(1+寸法→圧入力!D$29*10^-6*(テーブル4[[#This Row],[inner温度'[℃']]]-20)) - 寸法→圧入力!D$33*(1+寸法→圧入力!D$38*10^-6*(テーブル4[[#This Row],[inner温度'[℃']]]+S$3-20))</f>
        <v>3.9478849999994736E-2</v>
      </c>
      <c r="T50" s="179">
        <f>寸法→圧入力!F$24*(1+寸法→圧入力!D$29*10^-6*(テーブル4[[#This Row],[inner温度'[℃']]]-20)) - 寸法→圧入力!D$33*(1+寸法→圧入力!D$38*10^-6*(テーブル4[[#This Row],[inner温度'[℃']]]+T$3-20))</f>
        <v>3.0049849999990386E-2</v>
      </c>
      <c r="U50" s="179">
        <f>寸法→圧入力!F$24*(1+寸法→圧入力!D$29*10^-6*(テーブル4[[#This Row],[inner温度'[℃']]]-20)) - 寸法→圧入力!D$33*(1+寸法→圧入力!D$38*10^-6*(テーブル4[[#This Row],[inner温度'[℃']]]+U$3-20))</f>
        <v>2.0620850000000246E-2</v>
      </c>
      <c r="V50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40.458370679211562</v>
      </c>
      <c r="W50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35.516564624352569</v>
      </c>
      <c r="X50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30.574758569486114</v>
      </c>
      <c r="Y50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25.632952514619671</v>
      </c>
      <c r="Z50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20.691146459756943</v>
      </c>
      <c r="AA50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15.749340404890496</v>
      </c>
      <c r="AB50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10.807534350031498</v>
      </c>
      <c r="AC50" s="101">
        <f>テーブル4[[#This Row],[半径方向応力:Δ-30℃]]*2*寸法→圧入力!D$24^2/(寸法→圧入力!D$24^2-寸法→圧入力!F$25^2)</f>
        <v>146.43240891411619</v>
      </c>
      <c r="AD50" s="101">
        <f>テーブル4[[#This Row],[半径方向応力:Δ-20℃]]*2*寸法→圧入力!D$24^2/(寸法→圧入力!D$24^2-寸法→圧入力!F$25^2)</f>
        <v>128.54635584645791</v>
      </c>
      <c r="AE50" s="101">
        <f>テーブル4[[#This Row],[半径方向応力:Δ-10℃]]*2*寸法→圧入力!D$24^2/(寸法→圧入力!D$24^2-寸法→圧入力!F$25^2)</f>
        <v>110.66030277877263</v>
      </c>
      <c r="AF50" s="101">
        <f>テーブル4[[#This Row],[半径方向応力:Δ0℃]]*2*寸法→圧入力!D$24^2/(寸法→圧入力!D$24^2-寸法→圧入力!F$25^2)</f>
        <v>92.774249711087407</v>
      </c>
      <c r="AG50" s="101">
        <f>テーブル4[[#This Row],[半径方向応力:Δ+10℃]]*2*寸法→圧入力!D$24^2/(寸法→圧入力!D$24^2-寸法→圧入力!F$25^2)</f>
        <v>74.888196643415611</v>
      </c>
      <c r="AH50" s="101">
        <f>テーブル4[[#This Row],[半径方向応力:Δ+20℃]]*2*寸法→圧入力!D$24^2/(寸法→圧入力!D$24^2-寸法→圧入力!F$25^2)</f>
        <v>57.002143575730365</v>
      </c>
      <c r="AI50" s="101">
        <f>テーブル4[[#This Row],[半径方向応力:Δ+30℃]]*2*寸法→圧入力!D$24^2/(寸法→圧入力!D$24^2-寸法→圧入力!F$25^2)</f>
        <v>39.116090508072077</v>
      </c>
      <c r="AJ50" s="101">
        <f>寸法→圧入力!$D$30</f>
        <v>345</v>
      </c>
      <c r="AK50" s="101">
        <f>テーブル4[[#This Row],[半径方向応力:Δ-30℃]]* (1+(寸法→圧入力!D$34/寸法→圧入力!F$33)^2)/((寸法→圧入力!D$34/寸法→圧入力!F$33)^2-1)</f>
        <v>79.196097263944139</v>
      </c>
      <c r="AL50" s="101">
        <f>テーブル4[[#This Row],[半径方向応力:Δ-20℃]]* (1+(寸法→圧入力!D$34/寸法→圧入力!F$33)^2)/((寸法→圧入力!D$34/寸法→圧入力!F$33)^2-1)</f>
        <v>69.522654008324935</v>
      </c>
      <c r="AM50" s="101">
        <f>テーブル4[[#This Row],[半径方向応力:Δ-10℃]]* (1+(寸法→圧入力!D$34/寸法→圧入力!F$33)^2)/((寸法→圧入力!D$34/寸法→圧入力!F$33)^2-1)</f>
        <v>59.849210752691128</v>
      </c>
      <c r="AN50" s="101">
        <f>テーブル4[[#This Row],[半径方向応力:Δ0℃]]* (1+(寸法→圧入力!D$34/寸法→圧入力!F$33)^2)/((寸法→圧入力!D$34/寸法→圧入力!F$33)^2-1)</f>
        <v>50.175767497057336</v>
      </c>
      <c r="AO50" s="101">
        <f>テーブル4[[#This Row],[半径方向応力:Δ+10℃]]* (1+(寸法→圧入力!D$34/寸法→圧入力!F$33)^2)/((寸法→圧入力!D$34/寸法→圧入力!F$33)^2-1)</f>
        <v>40.50232424143082</v>
      </c>
      <c r="AP50" s="101">
        <f>テーブル4[[#This Row],[半径方向応力:Δ+20℃]]* (1+(寸法→圧入力!D$34/寸法→圧入力!F$33)^2)/((寸法→圧入力!D$34/寸法→圧入力!F$33)^2-1)</f>
        <v>30.828880985797028</v>
      </c>
      <c r="AQ50" s="101">
        <f>テーブル4[[#This Row],[半径方向応力:Δ+30℃]]* (1+(寸法→圧入力!D$34/寸法→圧入力!F$33)^2)/((寸法→圧入力!D$34/寸法→圧入力!F$33)^2-1)</f>
        <v>21.155437730177809</v>
      </c>
      <c r="AR50" s="101">
        <f>寸法→圧入力!$D$39</f>
        <v>150</v>
      </c>
    </row>
    <row r="51" spans="1:44">
      <c r="A51" s="179">
        <f t="shared" si="2"/>
        <v>0.45</v>
      </c>
      <c r="B51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231.09843650766976</v>
      </c>
      <c r="C51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233.48679883491496</v>
      </c>
      <c r="D51" s="101">
        <f>(A51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235.8482049728365</v>
      </c>
      <c r="E51" s="101">
        <f>テーブル3[[#This Row],[半径方向応力min]]*寸法→圧入力!D$46*寸法→圧入力!D$5/1000</f>
        <v>40.261799451044219</v>
      </c>
      <c r="F51" s="101">
        <f>テーブル3[[#This Row],[半径方向応力min]]*寸法→圧入力!E$46*寸法→圧入力!E$5/1000</f>
        <v>51.416443838375621</v>
      </c>
      <c r="G51" s="101">
        <f>テーブル3[[#This Row],[半径方向応力min]]*寸法→圧入力!F$46*寸法→圧入力!F$5/1000</f>
        <v>63.019380873930011</v>
      </c>
      <c r="H51" s="101">
        <f>寸法→圧入力!$D$30</f>
        <v>345</v>
      </c>
      <c r="I51" s="101">
        <f>寸法→圧入力!$D$39</f>
        <v>150</v>
      </c>
      <c r="J51" s="101">
        <f>テーブル3[[#This Row],[半径方向応力nor]]*2*寸法→圧入力!E$24^2/(寸法→圧入力!E$24^2-寸法→圧入力!E$25^2)</f>
        <v>840.40309570804516</v>
      </c>
      <c r="K51" s="101">
        <f>テーブル3[[#This Row],[半径方向応力nor]]* (1+(寸法→圧入力!E$34/寸法→圧入力!E$33)^2)/((寸法→圧入力!E$34/寸法→圧入力!E$33)^2-1)</f>
        <v>448.57741334015316</v>
      </c>
      <c r="N51">
        <f t="shared" si="1"/>
        <v>175</v>
      </c>
      <c r="O51" s="179">
        <f>寸法→圧入力!F$24*(1+寸法→圧入力!D$29*10^-6*(テーブル4[[#This Row],[inner温度'[℃']]]-20)) - 寸法→圧入力!D$33*(1+寸法→圧入力!D$38*10^-6*(テーブル4[[#This Row],[inner温度'[℃']]]+O$3-20))</f>
        <v>7.5158444999999574E-2</v>
      </c>
      <c r="P51" s="179">
        <f>寸法→圧入力!F$24*(1+寸法→圧入力!D$29*10^-6*(テーブル4[[#This Row],[inner温度'[℃']]]-20)) - 寸法→圧入力!D$33*(1+寸法→圧入力!D$38*10^-6*(テーブル4[[#This Row],[inner温度'[℃']]]+P$3-20))</f>
        <v>6.5729445000002329E-2</v>
      </c>
      <c r="Q51" s="179">
        <f>寸法→圧入力!F$24*(1+寸法→圧入力!D$29*10^-6*(テーブル4[[#This Row],[inner温度'[℃']]]-20)) - 寸法→圧入力!D$33*(1+寸法→圧入力!D$38*10^-6*(テーブル4[[#This Row],[inner温度'[℃']]]+Q$3-20))</f>
        <v>5.6300445000005084E-2</v>
      </c>
      <c r="R51" s="179">
        <f>寸法→圧入力!F$24*(1+寸法→圧入力!D$29*10^-6*(テーブル4[[#This Row],[inner温度'[℃']]]-20)) - 寸法→圧入力!D$33*(1+寸法→圧入力!D$38*10^-6*(テーブル4[[#This Row],[inner温度'[℃']]]+R$3-20))</f>
        <v>4.6871445000000733E-2</v>
      </c>
      <c r="S51" s="179">
        <f>寸法→圧入力!F$24*(1+寸法→圧入力!D$29*10^-6*(テーブル4[[#This Row],[inner温度'[℃']]]-20)) - 寸法→圧入力!D$33*(1+寸法→圧入力!D$38*10^-6*(テーブル4[[#This Row],[inner温度'[℃']]]+S$3-20))</f>
        <v>3.7442444999996383E-2</v>
      </c>
      <c r="T51" s="179">
        <f>寸法→圧入力!F$24*(1+寸法→圧入力!D$29*10^-6*(テーブル4[[#This Row],[inner温度'[℃']]]-20)) - 寸法→圧入力!D$33*(1+寸法→圧入力!D$38*10^-6*(テーブル4[[#This Row],[inner温度'[℃']]]+T$3-20))</f>
        <v>2.8013444999999138E-2</v>
      </c>
      <c r="U51" s="179">
        <f>寸法→圧入力!F$24*(1+寸法→圧入力!D$29*10^-6*(テーブル4[[#This Row],[inner温度'[℃']]]-20)) - 寸法→圧入力!D$33*(1+寸法→圧入力!D$38*10^-6*(テーブル4[[#This Row],[inner温度'[℃']]]+U$3-20))</f>
        <v>1.8584445000001892E-2</v>
      </c>
      <c r="V51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39.391076315110134</v>
      </c>
      <c r="W51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34.449270260247403</v>
      </c>
      <c r="X51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29.507464205384682</v>
      </c>
      <c r="Y51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24.565658150518232</v>
      </c>
      <c r="Z51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19.623852095651788</v>
      </c>
      <c r="AA51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14.682046040789063</v>
      </c>
      <c r="AB51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9.7402399859263404</v>
      </c>
      <c r="AC51" s="101">
        <f>テーブル4[[#This Row],[半径方向応力:Δ-30℃]]*2*寸法→圧入力!D$24^2/(寸法→圧入力!D$24^2-寸法→圧入力!F$25^2)</f>
        <v>142.5695127536404</v>
      </c>
      <c r="AD51" s="101">
        <f>テーブル4[[#This Row],[半径方向応力:Δ-20℃]]*2*寸法→圧入力!D$24^2/(寸法→圧入力!D$24^2-寸法→圧入力!F$25^2)</f>
        <v>124.6834596859686</v>
      </c>
      <c r="AE51" s="101">
        <f>テーブル4[[#This Row],[半径方向応力:Δ-10℃]]*2*寸法→圧入力!D$24^2/(寸法→圧入力!D$24^2-寸法→圧入力!F$25^2)</f>
        <v>106.79740661829685</v>
      </c>
      <c r="AF51" s="101">
        <f>テーブル4[[#This Row],[半径方向応力:Δ0℃]]*2*寸法→圧入力!D$24^2/(寸法→圧入力!D$24^2-寸法→圧入力!F$25^2)</f>
        <v>88.91135355061158</v>
      </c>
      <c r="AG51" s="101">
        <f>テーブル4[[#This Row],[半径方向応力:Δ+10℃]]*2*寸法→圧入力!D$24^2/(寸法→圧入力!D$24^2-寸法→圧入力!F$25^2)</f>
        <v>71.025300482926355</v>
      </c>
      <c r="AH51" s="101">
        <f>テーブル4[[#This Row],[半径方向応力:Δ+20℃]]*2*寸法→圧入力!D$24^2/(寸法→圧入力!D$24^2-寸法→圧入力!F$25^2)</f>
        <v>53.139247415254573</v>
      </c>
      <c r="AI51" s="101">
        <f>テーブル4[[#This Row],[半径方向応力:Δ+30℃]]*2*寸法→圧入力!D$24^2/(寸法→圧入力!D$24^2-寸法→圧入力!F$25^2)</f>
        <v>35.253194347582806</v>
      </c>
      <c r="AJ51" s="101">
        <f>寸法→圧入力!$D$30</f>
        <v>345</v>
      </c>
      <c r="AK51" s="101">
        <f>テーブル4[[#This Row],[半径方向応力:Δ-30℃]]* (1+(寸法→圧入力!D$34/寸法→圧入力!F$33)^2)/((寸法→圧入力!D$34/寸法→圧入力!F$33)^2-1)</f>
        <v>77.106899235214144</v>
      </c>
      <c r="AL51" s="101">
        <f>テーブル4[[#This Row],[半径方向応力:Δ-20℃]]* (1+(寸法→圧入力!D$34/寸法→圧入力!F$33)^2)/((寸法→圧入力!D$34/寸法→圧入力!F$33)^2-1)</f>
        <v>67.433455979587634</v>
      </c>
      <c r="AM51" s="101">
        <f>テーブル4[[#This Row],[半径方向応力:Δ-10℃]]* (1+(寸法→圧入力!D$34/寸法→圧入力!F$33)^2)/((寸法→圧入力!D$34/寸法→圧入力!F$33)^2-1)</f>
        <v>57.760012723961125</v>
      </c>
      <c r="AN51" s="101">
        <f>テーブル4[[#This Row],[半径方向応力:Δ0℃]]* (1+(寸法→圧入力!D$34/寸法→圧入力!F$33)^2)/((寸法→圧入力!D$34/寸法→圧入力!F$33)^2-1)</f>
        <v>48.086569468327326</v>
      </c>
      <c r="AO51" s="101">
        <f>テーブル4[[#This Row],[半径方向応力:Δ+10℃]]* (1+(寸法→圧入力!D$34/寸法→圧入力!F$33)^2)/((寸法→圧入力!D$34/寸法→圧入力!F$33)^2-1)</f>
        <v>38.413126212693534</v>
      </c>
      <c r="AP51" s="101">
        <f>テーブル4[[#This Row],[半径方向応力:Δ+20℃]]* (1+(寸法→圧入力!D$34/寸法→圧入力!F$33)^2)/((寸法→圧入力!D$34/寸法→圧入力!F$33)^2-1)</f>
        <v>28.739682957067021</v>
      </c>
      <c r="AQ51" s="101">
        <f>テーブル4[[#This Row],[半径方向応力:Δ+30℃]]* (1+(寸法→圧入力!D$34/寸法→圧入力!F$33)^2)/((寸法→圧入力!D$34/寸法→圧入力!F$33)^2-1)</f>
        <v>19.066239701440516</v>
      </c>
      <c r="AR51" s="101">
        <f>寸法→圧入力!$D$39</f>
        <v>150</v>
      </c>
    </row>
    <row r="52" spans="1:44">
      <c r="A52" s="179">
        <f t="shared" si="2"/>
        <v>0.46</v>
      </c>
      <c r="B52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236.23395731895133</v>
      </c>
      <c r="C52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238.67539436457974</v>
      </c>
      <c r="D52" s="101">
        <f>(A52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241.0892761944551</v>
      </c>
      <c r="E52" s="101">
        <f>テーブル3[[#This Row],[半径方向応力min]]*寸法→圧入力!D$46*寸法→圧入力!D$5/1000</f>
        <v>41.156506105511873</v>
      </c>
      <c r="F52" s="101">
        <f>テーブル3[[#This Row],[半径方向応力min]]*寸法→圧入力!E$46*寸法→圧入力!E$5/1000</f>
        <v>52.559031479228409</v>
      </c>
      <c r="G52" s="101">
        <f>テーブル3[[#This Row],[半径方向応力min]]*寸法→圧入力!F$46*寸法→圧入力!F$5/1000</f>
        <v>64.419811560017351</v>
      </c>
      <c r="H52" s="101">
        <f>寸法→圧入力!$D$30</f>
        <v>345</v>
      </c>
      <c r="I52" s="101">
        <f>寸法→圧入力!$D$39</f>
        <v>150</v>
      </c>
      <c r="J52" s="101">
        <f>テーブル3[[#This Row],[半径方向応力nor]]*2*寸法→圧入力!E$24^2/(寸法→圧入力!E$24^2-寸法→圧入力!E$25^2)</f>
        <v>859.07872005711283</v>
      </c>
      <c r="K52" s="101">
        <f>テーブル3[[#This Row],[半径方向応力nor]]* (1+(寸法→圧入力!E$34/寸法→圧入力!E$33)^2)/((寸法→圧入力!E$34/寸法→圧入力!E$33)^2-1)</f>
        <v>458.54580030326764</v>
      </c>
      <c r="N52">
        <f t="shared" si="1"/>
        <v>180</v>
      </c>
      <c r="O52" s="179">
        <f>寸法→圧入力!F$24*(1+寸法→圧入力!D$29*10^-6*(テーブル4[[#This Row],[inner温度'[℃']]]-20)) - 寸法→圧入力!D$33*(1+寸法→圧入力!D$38*10^-6*(テーブル4[[#This Row],[inner温度'[℃']]]+O$3-20))</f>
        <v>7.3122040000001221E-2</v>
      </c>
      <c r="P52" s="179">
        <f>寸法→圧入力!F$24*(1+寸法→圧入力!D$29*10^-6*(テーブル4[[#This Row],[inner温度'[℃']]]-20)) - 寸法→圧入力!D$33*(1+寸法→圧入力!D$38*10^-6*(テーブル4[[#This Row],[inner温度'[℃']]]+P$3-20))</f>
        <v>6.369303999999687E-2</v>
      </c>
      <c r="Q52" s="179">
        <f>寸法→圧入力!F$24*(1+寸法→圧入力!D$29*10^-6*(テーブル4[[#This Row],[inner温度'[℃']]]-20)) - 寸法→圧入力!D$33*(1+寸法→圧入力!D$38*10^-6*(テーブル4[[#This Row],[inner温度'[℃']]]+Q$3-20))</f>
        <v>5.4264039999992519E-2</v>
      </c>
      <c r="R52" s="179">
        <f>寸法→圧入力!F$24*(1+寸法→圧入力!D$29*10^-6*(テーブル4[[#This Row],[inner温度'[℃']]]-20)) - 寸法→圧入力!D$33*(1+寸法→圧入力!D$38*10^-6*(テーブル4[[#This Row],[inner温度'[℃']]]+R$3-20))</f>
        <v>4.4835039999995274E-2</v>
      </c>
      <c r="S52" s="179">
        <f>寸法→圧入力!F$24*(1+寸法→圧入力!D$29*10^-6*(テーブル4[[#This Row],[inner温度'[℃']]]-20)) - 寸法→圧入力!D$33*(1+寸法→圧入力!D$38*10^-6*(テーブル4[[#This Row],[inner温度'[℃']]]+S$3-20))</f>
        <v>3.5406039999990924E-2</v>
      </c>
      <c r="T52" s="179">
        <f>寸法→圧入力!F$24*(1+寸法→圧入力!D$29*10^-6*(テーブル4[[#This Row],[inner温度'[℃']]]-20)) - 寸法→圧入力!D$33*(1+寸法→圧入力!D$38*10^-6*(テーブル4[[#This Row],[inner温度'[℃']]]+T$3-20))</f>
        <v>2.5977040000000784E-2</v>
      </c>
      <c r="U52" s="179">
        <f>寸法→圧入力!F$24*(1+寸法→圧入力!D$29*10^-6*(テーブル4[[#This Row],[inner温度'[℃']]]-20)) - 寸法→圧入力!D$33*(1+寸法→圧入力!D$38*10^-6*(テーブル4[[#This Row],[inner温度'[℃']]]+U$3-20))</f>
        <v>1.6548039999996433E-2</v>
      </c>
      <c r="V52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38.323781951004968</v>
      </c>
      <c r="W52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33.381975896138528</v>
      </c>
      <c r="X52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28.440169841272073</v>
      </c>
      <c r="Y52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23.498363786409353</v>
      </c>
      <c r="Z52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18.556557731542906</v>
      </c>
      <c r="AA52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13.614751676683907</v>
      </c>
      <c r="AB52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8.6729456218174583</v>
      </c>
      <c r="AC52" s="101">
        <f>テーブル4[[#This Row],[半径方向応力:Δ-30℃]]*2*寸法→圧入力!D$24^2/(寸法→圧入力!D$24^2-寸法→圧入力!F$25^2)</f>
        <v>138.7066165931511</v>
      </c>
      <c r="AD52" s="101">
        <f>テーブル4[[#This Row],[半径方向応力:Δ-20℃]]*2*寸法→圧入力!D$24^2/(寸法→圧入力!D$24^2-寸法→圧入力!F$25^2)</f>
        <v>120.82056352546589</v>
      </c>
      <c r="AE52" s="101">
        <f>テーブル4[[#This Row],[半径方向応力:Δ-10℃]]*2*寸法→圧入力!D$24^2/(寸法→圧入力!D$24^2-寸法→圧入力!F$25^2)</f>
        <v>102.9345104577806</v>
      </c>
      <c r="AF52" s="101">
        <f>テーブル4[[#This Row],[半径方向応力:Δ0℃]]*2*寸法→圧入力!D$24^2/(寸法→圧入力!D$24^2-寸法→圧入力!F$25^2)</f>
        <v>85.048457390108851</v>
      </c>
      <c r="AG52" s="101">
        <f>テーブル4[[#This Row],[半径方向応力:Δ+10℃]]*2*寸法→圧入力!D$24^2/(寸法→圧入力!D$24^2-寸法→圧入力!F$25^2)</f>
        <v>67.162404322423598</v>
      </c>
      <c r="AH52" s="101">
        <f>テーブル4[[#This Row],[半径方向応力:Δ+20℃]]*2*寸法→圧入力!D$24^2/(寸法→圧入力!D$24^2-寸法→圧入力!F$25^2)</f>
        <v>49.276351254765309</v>
      </c>
      <c r="AI52" s="101">
        <f>テーブル4[[#This Row],[半径方向応力:Δ+30℃]]*2*寸法→圧入力!D$24^2/(寸法→圧入力!D$24^2-寸法→圧入力!F$25^2)</f>
        <v>31.390298187080059</v>
      </c>
      <c r="AJ52" s="101">
        <f>寸法→圧入力!$D$30</f>
        <v>345</v>
      </c>
      <c r="AK52" s="101">
        <f>テーブル4[[#This Row],[半径方向応力:Δ-30℃]]* (1+(寸法→圧入力!D$34/寸法→圧入力!F$33)^2)/((寸法→圧入力!D$34/寸法→圧入力!F$33)^2-1)</f>
        <v>75.017701206476843</v>
      </c>
      <c r="AL52" s="101">
        <f>テーブル4[[#This Row],[半径方向応力:Δ-20℃]]* (1+(寸法→圧入力!D$34/寸法→圧入力!F$33)^2)/((寸法→圧入力!D$34/寸法→圧入力!F$33)^2-1)</f>
        <v>65.344257950843073</v>
      </c>
      <c r="AM52" s="101">
        <f>テーブル4[[#This Row],[半径方向応力:Δ-10℃]]* (1+(寸法→圧入力!D$34/寸法→圧入力!F$33)^2)/((寸法→圧入力!D$34/寸法→圧入力!F$33)^2-1)</f>
        <v>55.670814695209252</v>
      </c>
      <c r="AN52" s="101">
        <f>テーブル4[[#This Row],[半径方向応力:Δ0℃]]* (1+(寸法→圧入力!D$34/寸法→圧入力!F$33)^2)/((寸法→圧入力!D$34/寸法→圧入力!F$33)^2-1)</f>
        <v>45.99737143958275</v>
      </c>
      <c r="AO52" s="101">
        <f>テーブル4[[#This Row],[半径方向応力:Δ+10℃]]* (1+(寸法→圧入力!D$34/寸法→圧入力!F$33)^2)/((寸法→圧入力!D$34/寸法→圧入力!F$33)^2-1)</f>
        <v>36.323928183948951</v>
      </c>
      <c r="AP52" s="101">
        <f>テーブル4[[#This Row],[半径方向応力:Δ+20℃]]* (1+(寸法→圧入力!D$34/寸法→圧入力!F$33)^2)/((寸法→圧入力!D$34/寸法→圧入力!F$33)^2-1)</f>
        <v>26.650484928329735</v>
      </c>
      <c r="AQ52" s="101">
        <f>テーブル4[[#This Row],[半径方向応力:Δ+30℃]]* (1+(寸法→圧入力!D$34/寸法→圧入力!F$33)^2)/((寸法→圧入力!D$34/寸法→圧入力!F$33)^2-1)</f>
        <v>16.977041672695933</v>
      </c>
      <c r="AR52" s="101">
        <f>寸法→圧入力!$D$39</f>
        <v>150</v>
      </c>
    </row>
    <row r="53" spans="1:44">
      <c r="A53" s="179">
        <f t="shared" si="2"/>
        <v>0.47000000000000003</v>
      </c>
      <c r="B53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241.36947813023289</v>
      </c>
      <c r="C53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243.86398989424453</v>
      </c>
      <c r="D53" s="101">
        <f>(A53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246.33034741607369</v>
      </c>
      <c r="E53" s="101">
        <f>テーブル3[[#This Row],[半径方向応力min]]*寸法→圧入力!D$46*寸法→圧入力!D$5/1000</f>
        <v>42.051212759979528</v>
      </c>
      <c r="F53" s="101">
        <f>テーブル3[[#This Row],[半径方向応力min]]*寸法→圧入力!E$46*寸法→圧入力!E$5/1000</f>
        <v>53.701619120081212</v>
      </c>
      <c r="G53" s="101">
        <f>テーブル3[[#This Row],[半径方向応力min]]*寸法→圧入力!F$46*寸法→圧入力!F$5/1000</f>
        <v>65.820242246104698</v>
      </c>
      <c r="H53" s="101">
        <f>寸法→圧入力!$D$30</f>
        <v>345</v>
      </c>
      <c r="I53" s="101">
        <f>寸法→圧入力!$D$39</f>
        <v>150</v>
      </c>
      <c r="J53" s="101">
        <f>テーブル3[[#This Row],[半径方向応力nor]]*2*寸法→圧入力!E$24^2/(寸法→圧入力!E$24^2-寸法→圧入力!E$25^2)</f>
        <v>877.75434440618051</v>
      </c>
      <c r="K53" s="101">
        <f>テーブル3[[#This Row],[半径方向応力nor]]* (1+(寸法→圧入力!E$34/寸法→圧入力!E$33)^2)/((寸法→圧入力!E$34/寸法→圧入力!E$33)^2-1)</f>
        <v>468.51418726638218</v>
      </c>
      <c r="N53">
        <f t="shared" si="1"/>
        <v>185</v>
      </c>
      <c r="O53" s="179">
        <f>寸法→圧入力!F$24*(1+寸法→圧入力!D$29*10^-6*(テーブル4[[#This Row],[inner温度'[℃']]]-20)) - 寸法→圧入力!D$33*(1+寸法→圧入力!D$38*10^-6*(テーブル4[[#This Row],[inner温度'[℃']]]+O$3-20))</f>
        <v>7.1085635000002867E-2</v>
      </c>
      <c r="P53" s="179">
        <f>寸法→圧入力!F$24*(1+寸法→圧入力!D$29*10^-6*(テーブル4[[#This Row],[inner温度'[℃']]]-20)) - 寸法→圧入力!D$33*(1+寸法→圧入力!D$38*10^-6*(テーブル4[[#This Row],[inner温度'[℃']]]+P$3-20))</f>
        <v>6.1656635000005622E-2</v>
      </c>
      <c r="Q53" s="179">
        <f>寸法→圧入力!F$24*(1+寸法→圧入力!D$29*10^-6*(テーブル4[[#This Row],[inner温度'[℃']]]-20)) - 寸法→圧入力!D$33*(1+寸法→圧入力!D$38*10^-6*(テーブル4[[#This Row],[inner温度'[℃']]]+Q$3-20))</f>
        <v>5.2227635000001271E-2</v>
      </c>
      <c r="R53" s="179">
        <f>寸法→圧入力!F$24*(1+寸法→圧入力!D$29*10^-6*(テーブル4[[#This Row],[inner温度'[℃']]]-20)) - 寸法→圧入力!D$33*(1+寸法→圧入力!D$38*10^-6*(テーブル4[[#This Row],[inner温度'[℃']]]+R$3-20))</f>
        <v>4.2798634999996921E-2</v>
      </c>
      <c r="S53" s="179">
        <f>寸法→圧入力!F$24*(1+寸法→圧入力!D$29*10^-6*(テーブル4[[#This Row],[inner温度'[℃']]]-20)) - 寸法→圧入力!D$33*(1+寸法→圧入力!D$38*10^-6*(テーブル4[[#This Row],[inner温度'[℃']]]+S$3-20))</f>
        <v>3.3369634999999676E-2</v>
      </c>
      <c r="T53" s="179">
        <f>寸法→圧入力!F$24*(1+寸法→圧入力!D$29*10^-6*(テーブル4[[#This Row],[inner温度'[℃']]]-20)) - 寸法→圧入力!D$33*(1+寸法→圧入力!D$38*10^-6*(テーブル4[[#This Row],[inner温度'[℃']]]+T$3-20))</f>
        <v>2.394063500000243E-2</v>
      </c>
      <c r="U53" s="179">
        <f>寸法→圧入力!F$24*(1+寸法→圧入力!D$29*10^-6*(テーブル4[[#This Row],[inner温度'[℃']]]-20)) - 寸法→圧入力!D$33*(1+寸法→圧入力!D$38*10^-6*(テーブル4[[#This Row],[inner温度'[℃']]]+U$3-20))</f>
        <v>1.4511635000005185E-2</v>
      </c>
      <c r="V53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37.256487586899816</v>
      </c>
      <c r="W53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32.314681532037092</v>
      </c>
      <c r="X53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27.372875477170641</v>
      </c>
      <c r="Y53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22.431069422304194</v>
      </c>
      <c r="Z53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17.489263367441474</v>
      </c>
      <c r="AA53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12.547457312578748</v>
      </c>
      <c r="AB53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7.6056512577160253</v>
      </c>
      <c r="AC53" s="101">
        <f>テーブル4[[#This Row],[半径方向応力:Δ-30℃]]*2*寸法→圧入力!D$24^2/(寸法→圧入力!D$24^2-寸法→圧入力!F$25^2)</f>
        <v>134.84372043266185</v>
      </c>
      <c r="AD53" s="101">
        <f>テーブル4[[#This Row],[半径方向応力:Δ-20℃]]*2*寸法→圧入力!D$24^2/(寸法→圧入力!D$24^2-寸法→圧入力!F$25^2)</f>
        <v>116.95766736499009</v>
      </c>
      <c r="AE53" s="101">
        <f>テーブル4[[#This Row],[半径方向応力:Δ-10℃]]*2*寸法→圧入力!D$24^2/(寸法→圧入力!D$24^2-寸法→圧入力!F$25^2)</f>
        <v>99.071614297304819</v>
      </c>
      <c r="AF53" s="101">
        <f>テーブル4[[#This Row],[半径方向応力:Δ0℃]]*2*寸法→圧入力!D$24^2/(寸法→圧入力!D$24^2-寸法→圧入力!F$25^2)</f>
        <v>81.18556122961958</v>
      </c>
      <c r="AG53" s="101">
        <f>テーブル4[[#This Row],[半径方向応力:Δ+10℃]]*2*寸法→圧入力!D$24^2/(寸法→圧入力!D$24^2-寸法→圧入力!F$25^2)</f>
        <v>63.299508161947813</v>
      </c>
      <c r="AH53" s="101">
        <f>テーブル4[[#This Row],[半径方向応力:Δ+20℃]]*2*寸法→圧入力!D$24^2/(寸法→圧入力!D$24^2-寸法→圧入力!F$25^2)</f>
        <v>45.413455094276038</v>
      </c>
      <c r="AI53" s="101">
        <f>テーブル4[[#This Row],[半径方向応力:Δ+30℃]]*2*寸法→圧入力!D$24^2/(寸法→圧入力!D$24^2-寸法→圧入力!F$25^2)</f>
        <v>27.527402026604268</v>
      </c>
      <c r="AJ53" s="101">
        <f>寸法→圧入力!$D$30</f>
        <v>345</v>
      </c>
      <c r="AK53" s="101">
        <f>テーブル4[[#This Row],[半径方向応力:Δ-30℃]]* (1+(寸法→圧入力!D$34/寸法→圧入力!F$33)^2)/((寸法→圧入力!D$34/寸法→圧入力!F$33)^2-1)</f>
        <v>72.928503177739557</v>
      </c>
      <c r="AL53" s="101">
        <f>テーブル4[[#This Row],[半径方向応力:Δ-20℃]]* (1+(寸法→圧入力!D$34/寸法→圧入力!F$33)^2)/((寸法→圧入力!D$34/寸法→圧入力!F$33)^2-1)</f>
        <v>63.255059922113062</v>
      </c>
      <c r="AM53" s="101">
        <f>テーブル4[[#This Row],[半径方向応力:Δ-10℃]]* (1+(寸法→圧入力!D$34/寸法→圧入力!F$33)^2)/((寸法→圧入力!D$34/寸法→圧入力!F$33)^2-1)</f>
        <v>53.581616666479249</v>
      </c>
      <c r="AN53" s="101">
        <f>テーブル4[[#This Row],[半径方向応力:Δ0℃]]* (1+(寸法→圧入力!D$34/寸法→圧入力!F$33)^2)/((寸法→圧入力!D$34/寸法→圧入力!F$33)^2-1)</f>
        <v>43.90817341084545</v>
      </c>
      <c r="AO53" s="101">
        <f>テーブル4[[#This Row],[半径方向応力:Δ+10℃]]* (1+(寸法→圧入力!D$34/寸法→圧入力!F$33)^2)/((寸法→圧入力!D$34/寸法→圧入力!F$33)^2-1)</f>
        <v>34.234730155218948</v>
      </c>
      <c r="AP53" s="101">
        <f>テーブル4[[#This Row],[半径方向応力:Δ+20℃]]* (1+(寸法→圧入力!D$34/寸法→圧入力!F$33)^2)/((寸法→圧入力!D$34/寸法→圧入力!F$33)^2-1)</f>
        <v>24.561286899592439</v>
      </c>
      <c r="AQ53" s="101">
        <f>テーブル4[[#This Row],[半径方向応力:Δ+30℃]]* (1+(寸法→圧入力!D$34/寸法→圧入力!F$33)^2)/((寸法→圧入力!D$34/寸法→圧入力!F$33)^2-1)</f>
        <v>14.887843643965931</v>
      </c>
      <c r="AR53" s="101">
        <f>寸法→圧入力!$D$39</f>
        <v>150</v>
      </c>
    </row>
    <row r="54" spans="1:44">
      <c r="A54" s="179">
        <f t="shared" si="2"/>
        <v>0.48</v>
      </c>
      <c r="B54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246.5049989415144</v>
      </c>
      <c r="C54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249.05258542390928</v>
      </c>
      <c r="D54" s="101">
        <f>(A54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251.57141863769226</v>
      </c>
      <c r="E54" s="101">
        <f>テーブル3[[#This Row],[半径方向応力min]]*寸法→圧入力!D$46*寸法→圧入力!D$5/1000</f>
        <v>42.945919414447175</v>
      </c>
      <c r="F54" s="101">
        <f>テーブル3[[#This Row],[半径方向応力min]]*寸法→圧入力!E$46*寸法→圧入力!E$5/1000</f>
        <v>54.844206760933986</v>
      </c>
      <c r="G54" s="101">
        <f>テーブル3[[#This Row],[半径方向応力min]]*寸法→圧入力!F$46*寸法→圧入力!F$5/1000</f>
        <v>67.220672932192016</v>
      </c>
      <c r="H54" s="101">
        <f>寸法→圧入力!$D$30</f>
        <v>345</v>
      </c>
      <c r="I54" s="101">
        <f>寸法→圧入力!$D$39</f>
        <v>150</v>
      </c>
      <c r="J54" s="101">
        <f>テーブル3[[#This Row],[半径方向応力nor]]*2*寸法→圧入力!E$24^2/(寸法→圧入力!E$24^2-寸法→圧入力!E$25^2)</f>
        <v>896.42996875524818</v>
      </c>
      <c r="K54" s="101">
        <f>テーブル3[[#This Row],[半径方向応力nor]]* (1+(寸法→圧入力!E$34/寸法→圧入力!E$33)^2)/((寸法→圧入力!E$34/寸法→圧入力!E$33)^2-1)</f>
        <v>478.48257422949666</v>
      </c>
      <c r="N54">
        <f t="shared" si="1"/>
        <v>190</v>
      </c>
      <c r="O54" s="179">
        <f>寸法→圧入力!F$24*(1+寸法→圧入力!D$29*10^-6*(テーブル4[[#This Row],[inner温度'[℃']]]-20)) - 寸法→圧入力!D$33*(1+寸法→圧入力!D$38*10^-6*(テーブル4[[#This Row],[inner温度'[℃']]]+O$3-20))</f>
        <v>6.9049230000004513E-2</v>
      </c>
      <c r="P54" s="179">
        <f>寸法→圧入力!F$24*(1+寸法→圧入力!D$29*10^-6*(テーブル4[[#This Row],[inner温度'[℃']]]-20)) - 寸法→圧入力!D$33*(1+寸法→圧入力!D$38*10^-6*(テーブル4[[#This Row],[inner温度'[℃']]]+P$3-20))</f>
        <v>5.9620230000000163E-2</v>
      </c>
      <c r="Q54" s="179">
        <f>寸法→圧入力!F$24*(1+寸法→圧入力!D$29*10^-6*(テーブル4[[#This Row],[inner温度'[℃']]]-20)) - 寸法→圧入力!D$33*(1+寸法→圧入力!D$38*10^-6*(テーブル4[[#This Row],[inner温度'[℃']]]+Q$3-20))</f>
        <v>5.0191230000002918E-2</v>
      </c>
      <c r="R54" s="179">
        <f>寸法→圧入力!F$24*(1+寸法→圧入力!D$29*10^-6*(テーブル4[[#This Row],[inner温度'[℃']]]-20)) - 寸法→圧入力!D$33*(1+寸法→圧入力!D$38*10^-6*(テーブル4[[#This Row],[inner温度'[℃']]]+R$3-20))</f>
        <v>4.0762229999998567E-2</v>
      </c>
      <c r="S54" s="179">
        <f>寸法→圧入力!F$24*(1+寸法→圧入力!D$29*10^-6*(テーブル4[[#This Row],[inner温度'[℃']]]-20)) - 寸法→圧入力!D$33*(1+寸法→圧入力!D$38*10^-6*(テーブル4[[#This Row],[inner温度'[℃']]]+S$3-20))</f>
        <v>3.1333230000008427E-2</v>
      </c>
      <c r="T54" s="179">
        <f>寸法→圧入力!F$24*(1+寸法→圧入力!D$29*10^-6*(テーブル4[[#This Row],[inner温度'[℃']]]-20)) - 寸法→圧入力!D$33*(1+寸法→圧入力!D$38*10^-6*(テーブル4[[#This Row],[inner温度'[℃']]]+T$3-20))</f>
        <v>2.1904230000004077E-2</v>
      </c>
      <c r="U54" s="179">
        <f>寸法→圧入力!F$24*(1+寸法→圧入力!D$29*10^-6*(テーブル4[[#This Row],[inner温度'[℃']]]-20)) - 寸法→圧入力!D$33*(1+寸法→圧入力!D$38*10^-6*(テーブル4[[#This Row],[inner温度'[℃']]]+U$3-20))</f>
        <v>1.2475229999999726E-2</v>
      </c>
      <c r="V54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36.189193222794657</v>
      </c>
      <c r="W54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31.247387167928206</v>
      </c>
      <c r="X54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26.305581113065486</v>
      </c>
      <c r="Y54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21.363775058199039</v>
      </c>
      <c r="Z54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16.421969003340038</v>
      </c>
      <c r="AA54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11.480162948473591</v>
      </c>
      <c r="AB54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6.5383568936071432</v>
      </c>
      <c r="AC54" s="101">
        <f>テーブル4[[#This Row],[半径方向応力:Δ-30℃]]*2*寸法→圧入力!D$24^2/(寸法→圧入力!D$24^2-寸法→圧入力!F$25^2)</f>
        <v>130.98082427217258</v>
      </c>
      <c r="AD54" s="101">
        <f>テーブル4[[#This Row],[半径方向応力:Δ-20℃]]*2*寸法→圧入力!D$24^2/(寸法→圧入力!D$24^2-寸法→圧入力!F$25^2)</f>
        <v>113.09477120448732</v>
      </c>
      <c r="AE54" s="101">
        <f>テーブル4[[#This Row],[半径方向応力:Δ-10℃]]*2*寸法→圧入力!D$24^2/(寸法→圧入力!D$24^2-寸法→圧入力!F$25^2)</f>
        <v>95.208718136815563</v>
      </c>
      <c r="AF54" s="101">
        <f>テーブル4[[#This Row],[半径方向応力:Δ0℃]]*2*寸法→圧入力!D$24^2/(寸法→圧入力!D$24^2-寸法→圧入力!F$25^2)</f>
        <v>77.322665069130309</v>
      </c>
      <c r="AG54" s="101">
        <f>テーブル4[[#This Row],[半径方向応力:Δ+10℃]]*2*寸法→圧入力!D$24^2/(寸法→圧入力!D$24^2-寸法→圧入力!F$25^2)</f>
        <v>59.436612001472007</v>
      </c>
      <c r="AH54" s="101">
        <f>テーブル4[[#This Row],[半径方向応力:Δ+20℃]]*2*寸法→圧入力!D$24^2/(寸法→圧入力!D$24^2-寸法→圧入力!F$25^2)</f>
        <v>41.550558933786768</v>
      </c>
      <c r="AI54" s="101">
        <f>テーブル4[[#This Row],[半径方向応力:Δ+30℃]]*2*寸法→圧入力!D$24^2/(寸法→圧入力!D$24^2-寸法→圧入力!F$25^2)</f>
        <v>23.664505866101514</v>
      </c>
      <c r="AJ54" s="101">
        <f>寸法→圧入力!$D$30</f>
        <v>345</v>
      </c>
      <c r="AK54" s="101">
        <f>テーブル4[[#This Row],[半径方向応力:Δ-30℃]]* (1+(寸法→圧入力!D$34/寸法→圧入力!F$33)^2)/((寸法→圧入力!D$34/寸法→圧入力!F$33)^2-1)</f>
        <v>70.839305149002257</v>
      </c>
      <c r="AL54" s="101">
        <f>テーブル4[[#This Row],[半径方向応力:Δ-20℃]]* (1+(寸法→圧入力!D$34/寸法→圧入力!F$33)^2)/((寸法→圧入力!D$34/寸法→圧入力!F$33)^2-1)</f>
        <v>61.165861893368465</v>
      </c>
      <c r="AM54" s="101">
        <f>テーブル4[[#This Row],[半径方向応力:Δ-10℃]]* (1+(寸法→圧入力!D$34/寸法→圧入力!F$33)^2)/((寸法→圧入力!D$34/寸法→圧入力!F$33)^2-1)</f>
        <v>51.492418637741956</v>
      </c>
      <c r="AN54" s="101">
        <f>テーブル4[[#This Row],[半径方向応力:Δ0℃]]* (1+(寸法→圧入力!D$34/寸法→圧入力!F$33)^2)/((寸法→圧入力!D$34/寸法→圧入力!F$33)^2-1)</f>
        <v>41.818975382108164</v>
      </c>
      <c r="AO54" s="101">
        <f>テーブル4[[#This Row],[半径方向応力:Δ+10℃]]* (1+(寸法→圧入力!D$34/寸法→圧入力!F$33)^2)/((寸法→圧入力!D$34/寸法→圧入力!F$33)^2-1)</f>
        <v>32.145532126488945</v>
      </c>
      <c r="AP54" s="101">
        <f>テーブル4[[#This Row],[半径方向応力:Δ+20℃]]* (1+(寸法→圧入力!D$34/寸法→圧入力!F$33)^2)/((寸法→圧入力!D$34/寸法→圧入力!F$33)^2-1)</f>
        <v>22.472088870855149</v>
      </c>
      <c r="AQ54" s="101">
        <f>テーブル4[[#This Row],[半径方向応力:Δ+30℃]]* (1+(寸法→圧入力!D$34/寸法→圧入力!F$33)^2)/((寸法→圧入力!D$34/寸法→圧入力!F$33)^2-1)</f>
        <v>12.798645615221348</v>
      </c>
      <c r="AR54" s="101">
        <f>寸法→圧入力!$D$39</f>
        <v>150</v>
      </c>
    </row>
    <row r="55" spans="1:44">
      <c r="A55" s="179">
        <f t="shared" si="2"/>
        <v>0.49</v>
      </c>
      <c r="B55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251.64051975279597</v>
      </c>
      <c r="C55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254.24118095357406</v>
      </c>
      <c r="D55" s="101">
        <f>(A55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256.81248985931086</v>
      </c>
      <c r="E55" s="101">
        <f>テーブル3[[#This Row],[半径方向応力min]]*寸法→圧入力!D$46*寸法→圧入力!D$5/1000</f>
        <v>43.840626068914823</v>
      </c>
      <c r="F55" s="101">
        <f>テーブル3[[#This Row],[半径方向応力min]]*寸法→圧入力!E$46*寸法→圧入力!E$5/1000</f>
        <v>55.986794401786796</v>
      </c>
      <c r="G55" s="101">
        <f>テーブル3[[#This Row],[半径方向応力min]]*寸法→圧入力!F$46*寸法→圧入力!F$5/1000</f>
        <v>68.621103618279349</v>
      </c>
      <c r="H55" s="101">
        <f>寸法→圧入力!$D$30</f>
        <v>345</v>
      </c>
      <c r="I55" s="101">
        <f>寸法→圧入力!$D$39</f>
        <v>150</v>
      </c>
      <c r="J55" s="101">
        <f>テーブル3[[#This Row],[半径方向応力nor]]*2*寸法→圧入力!E$24^2/(寸法→圧入力!E$24^2-寸法→圧入力!E$25^2)</f>
        <v>915.10559310431586</v>
      </c>
      <c r="K55" s="101">
        <f>テーブル3[[#This Row],[半径方向応力nor]]* (1+(寸法→圧入力!E$34/寸法→圧入力!E$33)^2)/((寸法→圧入力!E$34/寸法→圧入力!E$33)^2-1)</f>
        <v>488.45096119261115</v>
      </c>
      <c r="N55">
        <f t="shared" si="1"/>
        <v>195</v>
      </c>
      <c r="O55" s="179">
        <f>寸法→圧入力!F$24*(1+寸法→圧入力!D$29*10^-6*(テーブル4[[#This Row],[inner温度'[℃']]]-20)) - 寸法→圧入力!D$33*(1+寸法→圧入力!D$38*10^-6*(テーブル4[[#This Row],[inner温度'[℃']]]+O$3-20))</f>
        <v>6.701282500000616E-2</v>
      </c>
      <c r="P55" s="179">
        <f>寸法→圧入力!F$24*(1+寸法→圧入力!D$29*10^-6*(テーブル4[[#This Row],[inner温度'[℃']]]-20)) - 寸法→圧入力!D$33*(1+寸法→圧入力!D$38*10^-6*(テーブル4[[#This Row],[inner温度'[℃']]]+P$3-20))</f>
        <v>5.7583825000001809E-2</v>
      </c>
      <c r="Q55" s="179">
        <f>寸法→圧入力!F$24*(1+寸法→圧入力!D$29*10^-6*(テーブル4[[#This Row],[inner温度'[℃']]]-20)) - 寸法→圧入力!D$33*(1+寸法→圧入力!D$38*10^-6*(テーブル4[[#This Row],[inner温度'[℃']]]+Q$3-20))</f>
        <v>4.8154824999997459E-2</v>
      </c>
      <c r="R55" s="179">
        <f>寸法→圧入力!F$24*(1+寸法→圧入力!D$29*10^-6*(テーブル4[[#This Row],[inner温度'[℃']]]-20)) - 寸法→圧入力!D$33*(1+寸法→圧入力!D$38*10^-6*(テーブル4[[#This Row],[inner温度'[℃']]]+R$3-20))</f>
        <v>3.8725825000000214E-2</v>
      </c>
      <c r="S55" s="179">
        <f>寸法→圧入力!F$24*(1+寸法→圧入力!D$29*10^-6*(テーブル4[[#This Row],[inner温度'[℃']]]-20)) - 寸法→圧入力!D$33*(1+寸法→圧入力!D$38*10^-6*(テーブル4[[#This Row],[inner温度'[℃']]]+S$3-20))</f>
        <v>2.9296825000002968E-2</v>
      </c>
      <c r="T55" s="179">
        <f>寸法→圧入力!F$24*(1+寸法→圧入力!D$29*10^-6*(テーブル4[[#This Row],[inner温度'[℃']]]-20)) - 寸法→圧入力!D$33*(1+寸法→圧入力!D$38*10^-6*(テーブル4[[#This Row],[inner温度'[℃']]]+T$3-20))</f>
        <v>1.9867825000005723E-2</v>
      </c>
      <c r="U55" s="179">
        <f>寸法→圧入力!F$24*(1+寸法→圧入力!D$29*10^-6*(テーブル4[[#This Row],[inner温度'[℃']]]-20)) - 寸法→圧入力!D$33*(1+寸法→圧入力!D$38*10^-6*(テーブル4[[#This Row],[inner温度'[℃']]]+U$3-20))</f>
        <v>1.0438825000001373E-2</v>
      </c>
      <c r="V55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35.121898858689505</v>
      </c>
      <c r="W55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30.180092803823051</v>
      </c>
      <c r="X55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25.238286748956607</v>
      </c>
      <c r="Y55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20.29648069409388</v>
      </c>
      <c r="Z55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15.354674639231158</v>
      </c>
      <c r="AA55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10.412868584368434</v>
      </c>
      <c r="AB55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5.4710625295019861</v>
      </c>
      <c r="AC55" s="101">
        <f>テーブル4[[#This Row],[半径方向応力:Δ-30℃]]*2*寸法→圧入力!D$24^2/(寸法→圧入力!D$24^2-寸法→圧入力!F$25^2)</f>
        <v>127.11792811168331</v>
      </c>
      <c r="AD55" s="101">
        <f>テーブル4[[#This Row],[半径方向応力:Δ-20℃]]*2*寸法→圧入力!D$24^2/(寸法→圧入力!D$24^2-寸法→圧入力!F$25^2)</f>
        <v>109.23187504399806</v>
      </c>
      <c r="AE55" s="101">
        <f>テーブル4[[#This Row],[半径方向応力:Δ-10℃]]*2*寸法→圧入力!D$24^2/(寸法→圧入力!D$24^2-寸法→圧入力!F$25^2)</f>
        <v>91.34582197631282</v>
      </c>
      <c r="AF55" s="101">
        <f>テーブル4[[#This Row],[半径方向応力:Δ0℃]]*2*寸法→圧入力!D$24^2/(寸法→圧入力!D$24^2-寸法→圧入力!F$25^2)</f>
        <v>73.459768908641038</v>
      </c>
      <c r="AG55" s="101">
        <f>テーブル4[[#This Row],[半径方向応力:Δ+10℃]]*2*寸法→圧入力!D$24^2/(寸法→圧入力!D$24^2-寸法→圧入力!F$25^2)</f>
        <v>55.573715840969264</v>
      </c>
      <c r="AH55" s="101">
        <f>テーブル4[[#This Row],[半径方向応力:Δ+20℃]]*2*寸法→圧入力!D$24^2/(寸法→圧入力!D$24^2-寸法→圧入力!F$25^2)</f>
        <v>37.687662773297497</v>
      </c>
      <c r="AI55" s="101">
        <f>テーブル4[[#This Row],[半径方向応力:Δ+30℃]]*2*寸法→圧入力!D$24^2/(寸法→圧入力!D$24^2-寸法→圧入力!F$25^2)</f>
        <v>19.801609705612247</v>
      </c>
      <c r="AJ55" s="101">
        <f>寸法→圧入力!$D$30</f>
        <v>345</v>
      </c>
      <c r="AK55" s="101">
        <f>テーブル4[[#This Row],[半径方向応力:Δ-30℃]]* (1+(寸法→圧入力!D$34/寸法→圧入力!F$33)^2)/((寸法→圧入力!D$34/寸法→圧入力!F$33)^2-1)</f>
        <v>68.750107120264985</v>
      </c>
      <c r="AL55" s="101">
        <f>テーブル4[[#This Row],[半径方向応力:Δ-20℃]]* (1+(寸法→圧入力!D$34/寸法→圧入力!F$33)^2)/((寸法→圧入力!D$34/寸法→圧入力!F$33)^2-1)</f>
        <v>59.076663864631172</v>
      </c>
      <c r="AM55" s="101">
        <f>テーブル4[[#This Row],[半径方向応力:Δ-10℃]]* (1+(寸法→圧入力!D$34/寸法→圧入力!F$33)^2)/((寸法→圧入力!D$34/寸法→圧入力!F$33)^2-1)</f>
        <v>49.403220608997387</v>
      </c>
      <c r="AN55" s="101">
        <f>テーブル4[[#This Row],[半径方向応力:Δ0℃]]* (1+(寸法→圧入力!D$34/寸法→圧入力!F$33)^2)/((寸法→圧入力!D$34/寸法→圧入力!F$33)^2-1)</f>
        <v>39.729777353370871</v>
      </c>
      <c r="AO55" s="101">
        <f>テーブル4[[#This Row],[半径方向応力:Δ+10℃]]* (1+(寸法→圧入力!D$34/寸法→圧入力!F$33)^2)/((寸法→圧入力!D$34/寸法→圧入力!F$33)^2-1)</f>
        <v>30.056334097744362</v>
      </c>
      <c r="AP55" s="101">
        <f>テーブル4[[#This Row],[半径方向応力:Δ+20℃]]* (1+(寸法→圧入力!D$34/寸法→圧入力!F$33)^2)/((寸法→圧入力!D$34/寸法→圧入力!F$33)^2-1)</f>
        <v>20.382890842117856</v>
      </c>
      <c r="AQ55" s="101">
        <f>テーブル4[[#This Row],[半径方向応力:Δ+30℃]]* (1+(寸法→圧入力!D$34/寸法→圧入力!F$33)^2)/((寸法→圧入力!D$34/寸法→圧入力!F$33)^2-1)</f>
        <v>10.709447586484057</v>
      </c>
      <c r="AR55" s="101">
        <f>寸法→圧入力!$D$39</f>
        <v>150</v>
      </c>
    </row>
    <row r="56" spans="1:44">
      <c r="A56" s="179">
        <f t="shared" si="2"/>
        <v>0.5</v>
      </c>
      <c r="B56" s="101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256.7760405640775</v>
      </c>
      <c r="C56" s="101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259.42977648323887</v>
      </c>
      <c r="D56" s="101">
        <f>(A56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262.05356108092946</v>
      </c>
      <c r="E56" s="101">
        <f>テーブル3[[#This Row],[半径方向応力min]]*寸法→圧入力!D$46*寸法→圧入力!D$5/1000</f>
        <v>44.73533272338247</v>
      </c>
      <c r="F56" s="101">
        <f>テーブル3[[#This Row],[半径方向応力min]]*寸法→圧入力!E$46*寸法→圧入力!E$5/1000</f>
        <v>57.129382042639577</v>
      </c>
      <c r="G56" s="101">
        <f>テーブル3[[#This Row],[半径方向応力min]]*寸法→圧入力!F$46*寸法→圧入力!F$5/1000</f>
        <v>70.021534304366682</v>
      </c>
      <c r="H56" s="101">
        <f>寸法→圧入力!$D$30</f>
        <v>345</v>
      </c>
      <c r="I56" s="101">
        <f>寸法→圧入力!$D$39</f>
        <v>150</v>
      </c>
      <c r="J56" s="101">
        <f>テーブル3[[#This Row],[半径方向応力nor]]*2*寸法→圧入力!E$24^2/(寸法→圧入力!E$24^2-寸法→圧入力!E$25^2)</f>
        <v>933.78121745338365</v>
      </c>
      <c r="K56" s="101">
        <f>テーブル3[[#This Row],[半径方向応力nor]]* (1+(寸法→圧入力!E$34/寸法→圧入力!E$33)^2)/((寸法→圧入力!E$34/寸法→圧入力!E$33)^2-1)</f>
        <v>498.41934815572574</v>
      </c>
      <c r="N56">
        <f t="shared" si="1"/>
        <v>200</v>
      </c>
      <c r="O56" s="179">
        <f>寸法→圧入力!F$24*(1+寸法→圧入力!D$29*10^-6*(テーブル4[[#This Row],[inner温度'[℃']]]-20)) - 寸法→圧入力!D$33*(1+寸法→圧入力!D$38*10^-6*(テーブル4[[#This Row],[inner温度'[℃']]]+O$3-20))</f>
        <v>6.4976420000000701E-2</v>
      </c>
      <c r="P56" s="179">
        <f>寸法→圧入力!F$24*(1+寸法→圧入力!D$29*10^-6*(テーブル4[[#This Row],[inner温度'[℃']]]-20)) - 寸法→圧入力!D$33*(1+寸法→圧入力!D$38*10^-6*(テーブル4[[#This Row],[inner温度'[℃']]]+P$3-20))</f>
        <v>5.5547420000003456E-2</v>
      </c>
      <c r="Q56" s="179">
        <f>寸法→圧入力!F$24*(1+寸法→圧入力!D$29*10^-6*(テーブル4[[#This Row],[inner温度'[℃']]]-20)) - 寸法→圧入力!D$33*(1+寸法→圧入力!D$38*10^-6*(テーブル4[[#This Row],[inner温度'[℃']]]+Q$3-20))</f>
        <v>4.6118419999999105E-2</v>
      </c>
      <c r="R56" s="179">
        <f>寸法→圧入力!F$24*(1+寸法→圧入力!D$29*10^-6*(テーブル4[[#This Row],[inner温度'[℃']]]-20)) - 寸法→圧入力!D$33*(1+寸法→圧入力!D$38*10^-6*(テーブル4[[#This Row],[inner温度'[℃']]]+R$3-20))</f>
        <v>3.6689420000008965E-2</v>
      </c>
      <c r="S56" s="179">
        <f>寸法→圧入力!F$24*(1+寸法→圧入力!D$29*10^-6*(テーブル4[[#This Row],[inner温度'[℃']]]-20)) - 寸法→圧入力!D$33*(1+寸法→圧入力!D$38*10^-6*(テーブル4[[#This Row],[inner温度'[℃']]]+S$3-20))</f>
        <v>2.7260420000004615E-2</v>
      </c>
      <c r="T56" s="179">
        <f>寸法→圧入力!F$24*(1+寸法→圧入力!D$29*10^-6*(テーブル4[[#This Row],[inner温度'[℃']]]-20)) - 寸法→圧入力!D$33*(1+寸法→圧入力!D$38*10^-6*(テーブル4[[#This Row],[inner温度'[℃']]]+T$3-20))</f>
        <v>1.7831420000000264E-2</v>
      </c>
      <c r="U56" s="179">
        <f>寸法→圧入力!F$24*(1+寸法→圧入力!D$29*10^-6*(テーブル4[[#This Row],[inner温度'[℃']]]-20)) - 寸法→圧入力!D$33*(1+寸法→圧入力!D$38*10^-6*(テーブル4[[#This Row],[inner温度'[℃']]]+U$3-20))</f>
        <v>8.4024200000030191E-3</v>
      </c>
      <c r="V56" s="101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34.054604494580616</v>
      </c>
      <c r="W56" s="101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29.112798439717896</v>
      </c>
      <c r="X56" s="101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24.170992384851445</v>
      </c>
      <c r="Y56" s="101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19.229186329992448</v>
      </c>
      <c r="Z56" s="101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14.287380275125999</v>
      </c>
      <c r="AA56" s="101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9.345574220259552</v>
      </c>
      <c r="AB56" s="101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4.403768165396829</v>
      </c>
      <c r="AC56" s="101">
        <f>テーブル4[[#This Row],[半径方向応力:Δ-30℃]]*2*寸法→圧入力!D$24^2/(寸法→圧入力!D$24^2-寸法→圧入力!F$25^2)</f>
        <v>123.25503195118056</v>
      </c>
      <c r="AD56" s="101">
        <f>テーブル4[[#This Row],[半径方向応力:Δ-20℃]]*2*寸法→圧入力!D$24^2/(寸法→圧入力!D$24^2-寸法→圧入力!F$25^2)</f>
        <v>105.36897888350879</v>
      </c>
      <c r="AE56" s="101">
        <f>テーブル4[[#This Row],[半径方向応力:Δ-10℃]]*2*寸法→圧入力!D$24^2/(寸法→圧入力!D$24^2-寸法→圧入力!F$25^2)</f>
        <v>87.482925815823535</v>
      </c>
      <c r="AF56" s="101">
        <f>テーブル4[[#This Row],[半径方向応力:Δ0℃]]*2*寸法→圧入力!D$24^2/(寸法→圧入力!D$24^2-寸法→圧入力!F$25^2)</f>
        <v>69.596872748165239</v>
      </c>
      <c r="AG56" s="101">
        <f>テーブル4[[#This Row],[半径方向応力:Δ+10℃]]*2*寸法→圧入力!D$24^2/(寸法→圧入力!D$24^2-寸法→圧入力!F$25^2)</f>
        <v>51.710819680479993</v>
      </c>
      <c r="AH56" s="101">
        <f>テーブル4[[#This Row],[半径方向応力:Δ+20℃]]*2*寸法→圧入力!D$24^2/(寸法→圧入力!D$24^2-寸法→圧入力!F$25^2)</f>
        <v>33.824766612794747</v>
      </c>
      <c r="AI56" s="101">
        <f>テーブル4[[#This Row],[半径方向応力:Δ+30℃]]*2*寸法→圧入力!D$24^2/(寸法→圧入力!D$24^2-寸法→圧入力!F$25^2)</f>
        <v>15.93871354512298</v>
      </c>
      <c r="AJ56" s="101">
        <f>寸法→圧入力!$D$30</f>
        <v>345</v>
      </c>
      <c r="AK56" s="101">
        <f>テーブル4[[#This Row],[半径方向応力:Δ-30℃]]* (1+(寸法→圧入力!D$34/寸法→圧入力!F$33)^2)/((寸法→圧入力!D$34/寸法→圧入力!F$33)^2-1)</f>
        <v>66.660909091520395</v>
      </c>
      <c r="AL56" s="101">
        <f>テーブル4[[#This Row],[半径方向応力:Δ-20℃]]* (1+(寸法→圧入力!D$34/寸法→圧入力!F$33)^2)/((寸法→圧入力!D$34/寸法→圧入力!F$33)^2-1)</f>
        <v>56.987465835893886</v>
      </c>
      <c r="AM56" s="101">
        <f>テーブル4[[#This Row],[半径方向応力:Δ-10℃]]* (1+(寸法→圧入力!D$34/寸法→圧入力!F$33)^2)/((寸法→圧入力!D$34/寸法→圧入力!F$33)^2-1)</f>
        <v>47.314022580260087</v>
      </c>
      <c r="AN56" s="101">
        <f>テーブル4[[#This Row],[半径方向応力:Δ0℃]]* (1+(寸法→圧入力!D$34/寸法→圧入力!F$33)^2)/((寸法→圧入力!D$34/寸法→圧入力!F$33)^2-1)</f>
        <v>37.640579324640868</v>
      </c>
      <c r="AO56" s="101">
        <f>テーブル4[[#This Row],[半径方向応力:Δ+10℃]]* (1+(寸法→圧入力!D$34/寸法→圧入力!F$33)^2)/((寸法→圧入力!D$34/寸法→圧入力!F$33)^2-1)</f>
        <v>27.967136069007068</v>
      </c>
      <c r="AP56" s="101">
        <f>テーブル4[[#This Row],[半径方向応力:Δ+20℃]]* (1+(寸法→圧入力!D$34/寸法→圧入力!F$33)^2)/((寸法→圧入力!D$34/寸法→圧入力!F$33)^2-1)</f>
        <v>18.293692813373273</v>
      </c>
      <c r="AQ56" s="101">
        <f>テーブル4[[#This Row],[半径方向応力:Δ+30℃]]* (1+(寸法→圧入力!D$34/寸法→圧入力!F$33)^2)/((寸法→圧入力!D$34/寸法→圧入力!F$33)^2-1)</f>
        <v>8.6202495577467655</v>
      </c>
      <c r="AR56" s="101">
        <f>寸法→圧入力!$D$39</f>
        <v>150</v>
      </c>
    </row>
  </sheetData>
  <phoneticPr fontId="1"/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A1305-7535-4704-B2ED-6CA73D7FA876}">
  <sheetPr>
    <outlinePr summaryBelow="0"/>
  </sheetPr>
  <dimension ref="A2:G93"/>
  <sheetViews>
    <sheetView zoomScale="80" zoomScaleNormal="80" workbookViewId="0">
      <selection activeCell="G23" sqref="G23"/>
    </sheetView>
  </sheetViews>
  <sheetFormatPr defaultRowHeight="17.649999999999999"/>
  <cols>
    <col min="1" max="1" width="9" style="88"/>
    <col min="2" max="2" width="8.25" style="88" bestFit="1" customWidth="1"/>
    <col min="3" max="3" width="34.625" style="88" bestFit="1" customWidth="1"/>
    <col min="4" max="6" width="10.5625" style="88" customWidth="1"/>
    <col min="7" max="7" width="9" style="3"/>
    <col min="8" max="8" width="9.25" style="88" bestFit="1" customWidth="1"/>
    <col min="9" max="16384" width="9" style="88"/>
  </cols>
  <sheetData>
    <row r="2" spans="1:7" ht="25.9" customHeight="1">
      <c r="A2" s="97" t="s">
        <v>123</v>
      </c>
      <c r="B2" s="112"/>
      <c r="C2" s="112"/>
      <c r="D2" s="112"/>
      <c r="E2" s="112"/>
      <c r="F2" s="112"/>
    </row>
    <row r="3" spans="1:7" ht="25.9">
      <c r="A3" s="114" t="s">
        <v>156</v>
      </c>
      <c r="B3" s="113"/>
      <c r="C3" s="113"/>
      <c r="D3" s="113"/>
      <c r="E3" s="113"/>
      <c r="F3" s="113"/>
    </row>
    <row r="4" spans="1:7">
      <c r="B4" s="85"/>
      <c r="C4" s="89"/>
      <c r="D4" s="128" t="s">
        <v>59</v>
      </c>
      <c r="E4" s="128" t="s">
        <v>58</v>
      </c>
      <c r="F4" s="128" t="s">
        <v>60</v>
      </c>
    </row>
    <row r="5" spans="1:7">
      <c r="B5" s="87" t="s">
        <v>39</v>
      </c>
      <c r="C5" s="89" t="s">
        <v>135</v>
      </c>
      <c r="D5" s="203">
        <v>45</v>
      </c>
      <c r="E5" s="203"/>
      <c r="F5" s="203"/>
      <c r="G5" s="3" t="s">
        <v>115</v>
      </c>
    </row>
    <row r="6" spans="1:7">
      <c r="B6" s="87"/>
      <c r="C6" s="91" t="s">
        <v>3</v>
      </c>
      <c r="D6" s="82">
        <v>0.1</v>
      </c>
      <c r="E6" s="82">
        <v>0.11</v>
      </c>
      <c r="F6" s="82">
        <v>0.12</v>
      </c>
      <c r="G6" s="3" t="s">
        <v>115</v>
      </c>
    </row>
    <row r="7" spans="1:7">
      <c r="B7" s="87"/>
      <c r="C7" s="91" t="s">
        <v>125</v>
      </c>
      <c r="D7" s="82">
        <v>-20</v>
      </c>
      <c r="E7" s="82">
        <v>0</v>
      </c>
      <c r="F7" s="82">
        <v>20</v>
      </c>
      <c r="G7" s="3" t="s">
        <v>115</v>
      </c>
    </row>
    <row r="8" spans="1:7">
      <c r="B8" s="85"/>
      <c r="C8" s="86" t="s">
        <v>149</v>
      </c>
      <c r="D8" s="94">
        <f>IF(D41&gt;=D32,
IF(F43-F34&lt;=F7,F43-F7,F34),
IF(D43-D34&gt;=F7,D43-F7,D34)
)</f>
        <v>130</v>
      </c>
      <c r="E8" s="106" t="s">
        <v>131</v>
      </c>
      <c r="F8" s="100">
        <f>IF(D41&gt;=D32,
IF(D43-D34&lt;=D7, D34, D43-D7),
IF(F43-F34&gt;=D7,  F34,  F43-D7)
)</f>
        <v>-20</v>
      </c>
    </row>
    <row r="9" spans="1:7">
      <c r="B9" s="85"/>
      <c r="C9" s="86" t="s">
        <v>150</v>
      </c>
      <c r="D9" s="94">
        <f>IF(D41&gt;=D32,
IF(F43-F34&lt;=F7,F43,F34+F7),
IF(D43-D34&gt;=F7,D43,D34+F7)
)</f>
        <v>150</v>
      </c>
      <c r="E9" s="106" t="s">
        <v>131</v>
      </c>
      <c r="F9" s="100">
        <f>IF(D41&gt;=D32,
IF(D43-D34&lt;=D7, D34+D7, D43),
IF(F43-F34&gt;=D7,  F34+D7, F43)
)</f>
        <v>-40</v>
      </c>
    </row>
    <row r="10" spans="1:7">
      <c r="B10" s="85"/>
      <c r="C10" s="86" t="s">
        <v>151</v>
      </c>
      <c r="D10" s="107">
        <f>((D8-20)*D32-(D9-20)*D41)*10^-6</f>
        <v>-1.3549999999999999E-3</v>
      </c>
      <c r="E10" s="107" t="s">
        <v>131</v>
      </c>
      <c r="F10" s="107">
        <f>((F8-20)*D32-(F9-20)*D41)*10^-6</f>
        <v>7.5999999999999993E-4</v>
      </c>
    </row>
    <row r="11" spans="1:7">
      <c r="B11" s="85"/>
      <c r="C11" s="85" t="s">
        <v>134</v>
      </c>
      <c r="D11" s="7">
        <v>14.6</v>
      </c>
      <c r="E11" s="7">
        <f>(F11+D11)/2</f>
        <v>14.8</v>
      </c>
      <c r="F11" s="7">
        <v>15</v>
      </c>
      <c r="G11" s="3" t="s">
        <v>115</v>
      </c>
    </row>
    <row r="12" spans="1:7">
      <c r="B12" s="85"/>
      <c r="C12" s="85" t="s">
        <v>274</v>
      </c>
      <c r="D12" s="125">
        <v>100</v>
      </c>
      <c r="E12" s="125">
        <v>200</v>
      </c>
      <c r="F12" s="125">
        <v>300</v>
      </c>
      <c r="G12" s="3" t="s">
        <v>115</v>
      </c>
    </row>
    <row r="13" spans="1:7">
      <c r="B13" s="85"/>
      <c r="C13" s="85" t="s">
        <v>133</v>
      </c>
      <c r="D13" s="100">
        <f>(D11*2*PI()*(D5/2)) - F12</f>
        <v>1764.0263734084938</v>
      </c>
      <c r="E13" s="100">
        <f>(E11*2*PI()*(D5/2)) - E12</f>
        <v>1892.3007072908022</v>
      </c>
      <c r="F13" s="100">
        <f>(F11*2*PI()*(D5/2)) - D12</f>
        <v>2020.5750411731101</v>
      </c>
    </row>
    <row r="14" spans="1:7">
      <c r="B14" s="85"/>
      <c r="C14" s="85" t="s">
        <v>130</v>
      </c>
      <c r="D14" s="7">
        <v>1500</v>
      </c>
      <c r="E14" s="7">
        <f>(D14+F14)/2</f>
        <v>1750</v>
      </c>
      <c r="F14" s="7">
        <v>2000</v>
      </c>
      <c r="G14" s="3" t="s">
        <v>115</v>
      </c>
    </row>
    <row r="15" spans="1:7" ht="25.9">
      <c r="A15" s="97" t="s">
        <v>126</v>
      </c>
    </row>
    <row r="16" spans="1:7" ht="25.9">
      <c r="A16" s="97" t="s">
        <v>155</v>
      </c>
      <c r="B16" s="96"/>
      <c r="C16" s="92"/>
      <c r="D16" s="83"/>
      <c r="E16" s="83"/>
      <c r="F16" s="83"/>
    </row>
    <row r="17" spans="1:7">
      <c r="B17" s="87" t="s">
        <v>39</v>
      </c>
      <c r="C17" s="89" t="s">
        <v>127</v>
      </c>
      <c r="D17" s="212">
        <v>1.23</v>
      </c>
      <c r="E17" s="213"/>
      <c r="F17" s="214"/>
      <c r="G17" s="3" t="s">
        <v>115</v>
      </c>
    </row>
    <row r="18" spans="1:7">
      <c r="B18" s="87"/>
      <c r="C18" s="91" t="s">
        <v>128</v>
      </c>
      <c r="D18" s="215">
        <v>50</v>
      </c>
      <c r="E18" s="216"/>
      <c r="F18" s="217"/>
      <c r="G18" s="3" t="s">
        <v>115</v>
      </c>
    </row>
    <row r="19" spans="1:7">
      <c r="B19" s="87"/>
      <c r="C19" s="91" t="s">
        <v>132</v>
      </c>
      <c r="D19" s="209">
        <f>D17*D18*9.81</f>
        <v>603.31500000000005</v>
      </c>
      <c r="E19" s="210"/>
      <c r="F19" s="211"/>
    </row>
    <row r="20" spans="1:7">
      <c r="B20" s="87"/>
      <c r="C20" s="91" t="s">
        <v>271</v>
      </c>
      <c r="D20" s="208">
        <v>200</v>
      </c>
      <c r="E20" s="208"/>
      <c r="F20" s="208"/>
      <c r="G20" s="3" t="s">
        <v>115</v>
      </c>
    </row>
    <row r="21" spans="1:7">
      <c r="B21" s="85"/>
      <c r="C21" s="91" t="s">
        <v>141</v>
      </c>
      <c r="D21" s="209">
        <f>D19+D20</f>
        <v>803.31500000000005</v>
      </c>
      <c r="E21" s="210"/>
      <c r="F21" s="210"/>
    </row>
    <row r="22" spans="1:7" s="132" customFormat="1">
      <c r="B22" s="86"/>
      <c r="C22" s="90" t="s">
        <v>270</v>
      </c>
      <c r="D22" s="219">
        <v>10</v>
      </c>
      <c r="E22" s="219"/>
      <c r="F22" s="219"/>
      <c r="G22" s="3" t="s">
        <v>115</v>
      </c>
    </row>
    <row r="23" spans="1:7" s="132" customFormat="1">
      <c r="B23" s="86"/>
      <c r="C23" s="90" t="s">
        <v>273</v>
      </c>
      <c r="D23" s="220">
        <f>D22/(2*PI()*D5/1000/2)</f>
        <v>70.735530263064589</v>
      </c>
      <c r="E23" s="221"/>
      <c r="F23" s="222"/>
      <c r="G23" s="133"/>
    </row>
    <row r="24" spans="1:7" s="132" customFormat="1">
      <c r="B24" s="86"/>
      <c r="C24" s="90" t="s">
        <v>272</v>
      </c>
      <c r="D24" s="218">
        <f>SQRT(D20^2+D23^2)</f>
        <v>212.1403196980643</v>
      </c>
      <c r="E24" s="218"/>
      <c r="F24" s="218"/>
    </row>
    <row r="25" spans="1:7" s="132" customFormat="1">
      <c r="B25" s="167"/>
      <c r="C25" s="168"/>
      <c r="D25"/>
      <c r="E25"/>
      <c r="F25"/>
    </row>
    <row r="26" spans="1:7" ht="25.9">
      <c r="A26" s="97" t="s">
        <v>121</v>
      </c>
      <c r="D26"/>
      <c r="E26"/>
      <c r="F26"/>
    </row>
    <row r="27" spans="1:7" ht="25.9">
      <c r="A27" s="97" t="s">
        <v>157</v>
      </c>
    </row>
    <row r="28" spans="1:7">
      <c r="B28" s="85"/>
      <c r="C28" s="89" t="s">
        <v>104</v>
      </c>
      <c r="D28" s="7">
        <f>E28-0.1</f>
        <v>29.9</v>
      </c>
      <c r="E28" s="7">
        <v>30</v>
      </c>
      <c r="F28" s="7">
        <f>E28+0.1</f>
        <v>30.1</v>
      </c>
    </row>
    <row r="29" spans="1:7">
      <c r="B29" s="85"/>
      <c r="C29" s="89" t="s">
        <v>69</v>
      </c>
      <c r="D29" s="203" t="s">
        <v>108</v>
      </c>
      <c r="E29" s="203"/>
      <c r="F29" s="203"/>
    </row>
    <row r="30" spans="1:7">
      <c r="B30" s="85"/>
      <c r="C30" s="89" t="s">
        <v>114</v>
      </c>
      <c r="D30" s="197" cm="1">
        <f t="array" ref="D30">INDEX(Youngs_Modulus_List, MATCH(D29,Material_List, 0))</f>
        <v>208000</v>
      </c>
      <c r="E30" s="197"/>
      <c r="F30" s="197"/>
    </row>
    <row r="31" spans="1:7">
      <c r="B31" s="85"/>
      <c r="C31" s="89" t="s">
        <v>70</v>
      </c>
      <c r="D31" s="197" cm="1">
        <f t="array" ref="D31">INDEX(Poissons_Ratio_List, MATCH(D29,Material_List, 0))</f>
        <v>0.3</v>
      </c>
      <c r="E31" s="197"/>
      <c r="F31" s="197"/>
    </row>
    <row r="32" spans="1:7">
      <c r="B32" s="85"/>
      <c r="C32" s="89" t="s">
        <v>71</v>
      </c>
      <c r="D32" s="197" cm="1">
        <f t="array" ref="D32">INDEX(Linear_Expansion_Coefficient_List, MATCH(D29,Material_List, 0))</f>
        <v>12.5</v>
      </c>
      <c r="E32" s="197"/>
      <c r="F32" s="197"/>
    </row>
    <row r="33" spans="1:7">
      <c r="B33" s="85"/>
      <c r="C33" s="89" t="s">
        <v>73</v>
      </c>
      <c r="D33" s="197" cm="1">
        <f t="array" ref="D33">INDEX(Yield_Point_List, MATCH(D29,Material_List, 0))</f>
        <v>785</v>
      </c>
      <c r="E33" s="197"/>
      <c r="F33" s="197"/>
    </row>
    <row r="34" spans="1:7">
      <c r="B34" s="85"/>
      <c r="C34" s="89" t="s">
        <v>148</v>
      </c>
      <c r="D34" s="110">
        <v>-40</v>
      </c>
      <c r="E34" s="110">
        <v>0</v>
      </c>
      <c r="F34" s="110">
        <v>150</v>
      </c>
    </row>
    <row r="35" spans="1:7" ht="25.9">
      <c r="A35" s="97" t="s">
        <v>122</v>
      </c>
    </row>
    <row r="36" spans="1:7" ht="25.9">
      <c r="A36" s="97" t="s">
        <v>158</v>
      </c>
    </row>
    <row r="37" spans="1:7">
      <c r="B37" s="85"/>
      <c r="C37" s="89" t="s">
        <v>74</v>
      </c>
      <c r="D37" s="7">
        <v>59</v>
      </c>
      <c r="E37" s="7">
        <v>60</v>
      </c>
      <c r="F37" s="7">
        <v>61</v>
      </c>
    </row>
    <row r="38" spans="1:7">
      <c r="B38" s="85"/>
      <c r="C38" s="89" t="s">
        <v>69</v>
      </c>
      <c r="D38" s="203" t="s">
        <v>110</v>
      </c>
      <c r="E38" s="203"/>
      <c r="F38" s="203"/>
    </row>
    <row r="39" spans="1:7">
      <c r="B39" s="85"/>
      <c r="C39" s="89" t="s">
        <v>114</v>
      </c>
      <c r="D39" s="197" cm="1">
        <f t="array" ref="D39">INDEX(Youngs_Modulus_List, MATCH(D38,Material_List, 0))</f>
        <v>71000</v>
      </c>
      <c r="E39" s="197"/>
      <c r="F39" s="197"/>
    </row>
    <row r="40" spans="1:7">
      <c r="B40" s="85"/>
      <c r="C40" s="89" t="s">
        <v>70</v>
      </c>
      <c r="D40" s="197" cm="1">
        <f t="array" ref="D40">INDEX(Poissons_Ratio_List, MATCH(D38,Material_List, 0))</f>
        <v>0.33</v>
      </c>
      <c r="E40" s="197"/>
      <c r="F40" s="197"/>
    </row>
    <row r="41" spans="1:7">
      <c r="B41" s="85"/>
      <c r="C41" s="89" t="s">
        <v>71</v>
      </c>
      <c r="D41" s="197" cm="1">
        <f t="array" ref="D41">INDEX(Linear_Expansion_Coefficient_List, MATCH(D38,Material_List, 0))</f>
        <v>21</v>
      </c>
      <c r="E41" s="197"/>
      <c r="F41" s="197"/>
    </row>
    <row r="42" spans="1:7">
      <c r="B42" s="85"/>
      <c r="C42" s="89" t="s">
        <v>73</v>
      </c>
      <c r="D42" s="197" cm="1">
        <f t="array" ref="D42">INDEX(Yield_Point_List, MATCH(D38,Material_List, 0))</f>
        <v>150</v>
      </c>
      <c r="E42" s="197"/>
      <c r="F42" s="197"/>
    </row>
    <row r="43" spans="1:7">
      <c r="B43" s="85"/>
      <c r="C43" s="89" t="s">
        <v>148</v>
      </c>
      <c r="D43" s="111">
        <v>-40</v>
      </c>
      <c r="E43" s="111">
        <v>20</v>
      </c>
      <c r="F43" s="111">
        <v>150</v>
      </c>
    </row>
    <row r="44" spans="1:7" ht="25.9">
      <c r="A44" s="97" t="s">
        <v>138</v>
      </c>
    </row>
    <row r="45" spans="1:7" ht="25.9">
      <c r="A45" s="97" t="s">
        <v>159</v>
      </c>
    </row>
    <row r="46" spans="1:7">
      <c r="B46" s="85"/>
      <c r="C46" s="85" t="s">
        <v>124</v>
      </c>
      <c r="D46" s="203">
        <v>2</v>
      </c>
      <c r="E46" s="203"/>
      <c r="F46" s="203"/>
      <c r="G46" s="3" t="s">
        <v>115</v>
      </c>
    </row>
    <row r="47" spans="1:7">
      <c r="B47" s="85"/>
      <c r="C47" s="85" t="s">
        <v>153</v>
      </c>
      <c r="D47" s="203">
        <v>2</v>
      </c>
      <c r="E47" s="203"/>
      <c r="F47" s="203"/>
      <c r="G47" s="3" t="s">
        <v>115</v>
      </c>
    </row>
    <row r="48" spans="1:7">
      <c r="B48" s="85"/>
      <c r="C48" s="85" t="s">
        <v>129</v>
      </c>
      <c r="D48" s="203">
        <v>2</v>
      </c>
      <c r="E48" s="203"/>
      <c r="F48" s="203"/>
      <c r="G48" s="3" t="s">
        <v>115</v>
      </c>
    </row>
    <row r="49" spans="1:6" ht="25.9">
      <c r="A49" s="97" t="s">
        <v>139</v>
      </c>
    </row>
    <row r="50" spans="1:6" ht="25.9">
      <c r="A50" s="97" t="s">
        <v>160</v>
      </c>
    </row>
    <row r="51" spans="1:6">
      <c r="B51" s="85"/>
      <c r="C51" s="85" t="s">
        <v>143</v>
      </c>
      <c r="D51" s="125" t="s">
        <v>131</v>
      </c>
      <c r="E51" s="125" t="s">
        <v>131</v>
      </c>
      <c r="F51" s="115">
        <f>MIN(D33,D42)/D46</f>
        <v>75</v>
      </c>
    </row>
    <row r="52" spans="1:6">
      <c r="B52" s="85"/>
      <c r="C52" s="85" t="s">
        <v>163</v>
      </c>
      <c r="D52" s="125" t="s">
        <v>131</v>
      </c>
      <c r="E52" s="125" t="s">
        <v>131</v>
      </c>
      <c r="F52" s="116">
        <f xml:space="preserve">
(F51*D5)/(1/
((D5^2+F28^2)/(D5^2-F28^2)/D30)
+((D37^2+D5^2)/(D37^2-D5^2)/D39)
-(D31/D30)+(D40/D39)
)</f>
        <v>4.2501233697376843E-2</v>
      </c>
    </row>
    <row r="53" spans="1:6">
      <c r="B53" s="85"/>
      <c r="C53" s="85" t="s">
        <v>164</v>
      </c>
      <c r="D53" s="125" t="s">
        <v>131</v>
      </c>
      <c r="E53" s="125" t="s">
        <v>131</v>
      </c>
      <c r="F53" s="116">
        <f>F52-F10</f>
        <v>4.1741233697376846E-2</v>
      </c>
    </row>
    <row r="54" spans="1:6" ht="25.9">
      <c r="A54" s="97" t="s">
        <v>142</v>
      </c>
    </row>
    <row r="55" spans="1:6" ht="25.9">
      <c r="A55" s="97" t="s">
        <v>161</v>
      </c>
    </row>
    <row r="56" spans="1:6">
      <c r="B56" s="85"/>
      <c r="C56" s="85" t="s">
        <v>165</v>
      </c>
      <c r="D56" s="98">
        <f>D24*D47</f>
        <v>424.28063939612861</v>
      </c>
      <c r="E56" s="125" t="s">
        <v>131</v>
      </c>
      <c r="F56" s="125" t="s">
        <v>131</v>
      </c>
    </row>
    <row r="57" spans="1:6">
      <c r="B57" s="85"/>
      <c r="C57" s="85" t="s">
        <v>166</v>
      </c>
      <c r="D57" s="100">
        <f>D56/D6</f>
        <v>4242.8063939612857</v>
      </c>
      <c r="E57" s="125" t="s">
        <v>131</v>
      </c>
      <c r="F57" s="125" t="s">
        <v>131</v>
      </c>
    </row>
    <row r="58" spans="1:6">
      <c r="B58" s="85"/>
      <c r="C58" s="85" t="s">
        <v>167</v>
      </c>
      <c r="D58" s="99">
        <f>D57/D13</f>
        <v>2.4051830845154738</v>
      </c>
      <c r="E58" s="125" t="s">
        <v>131</v>
      </c>
      <c r="F58" s="125" t="s">
        <v>131</v>
      </c>
    </row>
    <row r="59" spans="1:6">
      <c r="B59" s="85"/>
      <c r="C59" s="85" t="s">
        <v>168</v>
      </c>
      <c r="D59" s="104">
        <f xml:space="preserve">
(D58*D5)/(1/
((D5^2+F28^2)/(D5^2-F28^2)/D30)
+((D37^2+D5^2)/(D37^2-D5^2)/D39)
-(D31/D30)+(D40/D39)
)</f>
        <v>1.3629766447995977E-3</v>
      </c>
      <c r="E59" s="125" t="s">
        <v>131</v>
      </c>
      <c r="F59" s="125" t="s">
        <v>131</v>
      </c>
    </row>
    <row r="60" spans="1:6">
      <c r="B60" s="85"/>
      <c r="C60" s="85" t="s">
        <v>169</v>
      </c>
      <c r="D60" s="109">
        <f>D59-D10</f>
        <v>2.7179766447995978E-3</v>
      </c>
      <c r="E60" s="125" t="s">
        <v>131</v>
      </c>
      <c r="F60" s="125" t="s">
        <v>131</v>
      </c>
    </row>
    <row r="61" spans="1:6" ht="25.9">
      <c r="A61" s="97" t="s">
        <v>144</v>
      </c>
    </row>
    <row r="62" spans="1:6" ht="25.9">
      <c r="A62" s="97" t="s">
        <v>162</v>
      </c>
      <c r="D62" s="3"/>
      <c r="E62" s="3"/>
    </row>
    <row r="63" spans="1:6">
      <c r="B63" s="85"/>
      <c r="C63" s="85" t="s">
        <v>147</v>
      </c>
      <c r="D63" s="125" t="s">
        <v>131</v>
      </c>
      <c r="E63" s="125" t="s">
        <v>131</v>
      </c>
      <c r="F63" s="94">
        <f>MIN(D33,D42)/D48</f>
        <v>75</v>
      </c>
    </row>
    <row r="64" spans="1:6">
      <c r="B64" s="85"/>
      <c r="C64" s="85" t="s">
        <v>146</v>
      </c>
      <c r="D64" s="125" t="s">
        <v>131</v>
      </c>
      <c r="E64" s="125" t="s">
        <v>131</v>
      </c>
      <c r="F64" s="94">
        <f>F63*D14</f>
        <v>112500</v>
      </c>
    </row>
    <row r="65" spans="1:7">
      <c r="B65" s="85"/>
      <c r="C65" s="85" t="s">
        <v>170</v>
      </c>
      <c r="D65" s="125" t="s">
        <v>131</v>
      </c>
      <c r="E65" s="125" t="s">
        <v>131</v>
      </c>
      <c r="F65" s="94">
        <f>F64/F6</f>
        <v>937500</v>
      </c>
    </row>
    <row r="66" spans="1:7">
      <c r="B66" s="85"/>
      <c r="C66" s="85" t="s">
        <v>145</v>
      </c>
      <c r="D66" s="125" t="s">
        <v>131</v>
      </c>
      <c r="E66" s="125" t="s">
        <v>131</v>
      </c>
      <c r="F66" s="115">
        <f>F65/F13</f>
        <v>463.97682882181107</v>
      </c>
    </row>
    <row r="67" spans="1:7">
      <c r="B67" s="85"/>
      <c r="C67" s="85" t="s">
        <v>171</v>
      </c>
      <c r="D67" s="125" t="s">
        <v>131</v>
      </c>
      <c r="E67" s="125" t="s">
        <v>131</v>
      </c>
      <c r="F67" s="119">
        <f xml:space="preserve">
(F66*D5)/(1/
((D5^2+F28^2)/(D5^2-F28^2)/D30)
+((D37^2+D5^2)/(D37^2-D5^2)/D39)
-(D31/D30)+(D40/D39)
)</f>
        <v>0.26292783509231471</v>
      </c>
    </row>
    <row r="68" spans="1:7" ht="25.9">
      <c r="A68" s="97" t="s">
        <v>178</v>
      </c>
    </row>
    <row r="69" spans="1:7">
      <c r="B69" s="85"/>
      <c r="C69" s="85" t="s">
        <v>154</v>
      </c>
      <c r="D69" s="118">
        <f>D60</f>
        <v>2.7179766447995978E-3</v>
      </c>
      <c r="E69" s="166" t="s">
        <v>131</v>
      </c>
      <c r="F69" s="117">
        <f>MIN(F53,F67)</f>
        <v>4.1741233697376846E-2</v>
      </c>
      <c r="G69" s="3" t="s">
        <v>117</v>
      </c>
    </row>
    <row r="70" spans="1:7">
      <c r="B70" s="85"/>
      <c r="C70" s="86" t="s">
        <v>137</v>
      </c>
      <c r="D70" s="120">
        <f xml:space="preserve">
(D69/D5)*(1/
((D5^2+F28^2)/(D5^2-F28^2)/D30)
+((D37^2+D5^2)/(D37^2-D5^2)/D39)
-(D31/D30)+(D40/D39)
)</f>
        <v>4.7962901456329075</v>
      </c>
      <c r="E70" s="126" t="s">
        <v>131</v>
      </c>
      <c r="F70" s="95">
        <f xml:space="preserve">
(F69/D5)*(1/
((D5^2+F28^2)/(D5^2-F28^2)/D30)
+((D37^2+D5^2)/(D37^2-D5^2)/D39)
-(D31/D30)+(D40/D39)
)</f>
        <v>73.658862460185063</v>
      </c>
    </row>
    <row r="71" spans="1:7">
      <c r="B71" s="85"/>
      <c r="C71" s="86" t="s">
        <v>175</v>
      </c>
      <c r="D71" s="123">
        <f>D70*D13*D6</f>
        <v>846.07823114157145</v>
      </c>
      <c r="E71" s="166" t="s">
        <v>131</v>
      </c>
      <c r="F71" s="123">
        <f>F70*F13*F6</f>
        <v>17859.991085790345</v>
      </c>
      <c r="G71" s="3" t="s">
        <v>117</v>
      </c>
    </row>
    <row r="72" spans="1:7">
      <c r="B72" s="85"/>
      <c r="C72" s="85" t="s">
        <v>140</v>
      </c>
      <c r="D72" s="121">
        <f>D69+D10</f>
        <v>1.3629766447995979E-3</v>
      </c>
      <c r="E72" s="126" t="s">
        <v>131</v>
      </c>
      <c r="F72" s="122">
        <f>F69+F10</f>
        <v>4.2501233697376843E-2</v>
      </c>
    </row>
    <row r="73" spans="1:7">
      <c r="B73" s="85"/>
      <c r="C73" s="86" t="s">
        <v>172</v>
      </c>
      <c r="D73" s="95">
        <f xml:space="preserve">
(D72/D5)*(1/
((D5^2+F28^2)/(D5^2-F28^2)/D30)
+((D37^2+D5^2)/(D37^2-D5^2)/D39)
-(D31/D30)+(D40/D39)
)</f>
        <v>2.4051830845154742</v>
      </c>
      <c r="E73" s="126" t="s">
        <v>131</v>
      </c>
      <c r="F73" s="95">
        <f xml:space="preserve">
(F72/D5)*(1/
((D5^2+F28^2)/(D5^2-F28^2)/D30)
+((D37^2+D5^2)/(D37^2-D5^2)/D39)
-(D31/D30)+(D40/D39)
)</f>
        <v>74.999999999999986</v>
      </c>
    </row>
    <row r="74" spans="1:7">
      <c r="B74" s="85"/>
      <c r="C74" s="86" t="s">
        <v>173</v>
      </c>
      <c r="D74" s="95">
        <f>D73*D13</f>
        <v>4242.8063939612866</v>
      </c>
      <c r="E74" s="126" t="s">
        <v>131</v>
      </c>
      <c r="F74" s="95">
        <f>F73*F13</f>
        <v>151543.12808798323</v>
      </c>
    </row>
    <row r="75" spans="1:7">
      <c r="B75" s="85"/>
      <c r="C75" s="86" t="s">
        <v>152</v>
      </c>
      <c r="D75" s="95">
        <f>D74*D6</f>
        <v>424.28063939612866</v>
      </c>
      <c r="E75" s="126" t="s">
        <v>131</v>
      </c>
      <c r="F75" s="95">
        <f>F74*F6</f>
        <v>18185.175370557987</v>
      </c>
    </row>
    <row r="76" spans="1:7">
      <c r="B76" s="85"/>
      <c r="C76" s="86" t="s">
        <v>176</v>
      </c>
      <c r="D76" s="115">
        <f>F71</f>
        <v>17859.991085790345</v>
      </c>
      <c r="E76" s="100" t="s">
        <v>131</v>
      </c>
      <c r="F76" s="115">
        <f>D76*2</f>
        <v>35719.98217158069</v>
      </c>
    </row>
    <row r="77" spans="1:7">
      <c r="B77" s="85"/>
      <c r="C77" s="86" t="s">
        <v>177</v>
      </c>
      <c r="D77" s="95">
        <f>D76/F14</f>
        <v>8.9299955428951723</v>
      </c>
      <c r="E77" s="126" t="s">
        <v>131</v>
      </c>
      <c r="F77" s="95">
        <f>F76/D14</f>
        <v>23.813321447720462</v>
      </c>
    </row>
    <row r="78" spans="1:7">
      <c r="B78" s="85"/>
      <c r="C78" s="85" t="s">
        <v>124</v>
      </c>
      <c r="D78" s="124">
        <f>MIN(D33,D42)/F73</f>
        <v>2.0000000000000004</v>
      </c>
      <c r="E78" s="105"/>
      <c r="F78" s="124">
        <f>MIN(D33,D42)/D73</f>
        <v>62.365314709594173</v>
      </c>
      <c r="G78" s="3" t="s">
        <v>117</v>
      </c>
    </row>
    <row r="79" spans="1:7">
      <c r="B79" s="85"/>
      <c r="C79" s="85" t="s">
        <v>174</v>
      </c>
      <c r="D79" s="124">
        <f>D75/D24</f>
        <v>2.0000000000000004</v>
      </c>
      <c r="E79" s="105"/>
      <c r="F79" s="124">
        <f>F75/D24</f>
        <v>85.72239071026496</v>
      </c>
      <c r="G79" s="3" t="s">
        <v>117</v>
      </c>
    </row>
    <row r="80" spans="1:7">
      <c r="B80" s="85"/>
      <c r="C80" s="85" t="s">
        <v>129</v>
      </c>
      <c r="D80" s="124">
        <f>MIN(D33,D42)/F77</f>
        <v>6.2989953051827969</v>
      </c>
      <c r="E80" s="105"/>
      <c r="F80" s="124">
        <f>MIN(D33,D42)/D77</f>
        <v>16.797320813820793</v>
      </c>
      <c r="G80" s="3" t="s">
        <v>117</v>
      </c>
    </row>
    <row r="81" spans="1:7" ht="25.9">
      <c r="A81" s="97" t="s">
        <v>179</v>
      </c>
      <c r="E81" s="3"/>
    </row>
    <row r="82" spans="1:7">
      <c r="C82" s="85" t="s">
        <v>154</v>
      </c>
      <c r="D82" s="85">
        <v>0.01</v>
      </c>
      <c r="E82" s="125" t="s">
        <v>180</v>
      </c>
      <c r="F82" s="85">
        <v>0.03</v>
      </c>
      <c r="G82" s="3" t="s">
        <v>115</v>
      </c>
    </row>
    <row r="83" spans="1:7">
      <c r="C83" s="86" t="s">
        <v>137</v>
      </c>
      <c r="D83" s="95">
        <f xml:space="preserve">
(D82/D5)*(1/
((D5^2+F28^2)/(D5^2-F28^2)/D30)
+((D37^2+D5^2)/(D37^2-D5^2)/D39)
-(D31/D30)+(D40/D39)
)</f>
        <v>17.646546576512428</v>
      </c>
      <c r="E83" s="99" t="s">
        <v>180</v>
      </c>
      <c r="F83" s="99">
        <f xml:space="preserve">
(F82/D5)*(1/
((D5^2+F28^2)/(D5^2-F28^2)/D30)
+((D37^2+D5^2)/(D37^2-D5^2)/D39)
-(D31/D30)+(D40/D39)
)</f>
        <v>52.939639729537284</v>
      </c>
    </row>
    <row r="84" spans="1:7">
      <c r="C84" s="86" t="s">
        <v>175</v>
      </c>
      <c r="D84" s="115">
        <f>D83*D13*D6</f>
        <v>3112.8973560549293</v>
      </c>
      <c r="E84" s="126" t="s">
        <v>180</v>
      </c>
      <c r="F84" s="115">
        <f>F83*F13*F6</f>
        <v>12836.221767143928</v>
      </c>
    </row>
    <row r="85" spans="1:7">
      <c r="C85" s="85" t="s">
        <v>140</v>
      </c>
      <c r="D85" s="121">
        <f>D82+D10</f>
        <v>8.6449999999999999E-3</v>
      </c>
      <c r="E85" s="109" t="s">
        <v>180</v>
      </c>
      <c r="F85" s="121">
        <f>F82+F10</f>
        <v>3.0759999999999999E-2</v>
      </c>
    </row>
    <row r="86" spans="1:7">
      <c r="C86" s="86" t="s">
        <v>172</v>
      </c>
      <c r="D86" s="95">
        <f xml:space="preserve">
(D85/D5)*(1/
((D5^2+F28^2)/(D5^2-F28^2)/D30)
+((D37^2+D5^2)/(D37^2-D5^2)/D39)
-(D31/D30)+(D40/D39)
)</f>
        <v>15.255439515394993</v>
      </c>
      <c r="E86" s="99" t="s">
        <v>180</v>
      </c>
      <c r="F86" s="95">
        <f xml:space="preserve">
(F85/D5)*(1/
((D5^2+F28^2)/(D5^2-F28^2)/D30)
+((D37^2+D5^2)/(D37^2-D5^2)/D39)
-(D31/D30)+(D40/D39)
)</f>
        <v>54.280777269352228</v>
      </c>
    </row>
    <row r="87" spans="1:7">
      <c r="C87" s="86" t="s">
        <v>173</v>
      </c>
      <c r="D87" s="115">
        <f>D86*D13</f>
        <v>26910.997643094859</v>
      </c>
      <c r="E87" s="100" t="s">
        <v>180</v>
      </c>
      <c r="F87" s="115">
        <f>F86*F13</f>
        <v>109678.3837659298</v>
      </c>
    </row>
    <row r="88" spans="1:7">
      <c r="C88" s="86" t="s">
        <v>152</v>
      </c>
      <c r="D88" s="115">
        <f>D87*D6</f>
        <v>2691.0997643094861</v>
      </c>
      <c r="E88" s="100" t="s">
        <v>180</v>
      </c>
      <c r="F88" s="115">
        <f>F87*F6</f>
        <v>13161.406051911576</v>
      </c>
    </row>
    <row r="89" spans="1:7">
      <c r="C89" s="86" t="s">
        <v>181</v>
      </c>
      <c r="D89" s="127">
        <v>21000</v>
      </c>
      <c r="E89" s="5" t="s">
        <v>180</v>
      </c>
      <c r="F89" s="127">
        <f>D89*1.1</f>
        <v>23100.000000000004</v>
      </c>
      <c r="G89" s="3" t="s">
        <v>115</v>
      </c>
    </row>
    <row r="90" spans="1:7">
      <c r="C90" s="86" t="s">
        <v>182</v>
      </c>
      <c r="D90" s="95">
        <f>D89/F14</f>
        <v>10.5</v>
      </c>
      <c r="E90" s="99" t="s">
        <v>180</v>
      </c>
      <c r="F90" s="95">
        <f>F89/D14</f>
        <v>15.400000000000002</v>
      </c>
    </row>
    <row r="91" spans="1:7">
      <c r="C91" s="85" t="s">
        <v>124</v>
      </c>
      <c r="D91" s="124">
        <f>MIN(D33,D42)/F86</f>
        <v>2.7634092130934231</v>
      </c>
      <c r="E91" s="105" t="s">
        <v>180</v>
      </c>
      <c r="F91" s="124">
        <f>MIN(D33,D42)/D86</f>
        <v>9.8325584030947013</v>
      </c>
      <c r="G91" s="3" t="s">
        <v>117</v>
      </c>
    </row>
    <row r="92" spans="1:7">
      <c r="C92" s="85" t="s">
        <v>174</v>
      </c>
      <c r="D92" s="124">
        <f>D88/D24</f>
        <v>12.685470485477172</v>
      </c>
      <c r="E92" s="105" t="s">
        <v>180</v>
      </c>
      <c r="F92" s="124">
        <f>F88/D24</f>
        <v>62.041039961870425</v>
      </c>
      <c r="G92" s="3" t="s">
        <v>117</v>
      </c>
    </row>
    <row r="93" spans="1:7">
      <c r="C93" s="85" t="s">
        <v>129</v>
      </c>
      <c r="D93" s="124">
        <f>MIN(D33,D42)/F90</f>
        <v>9.7402597402597397</v>
      </c>
      <c r="E93" s="105" t="s">
        <v>180</v>
      </c>
      <c r="F93" s="124">
        <f>MIN(D33,D42)/D90</f>
        <v>14.285714285714286</v>
      </c>
      <c r="G93" s="3" t="s">
        <v>117</v>
      </c>
    </row>
  </sheetData>
  <mergeCells count="22">
    <mergeCell ref="D30:F30"/>
    <mergeCell ref="D31:F31"/>
    <mergeCell ref="D32:F32"/>
    <mergeCell ref="D33:F33"/>
    <mergeCell ref="D5:F5"/>
    <mergeCell ref="D29:F29"/>
    <mergeCell ref="D17:F17"/>
    <mergeCell ref="D18:F18"/>
    <mergeCell ref="D19:F19"/>
    <mergeCell ref="D20:F20"/>
    <mergeCell ref="D24:F24"/>
    <mergeCell ref="D22:F22"/>
    <mergeCell ref="D23:F23"/>
    <mergeCell ref="D21:F21"/>
    <mergeCell ref="D47:F47"/>
    <mergeCell ref="D48:F48"/>
    <mergeCell ref="D46:F46"/>
    <mergeCell ref="D38:F38"/>
    <mergeCell ref="D39:F39"/>
    <mergeCell ref="D40:F40"/>
    <mergeCell ref="D41:F41"/>
    <mergeCell ref="D42:F42"/>
  </mergeCells>
  <phoneticPr fontId="1"/>
  <conditionalFormatting sqref="D38:F38">
    <cfRule type="cellIs" dxfId="86" priority="8" operator="equal">
      <formula>""</formula>
    </cfRule>
  </conditionalFormatting>
  <conditionalFormatting sqref="D29:F29">
    <cfRule type="cellIs" dxfId="85" priority="7" operator="equal">
      <formula>""</formula>
    </cfRule>
  </conditionalFormatting>
  <conditionalFormatting sqref="D28:F28">
    <cfRule type="cellIs" dxfId="84" priority="4" operator="equal">
      <formula>""</formula>
    </cfRule>
  </conditionalFormatting>
  <conditionalFormatting sqref="D28:F28">
    <cfRule type="cellIs" dxfId="83" priority="3" operator="greaterThan">
      <formula>$D$4</formula>
    </cfRule>
  </conditionalFormatting>
  <conditionalFormatting sqref="E89">
    <cfRule type="cellIs" dxfId="82" priority="2" operator="lessThan">
      <formula>E88+$D$88:$F$88</formula>
    </cfRule>
  </conditionalFormatting>
  <conditionalFormatting sqref="D89">
    <cfRule type="cellIs" dxfId="81" priority="1" operator="lessThan">
      <formula>$F$88</formula>
    </cfRule>
  </conditionalFormatting>
  <dataValidations disablePrompts="1" count="1">
    <dataValidation type="list" allowBlank="1" showInputMessage="1" showErrorMessage="1" sqref="D38:F38 D29:F29" xr:uid="{F26D0454-6192-4F3B-9685-8FF5257BBCE8}">
      <formula1>Material_List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3A8D8-3727-44A3-9E0E-E53B18A6B8A9}">
  <sheetPr>
    <outlinePr summaryBelow="0"/>
  </sheetPr>
  <dimension ref="A2:G93"/>
  <sheetViews>
    <sheetView zoomScale="80" zoomScaleNormal="80" workbookViewId="0">
      <selection activeCell="L30" sqref="L30"/>
    </sheetView>
  </sheetViews>
  <sheetFormatPr defaultRowHeight="17.649999999999999"/>
  <cols>
    <col min="1" max="1" width="9" style="88"/>
    <col min="2" max="2" width="8.25" style="88" bestFit="1" customWidth="1"/>
    <col min="3" max="3" width="34.625" style="88" bestFit="1" customWidth="1"/>
    <col min="4" max="6" width="10.5625" style="88" customWidth="1"/>
    <col min="7" max="7" width="9" style="3"/>
    <col min="8" max="8" width="9.25" style="88" bestFit="1" customWidth="1"/>
    <col min="9" max="16384" width="9" style="88"/>
  </cols>
  <sheetData>
    <row r="2" spans="1:7" ht="25.9" customHeight="1">
      <c r="A2" s="97" t="s">
        <v>123</v>
      </c>
      <c r="B2" s="112"/>
      <c r="C2" s="112"/>
      <c r="D2" s="112"/>
      <c r="E2" s="112"/>
      <c r="F2" s="112"/>
    </row>
    <row r="3" spans="1:7" ht="25.9">
      <c r="A3" s="114" t="s">
        <v>156</v>
      </c>
      <c r="B3" s="113"/>
      <c r="C3" s="113"/>
      <c r="D3" s="113"/>
      <c r="E3" s="113"/>
      <c r="F3" s="113"/>
    </row>
    <row r="4" spans="1:7">
      <c r="B4" s="85"/>
      <c r="C4" s="89"/>
      <c r="D4" s="128" t="s">
        <v>59</v>
      </c>
      <c r="E4" s="128" t="s">
        <v>58</v>
      </c>
      <c r="F4" s="128" t="s">
        <v>60</v>
      </c>
    </row>
    <row r="5" spans="1:7">
      <c r="B5" s="87" t="s">
        <v>39</v>
      </c>
      <c r="C5" s="89" t="s">
        <v>135</v>
      </c>
      <c r="D5" s="203">
        <v>45</v>
      </c>
      <c r="E5" s="203"/>
      <c r="F5" s="203"/>
      <c r="G5" s="3" t="s">
        <v>115</v>
      </c>
    </row>
    <row r="6" spans="1:7">
      <c r="B6" s="87"/>
      <c r="C6" s="91" t="s">
        <v>3</v>
      </c>
      <c r="D6" s="139">
        <v>0.1</v>
      </c>
      <c r="E6" s="139">
        <v>0.11</v>
      </c>
      <c r="F6" s="139">
        <v>0.12</v>
      </c>
      <c r="G6" s="3" t="s">
        <v>115</v>
      </c>
    </row>
    <row r="7" spans="1:7">
      <c r="B7" s="87"/>
      <c r="C7" s="91" t="s">
        <v>125</v>
      </c>
      <c r="D7" s="139">
        <v>-20</v>
      </c>
      <c r="E7" s="139">
        <v>0</v>
      </c>
      <c r="F7" s="139">
        <v>20</v>
      </c>
      <c r="G7" s="3" t="s">
        <v>115</v>
      </c>
    </row>
    <row r="8" spans="1:7">
      <c r="B8" s="85"/>
      <c r="C8" s="86" t="s">
        <v>149</v>
      </c>
      <c r="D8" s="94">
        <f>IF(D41&gt;=D32,
IF(F43-F34&lt;=F7,F43-F7,F34),
IF(D43-D34&gt;=F7,D43-F7,D34)
)</f>
        <v>130</v>
      </c>
      <c r="E8" s="131" t="s">
        <v>131</v>
      </c>
      <c r="F8" s="165">
        <f>IF(D41&gt;=D32,
IF(D43-D34&lt;=D7, D34, D43-D7),
IF(F43-F34&gt;=D7,  F34,  F43-D7)
)</f>
        <v>-20</v>
      </c>
    </row>
    <row r="9" spans="1:7">
      <c r="B9" s="85"/>
      <c r="C9" s="86" t="s">
        <v>150</v>
      </c>
      <c r="D9" s="94">
        <f>IF(D41&gt;=D32,
IF(F43-F34&lt;=F7,F43,F34+F7),
IF(D43-D34&gt;=F7,D43,D34+F7)
)</f>
        <v>150</v>
      </c>
      <c r="E9" s="131" t="s">
        <v>131</v>
      </c>
      <c r="F9" s="165">
        <f>IF(D41&gt;=D32,
IF(D43-D34&lt;=D7, D34+D7, D43),
IF(F43-F34&gt;=D7,  F34+D7, F43)
)</f>
        <v>-40</v>
      </c>
    </row>
    <row r="10" spans="1:7">
      <c r="B10" s="85"/>
      <c r="C10" s="86" t="s">
        <v>151</v>
      </c>
      <c r="D10" s="107">
        <f>((D8-20)*D32-(D9-20)*D41)*10^-6</f>
        <v>-1.3549999999999999E-3</v>
      </c>
      <c r="E10" s="107" t="s">
        <v>131</v>
      </c>
      <c r="F10" s="107">
        <f>((F8-20)*D32-(F9-20)*D41)*10^-6</f>
        <v>7.5999999999999993E-4</v>
      </c>
    </row>
    <row r="11" spans="1:7">
      <c r="B11" s="85"/>
      <c r="C11" s="85" t="s">
        <v>134</v>
      </c>
      <c r="D11" s="130">
        <v>14.6</v>
      </c>
      <c r="E11" s="130">
        <f>(F11+D11)/2</f>
        <v>14.8</v>
      </c>
      <c r="F11" s="130">
        <v>15</v>
      </c>
      <c r="G11" s="3" t="s">
        <v>115</v>
      </c>
    </row>
    <row r="12" spans="1:7">
      <c r="B12" s="85"/>
      <c r="C12" s="85" t="s">
        <v>274</v>
      </c>
      <c r="D12" s="130">
        <v>100</v>
      </c>
      <c r="E12" s="130">
        <v>200</v>
      </c>
      <c r="F12" s="130">
        <v>300</v>
      </c>
      <c r="G12" s="3" t="s">
        <v>115</v>
      </c>
    </row>
    <row r="13" spans="1:7">
      <c r="B13" s="85"/>
      <c r="C13" s="85" t="s">
        <v>133</v>
      </c>
      <c r="D13" s="165">
        <f>(D11*2*PI()*(D5/2)) - F12</f>
        <v>1764.0263734084938</v>
      </c>
      <c r="E13" s="165">
        <f>(E11*2*PI()*(D5/2)) - E12</f>
        <v>1892.3007072908022</v>
      </c>
      <c r="F13" s="165">
        <f>(F11*2*PI()*(D5/2)) - D12</f>
        <v>2020.5750411731101</v>
      </c>
    </row>
    <row r="14" spans="1:7">
      <c r="B14" s="85"/>
      <c r="C14" s="85" t="s">
        <v>130</v>
      </c>
      <c r="D14" s="130">
        <v>1500</v>
      </c>
      <c r="E14" s="130">
        <f>(D14+F14)/2</f>
        <v>1750</v>
      </c>
      <c r="F14" s="130">
        <v>2000</v>
      </c>
      <c r="G14" s="3" t="s">
        <v>115</v>
      </c>
    </row>
    <row r="15" spans="1:7" ht="25.9">
      <c r="A15" s="97" t="s">
        <v>126</v>
      </c>
    </row>
    <row r="16" spans="1:7" ht="25.9">
      <c r="A16" s="97" t="s">
        <v>155</v>
      </c>
      <c r="B16" s="96"/>
      <c r="C16" s="92"/>
      <c r="D16" s="83"/>
      <c r="E16" s="83"/>
      <c r="F16" s="83"/>
    </row>
    <row r="17" spans="1:7">
      <c r="B17" s="87" t="s">
        <v>39</v>
      </c>
      <c r="C17" s="89" t="s">
        <v>127</v>
      </c>
      <c r="D17" s="212">
        <v>1.23</v>
      </c>
      <c r="E17" s="213"/>
      <c r="F17" s="214"/>
      <c r="G17" s="3" t="s">
        <v>115</v>
      </c>
    </row>
    <row r="18" spans="1:7">
      <c r="B18" s="87"/>
      <c r="C18" s="91" t="s">
        <v>128</v>
      </c>
      <c r="D18" s="215">
        <v>50</v>
      </c>
      <c r="E18" s="216"/>
      <c r="F18" s="217"/>
      <c r="G18" s="3" t="s">
        <v>115</v>
      </c>
    </row>
    <row r="19" spans="1:7">
      <c r="B19" s="87"/>
      <c r="C19" s="91" t="s">
        <v>132</v>
      </c>
      <c r="D19" s="209">
        <f>D17*D18*9.81</f>
        <v>603.31500000000005</v>
      </c>
      <c r="E19" s="210"/>
      <c r="F19" s="211"/>
    </row>
    <row r="20" spans="1:7">
      <c r="B20" s="87"/>
      <c r="C20" s="91" t="s">
        <v>271</v>
      </c>
      <c r="D20" s="208">
        <v>200</v>
      </c>
      <c r="E20" s="208"/>
      <c r="F20" s="208"/>
      <c r="G20" s="3" t="s">
        <v>115</v>
      </c>
    </row>
    <row r="21" spans="1:7">
      <c r="B21" s="85"/>
      <c r="C21" s="91" t="s">
        <v>141</v>
      </c>
      <c r="D21" s="209">
        <f>D19+D20</f>
        <v>803.31500000000005</v>
      </c>
      <c r="E21" s="210"/>
      <c r="F21" s="210"/>
    </row>
    <row r="22" spans="1:7" s="132" customFormat="1">
      <c r="B22" s="86"/>
      <c r="C22" s="90" t="s">
        <v>270</v>
      </c>
      <c r="D22" s="219">
        <v>10</v>
      </c>
      <c r="E22" s="219"/>
      <c r="F22" s="219"/>
      <c r="G22" s="3" t="s">
        <v>115</v>
      </c>
    </row>
    <row r="23" spans="1:7" s="132" customFormat="1">
      <c r="B23" s="86"/>
      <c r="C23" s="90" t="s">
        <v>273</v>
      </c>
      <c r="D23" s="220">
        <f>D22/(2*PI()*D5/1000/2)</f>
        <v>70.735530263064589</v>
      </c>
      <c r="E23" s="221"/>
      <c r="F23" s="222"/>
      <c r="G23" s="133"/>
    </row>
    <row r="24" spans="1:7" s="132" customFormat="1">
      <c r="B24" s="86"/>
      <c r="C24" s="90" t="s">
        <v>272</v>
      </c>
      <c r="D24" s="218">
        <f>SQRT(D20^2+D23^2)</f>
        <v>212.1403196980643</v>
      </c>
      <c r="E24" s="218"/>
      <c r="F24" s="218"/>
    </row>
    <row r="25" spans="1:7" s="132" customFormat="1">
      <c r="B25" s="167"/>
      <c r="C25" s="168"/>
      <c r="D25"/>
      <c r="E25"/>
      <c r="F25"/>
    </row>
    <row r="26" spans="1:7" ht="25.9">
      <c r="A26" s="97" t="s">
        <v>121</v>
      </c>
      <c r="D26"/>
      <c r="E26"/>
      <c r="F26"/>
    </row>
    <row r="27" spans="1:7" ht="25.9">
      <c r="A27" s="97" t="s">
        <v>157</v>
      </c>
    </row>
    <row r="28" spans="1:7">
      <c r="B28" s="85"/>
      <c r="C28" s="89" t="s">
        <v>104</v>
      </c>
      <c r="D28" s="130">
        <f>E28-0.1</f>
        <v>29.9</v>
      </c>
      <c r="E28" s="130">
        <v>30</v>
      </c>
      <c r="F28" s="130">
        <f>E28+0.1</f>
        <v>30.1</v>
      </c>
    </row>
    <row r="29" spans="1:7">
      <c r="B29" s="85"/>
      <c r="C29" s="89" t="s">
        <v>69</v>
      </c>
      <c r="D29" s="203" t="s">
        <v>108</v>
      </c>
      <c r="E29" s="203"/>
      <c r="F29" s="203"/>
    </row>
    <row r="30" spans="1:7">
      <c r="B30" s="85"/>
      <c r="C30" s="89" t="s">
        <v>114</v>
      </c>
      <c r="D30" s="197" cm="1">
        <f t="array" ref="D30">INDEX(Youngs_Modulus_List, MATCH(D29,Material_List, 0))</f>
        <v>208000</v>
      </c>
      <c r="E30" s="197"/>
      <c r="F30" s="197"/>
    </row>
    <row r="31" spans="1:7">
      <c r="B31" s="85"/>
      <c r="C31" s="89" t="s">
        <v>70</v>
      </c>
      <c r="D31" s="197" cm="1">
        <f t="array" ref="D31">INDEX(Poissons_Ratio_List, MATCH(D29,Material_List, 0))</f>
        <v>0.3</v>
      </c>
      <c r="E31" s="197"/>
      <c r="F31" s="197"/>
    </row>
    <row r="32" spans="1:7">
      <c r="B32" s="85"/>
      <c r="C32" s="89" t="s">
        <v>71</v>
      </c>
      <c r="D32" s="197" cm="1">
        <f t="array" ref="D32">INDEX(Linear_Expansion_Coefficient_List, MATCH(D29,Material_List, 0))</f>
        <v>12.5</v>
      </c>
      <c r="E32" s="197"/>
      <c r="F32" s="197"/>
    </row>
    <row r="33" spans="1:7">
      <c r="B33" s="85"/>
      <c r="C33" s="89" t="s">
        <v>73</v>
      </c>
      <c r="D33" s="197" cm="1">
        <f t="array" ref="D33">INDEX(Yield_Point_List, MATCH(D29,Material_List, 0))</f>
        <v>785</v>
      </c>
      <c r="E33" s="197"/>
      <c r="F33" s="197"/>
    </row>
    <row r="34" spans="1:7">
      <c r="B34" s="85"/>
      <c r="C34" s="89" t="s">
        <v>148</v>
      </c>
      <c r="D34" s="140">
        <v>-40</v>
      </c>
      <c r="E34" s="140">
        <v>0</v>
      </c>
      <c r="F34" s="140">
        <v>150</v>
      </c>
    </row>
    <row r="35" spans="1:7" ht="25.9">
      <c r="A35" s="97" t="s">
        <v>122</v>
      </c>
    </row>
    <row r="36" spans="1:7" ht="25.9">
      <c r="A36" s="97" t="s">
        <v>158</v>
      </c>
    </row>
    <row r="37" spans="1:7">
      <c r="B37" s="85"/>
      <c r="C37" s="89" t="s">
        <v>74</v>
      </c>
      <c r="D37" s="130">
        <v>59</v>
      </c>
      <c r="E37" s="130">
        <v>60</v>
      </c>
      <c r="F37" s="130">
        <v>61</v>
      </c>
    </row>
    <row r="38" spans="1:7">
      <c r="B38" s="85"/>
      <c r="C38" s="89" t="s">
        <v>69</v>
      </c>
      <c r="D38" s="203" t="s">
        <v>110</v>
      </c>
      <c r="E38" s="203"/>
      <c r="F38" s="203"/>
    </row>
    <row r="39" spans="1:7">
      <c r="B39" s="85"/>
      <c r="C39" s="89" t="s">
        <v>114</v>
      </c>
      <c r="D39" s="197" cm="1">
        <f t="array" ref="D39">INDEX(Youngs_Modulus_List, MATCH(D38,Material_List, 0))</f>
        <v>71000</v>
      </c>
      <c r="E39" s="197"/>
      <c r="F39" s="197"/>
    </row>
    <row r="40" spans="1:7">
      <c r="B40" s="85"/>
      <c r="C40" s="89" t="s">
        <v>70</v>
      </c>
      <c r="D40" s="197" cm="1">
        <f t="array" ref="D40">INDEX(Poissons_Ratio_List, MATCH(D38,Material_List, 0))</f>
        <v>0.33</v>
      </c>
      <c r="E40" s="197"/>
      <c r="F40" s="197"/>
    </row>
    <row r="41" spans="1:7">
      <c r="B41" s="85"/>
      <c r="C41" s="89" t="s">
        <v>71</v>
      </c>
      <c r="D41" s="197" cm="1">
        <f t="array" ref="D41">INDEX(Linear_Expansion_Coefficient_List, MATCH(D38,Material_List, 0))</f>
        <v>21</v>
      </c>
      <c r="E41" s="197"/>
      <c r="F41" s="197"/>
    </row>
    <row r="42" spans="1:7">
      <c r="B42" s="85"/>
      <c r="C42" s="89" t="s">
        <v>73</v>
      </c>
      <c r="D42" s="197" cm="1">
        <f t="array" ref="D42">INDEX(Yield_Point_List, MATCH(D38,Material_List, 0))</f>
        <v>150</v>
      </c>
      <c r="E42" s="197"/>
      <c r="F42" s="197"/>
    </row>
    <row r="43" spans="1:7">
      <c r="B43" s="85"/>
      <c r="C43" s="89" t="s">
        <v>148</v>
      </c>
      <c r="D43" s="111">
        <v>-40</v>
      </c>
      <c r="E43" s="111">
        <v>20</v>
      </c>
      <c r="F43" s="111">
        <v>150</v>
      </c>
    </row>
    <row r="44" spans="1:7" ht="25.9">
      <c r="A44" s="97" t="s">
        <v>138</v>
      </c>
    </row>
    <row r="45" spans="1:7" ht="25.9">
      <c r="A45" s="97" t="s">
        <v>159</v>
      </c>
    </row>
    <row r="46" spans="1:7">
      <c r="B46" s="85"/>
      <c r="C46" s="85" t="s">
        <v>124</v>
      </c>
      <c r="D46" s="203">
        <v>2</v>
      </c>
      <c r="E46" s="203"/>
      <c r="F46" s="203"/>
      <c r="G46" s="3" t="s">
        <v>115</v>
      </c>
    </row>
    <row r="47" spans="1:7">
      <c r="B47" s="85"/>
      <c r="C47" s="85" t="s">
        <v>153</v>
      </c>
      <c r="D47" s="203">
        <v>2</v>
      </c>
      <c r="E47" s="203"/>
      <c r="F47" s="203"/>
      <c r="G47" s="3" t="s">
        <v>115</v>
      </c>
    </row>
    <row r="48" spans="1:7">
      <c r="B48" s="85"/>
      <c r="C48" s="85" t="s">
        <v>129</v>
      </c>
      <c r="D48" s="203">
        <v>2</v>
      </c>
      <c r="E48" s="203"/>
      <c r="F48" s="203"/>
      <c r="G48" s="3" t="s">
        <v>115</v>
      </c>
    </row>
    <row r="49" spans="1:6" ht="25.9">
      <c r="A49" s="97" t="s">
        <v>139</v>
      </c>
    </row>
    <row r="50" spans="1:6" ht="25.9">
      <c r="A50" s="97" t="s">
        <v>160</v>
      </c>
    </row>
    <row r="51" spans="1:6">
      <c r="B51" s="85"/>
      <c r="C51" s="85" t="s">
        <v>143</v>
      </c>
      <c r="D51" s="130" t="s">
        <v>131</v>
      </c>
      <c r="E51" s="130" t="s">
        <v>131</v>
      </c>
      <c r="F51" s="115">
        <f>MIN(D33,D42)/D46</f>
        <v>75</v>
      </c>
    </row>
    <row r="52" spans="1:6">
      <c r="B52" s="85"/>
      <c r="C52" s="85" t="s">
        <v>163</v>
      </c>
      <c r="D52" s="130" t="s">
        <v>131</v>
      </c>
      <c r="E52" s="130" t="s">
        <v>131</v>
      </c>
      <c r="F52" s="116">
        <f xml:space="preserve">
(F51*D5)/(1/
((D5^2+F28^2)/(D5^2-F28^2)/D30)
+((D37^2+D5^2)/(D37^2-D5^2)/D39)
-(D31/D30)+(D40/D39)
)</f>
        <v>4.2501233697376843E-2</v>
      </c>
    </row>
    <row r="53" spans="1:6">
      <c r="B53" s="85"/>
      <c r="C53" s="85" t="s">
        <v>164</v>
      </c>
      <c r="D53" s="130" t="s">
        <v>131</v>
      </c>
      <c r="E53" s="130" t="s">
        <v>131</v>
      </c>
      <c r="F53" s="116">
        <f>F52-F10</f>
        <v>4.1741233697376846E-2</v>
      </c>
    </row>
    <row r="54" spans="1:6" ht="25.9">
      <c r="A54" s="97" t="s">
        <v>142</v>
      </c>
    </row>
    <row r="55" spans="1:6" ht="25.9">
      <c r="A55" s="97" t="s">
        <v>161</v>
      </c>
    </row>
    <row r="56" spans="1:6">
      <c r="B56" s="85"/>
      <c r="C56" s="85" t="s">
        <v>165</v>
      </c>
      <c r="D56" s="129">
        <f>D24*D47</f>
        <v>424.28063939612861</v>
      </c>
      <c r="E56" s="130" t="s">
        <v>131</v>
      </c>
      <c r="F56" s="130" t="s">
        <v>131</v>
      </c>
    </row>
    <row r="57" spans="1:6">
      <c r="B57" s="85"/>
      <c r="C57" s="85" t="s">
        <v>166</v>
      </c>
      <c r="D57" s="165">
        <f>D56/D6</f>
        <v>4242.8063939612857</v>
      </c>
      <c r="E57" s="130" t="s">
        <v>131</v>
      </c>
      <c r="F57" s="130" t="s">
        <v>131</v>
      </c>
    </row>
    <row r="58" spans="1:6">
      <c r="B58" s="85"/>
      <c r="C58" s="85" t="s">
        <v>167</v>
      </c>
      <c r="D58" s="99">
        <f>D57/D13</f>
        <v>2.4051830845154738</v>
      </c>
      <c r="E58" s="130" t="s">
        <v>131</v>
      </c>
      <c r="F58" s="130" t="s">
        <v>131</v>
      </c>
    </row>
    <row r="59" spans="1:6">
      <c r="B59" s="85"/>
      <c r="C59" s="85" t="s">
        <v>168</v>
      </c>
      <c r="D59" s="104">
        <f xml:space="preserve">
(D58*D5)/(1/
((D5^2+F28^2)/(D5^2-F28^2)/D30)
+((D37^2+D5^2)/(D37^2-D5^2)/D39)
-(D31/D30)+(D40/D39)
)</f>
        <v>1.3629766447995977E-3</v>
      </c>
      <c r="E59" s="130" t="s">
        <v>131</v>
      </c>
      <c r="F59" s="130" t="s">
        <v>131</v>
      </c>
    </row>
    <row r="60" spans="1:6">
      <c r="B60" s="85"/>
      <c r="C60" s="85" t="s">
        <v>169</v>
      </c>
      <c r="D60" s="109">
        <f>D59-D10</f>
        <v>2.7179766447995978E-3</v>
      </c>
      <c r="E60" s="130" t="s">
        <v>131</v>
      </c>
      <c r="F60" s="130" t="s">
        <v>131</v>
      </c>
    </row>
    <row r="61" spans="1:6" ht="25.9">
      <c r="A61" s="97" t="s">
        <v>144</v>
      </c>
    </row>
    <row r="62" spans="1:6" ht="25.9">
      <c r="A62" s="97" t="s">
        <v>162</v>
      </c>
      <c r="D62" s="3"/>
      <c r="E62" s="3"/>
    </row>
    <row r="63" spans="1:6">
      <c r="B63" s="85"/>
      <c r="C63" s="85" t="s">
        <v>147</v>
      </c>
      <c r="D63" s="130" t="s">
        <v>131</v>
      </c>
      <c r="E63" s="130" t="s">
        <v>131</v>
      </c>
      <c r="F63" s="94">
        <f>MIN(D33,D42)/D48</f>
        <v>75</v>
      </c>
    </row>
    <row r="64" spans="1:6">
      <c r="B64" s="85"/>
      <c r="C64" s="85" t="s">
        <v>146</v>
      </c>
      <c r="D64" s="130" t="s">
        <v>131</v>
      </c>
      <c r="E64" s="130" t="s">
        <v>131</v>
      </c>
      <c r="F64" s="94">
        <f>F63*D14</f>
        <v>112500</v>
      </c>
    </row>
    <row r="65" spans="1:7">
      <c r="B65" s="85"/>
      <c r="C65" s="85" t="s">
        <v>170</v>
      </c>
      <c r="D65" s="130" t="s">
        <v>131</v>
      </c>
      <c r="E65" s="130" t="s">
        <v>131</v>
      </c>
      <c r="F65" s="94">
        <f>F64/F6</f>
        <v>937500</v>
      </c>
    </row>
    <row r="66" spans="1:7">
      <c r="B66" s="85"/>
      <c r="C66" s="85" t="s">
        <v>145</v>
      </c>
      <c r="D66" s="130" t="s">
        <v>131</v>
      </c>
      <c r="E66" s="130" t="s">
        <v>131</v>
      </c>
      <c r="F66" s="115">
        <f>F65/F13</f>
        <v>463.97682882181107</v>
      </c>
    </row>
    <row r="67" spans="1:7">
      <c r="B67" s="85"/>
      <c r="C67" s="85" t="s">
        <v>171</v>
      </c>
      <c r="D67" s="130" t="s">
        <v>131</v>
      </c>
      <c r="E67" s="130" t="s">
        <v>131</v>
      </c>
      <c r="F67" s="119">
        <f xml:space="preserve">
(F66*D5)/(1/
((D5^2+F28^2)/(D5^2-F28^2)/D30)
+((D37^2+D5^2)/(D37^2-D5^2)/D39)
-(D31/D30)+(D40/D39)
)</f>
        <v>0.26292783509231471</v>
      </c>
    </row>
    <row r="68" spans="1:7" ht="25.9">
      <c r="A68" s="97" t="s">
        <v>178</v>
      </c>
    </row>
    <row r="69" spans="1:7">
      <c r="B69" s="85"/>
      <c r="C69" s="85" t="s">
        <v>154</v>
      </c>
      <c r="D69" s="118">
        <f>D60</f>
        <v>2.7179766447995978E-3</v>
      </c>
      <c r="E69" s="166" t="s">
        <v>131</v>
      </c>
      <c r="F69" s="117">
        <f>MIN(F53,F67)</f>
        <v>4.1741233697376846E-2</v>
      </c>
      <c r="G69" s="3" t="s">
        <v>117</v>
      </c>
    </row>
    <row r="70" spans="1:7">
      <c r="B70" s="85"/>
      <c r="C70" s="86" t="s">
        <v>137</v>
      </c>
      <c r="D70" s="120">
        <f xml:space="preserve">
(D69/D5)*(1/
((D5^2+F28^2)/(D5^2-F28^2)/D30)
+((D37^2+D5^2)/(D37^2-D5^2)/D39)
-(D31/D30)+(D40/D39)
)</f>
        <v>4.7962901456329075</v>
      </c>
      <c r="E70" s="129" t="s">
        <v>131</v>
      </c>
      <c r="F70" s="95">
        <f xml:space="preserve">
(F69/D5)*(1/
((D5^2+F28^2)/(D5^2-F28^2)/D30)
+((D37^2+D5^2)/(D37^2-D5^2)/D39)
-(D31/D30)+(D40/D39)
)</f>
        <v>73.658862460185063</v>
      </c>
    </row>
    <row r="71" spans="1:7">
      <c r="B71" s="85"/>
      <c r="C71" s="86" t="s">
        <v>175</v>
      </c>
      <c r="D71" s="123">
        <f>D70*D13*D6</f>
        <v>846.07823114157145</v>
      </c>
      <c r="E71" s="166" t="s">
        <v>131</v>
      </c>
      <c r="F71" s="123">
        <f>F70*F13*F6</f>
        <v>17859.991085790345</v>
      </c>
      <c r="G71" s="3" t="s">
        <v>117</v>
      </c>
    </row>
    <row r="72" spans="1:7">
      <c r="B72" s="85"/>
      <c r="C72" s="85" t="s">
        <v>140</v>
      </c>
      <c r="D72" s="121">
        <f>D69+D10</f>
        <v>1.3629766447995979E-3</v>
      </c>
      <c r="E72" s="129" t="s">
        <v>131</v>
      </c>
      <c r="F72" s="122">
        <f>F69+F10</f>
        <v>4.2501233697376843E-2</v>
      </c>
    </row>
    <row r="73" spans="1:7">
      <c r="B73" s="85"/>
      <c r="C73" s="86" t="s">
        <v>172</v>
      </c>
      <c r="D73" s="95">
        <f xml:space="preserve">
(D72/D5)*(1/
((D5^2+F28^2)/(D5^2-F28^2)/D30)
+((D37^2+D5^2)/(D37^2-D5^2)/D39)
-(D31/D30)+(D40/D39)
)</f>
        <v>2.4051830845154742</v>
      </c>
      <c r="E73" s="129" t="s">
        <v>131</v>
      </c>
      <c r="F73" s="95">
        <f xml:space="preserve">
(F72/D5)*(1/
((D5^2+F28^2)/(D5^2-F28^2)/D30)
+((D37^2+D5^2)/(D37^2-D5^2)/D39)
-(D31/D30)+(D40/D39)
)</f>
        <v>74.999999999999986</v>
      </c>
    </row>
    <row r="74" spans="1:7">
      <c r="B74" s="85"/>
      <c r="C74" s="86" t="s">
        <v>173</v>
      </c>
      <c r="D74" s="95">
        <f>D73*D13</f>
        <v>4242.8063939612866</v>
      </c>
      <c r="E74" s="129" t="s">
        <v>131</v>
      </c>
      <c r="F74" s="95">
        <f>F73*F13</f>
        <v>151543.12808798323</v>
      </c>
    </row>
    <row r="75" spans="1:7">
      <c r="B75" s="85"/>
      <c r="C75" s="86" t="s">
        <v>152</v>
      </c>
      <c r="D75" s="95">
        <f>D74*D6</f>
        <v>424.28063939612866</v>
      </c>
      <c r="E75" s="129" t="s">
        <v>131</v>
      </c>
      <c r="F75" s="95">
        <f>F74*F6</f>
        <v>18185.175370557987</v>
      </c>
    </row>
    <row r="76" spans="1:7">
      <c r="B76" s="85"/>
      <c r="C76" s="86" t="s">
        <v>176</v>
      </c>
      <c r="D76" s="115">
        <f>F71</f>
        <v>17859.991085790345</v>
      </c>
      <c r="E76" s="165" t="s">
        <v>131</v>
      </c>
      <c r="F76" s="115">
        <f>D76*2</f>
        <v>35719.98217158069</v>
      </c>
    </row>
    <row r="77" spans="1:7">
      <c r="B77" s="85"/>
      <c r="C77" s="86" t="s">
        <v>177</v>
      </c>
      <c r="D77" s="95">
        <f>D76/F14</f>
        <v>8.9299955428951723</v>
      </c>
      <c r="E77" s="129" t="s">
        <v>131</v>
      </c>
      <c r="F77" s="95">
        <f>F76/D14</f>
        <v>23.813321447720462</v>
      </c>
    </row>
    <row r="78" spans="1:7">
      <c r="B78" s="85"/>
      <c r="C78" s="85" t="s">
        <v>124</v>
      </c>
      <c r="D78" s="124">
        <f>MIN(D33,D42)/F73</f>
        <v>2.0000000000000004</v>
      </c>
      <c r="E78" s="105"/>
      <c r="F78" s="124">
        <f>MIN(D33,D42)/D73</f>
        <v>62.365314709594173</v>
      </c>
      <c r="G78" s="3" t="s">
        <v>117</v>
      </c>
    </row>
    <row r="79" spans="1:7">
      <c r="B79" s="85"/>
      <c r="C79" s="85" t="s">
        <v>174</v>
      </c>
      <c r="D79" s="124">
        <f>D75/D24</f>
        <v>2.0000000000000004</v>
      </c>
      <c r="E79" s="105"/>
      <c r="F79" s="124">
        <f>F75/D24</f>
        <v>85.72239071026496</v>
      </c>
      <c r="G79" s="3" t="s">
        <v>117</v>
      </c>
    </row>
    <row r="80" spans="1:7">
      <c r="B80" s="85"/>
      <c r="C80" s="85" t="s">
        <v>129</v>
      </c>
      <c r="D80" s="124">
        <f>MIN(D33,D42)/F77</f>
        <v>6.2989953051827969</v>
      </c>
      <c r="E80" s="105"/>
      <c r="F80" s="124">
        <f>MIN(D33,D42)/D77</f>
        <v>16.797320813820793</v>
      </c>
      <c r="G80" s="3" t="s">
        <v>117</v>
      </c>
    </row>
    <row r="81" spans="1:7" ht="25.9">
      <c r="A81" s="97" t="s">
        <v>179</v>
      </c>
      <c r="E81" s="3"/>
    </row>
    <row r="82" spans="1:7">
      <c r="C82" s="85" t="s">
        <v>154</v>
      </c>
      <c r="D82" s="85">
        <v>0.01</v>
      </c>
      <c r="E82" s="130" t="s">
        <v>180</v>
      </c>
      <c r="F82" s="85">
        <v>0.03</v>
      </c>
      <c r="G82" s="3" t="s">
        <v>115</v>
      </c>
    </row>
    <row r="83" spans="1:7">
      <c r="C83" s="86" t="s">
        <v>137</v>
      </c>
      <c r="D83" s="95">
        <f xml:space="preserve">
(D82/D5)*(1/
((D5^2+F28^2)/(D5^2-F28^2)/D30)
+((D37^2+D5^2)/(D37^2-D5^2)/D39)
-(D31/D30)+(D40/D39)
)</f>
        <v>17.646546576512428</v>
      </c>
      <c r="E83" s="99" t="s">
        <v>180</v>
      </c>
      <c r="F83" s="99">
        <f xml:space="preserve">
(F82/D5)*(1/
((D5^2+F28^2)/(D5^2-F28^2)/D30)
+((D37^2+D5^2)/(D37^2-D5^2)/D39)
-(D31/D30)+(D40/D39)
)</f>
        <v>52.939639729537284</v>
      </c>
    </row>
    <row r="84" spans="1:7">
      <c r="C84" s="86" t="s">
        <v>175</v>
      </c>
      <c r="D84" s="115">
        <f>D83*D13*D6</f>
        <v>3112.8973560549293</v>
      </c>
      <c r="E84" s="129" t="s">
        <v>180</v>
      </c>
      <c r="F84" s="115">
        <f>F83*F13*F6</f>
        <v>12836.221767143928</v>
      </c>
    </row>
    <row r="85" spans="1:7">
      <c r="C85" s="85" t="s">
        <v>140</v>
      </c>
      <c r="D85" s="121">
        <f>D82+D10</f>
        <v>8.6449999999999999E-3</v>
      </c>
      <c r="E85" s="109" t="s">
        <v>180</v>
      </c>
      <c r="F85" s="121">
        <f>F82+F10</f>
        <v>3.0759999999999999E-2</v>
      </c>
    </row>
    <row r="86" spans="1:7">
      <c r="C86" s="86" t="s">
        <v>172</v>
      </c>
      <c r="D86" s="95">
        <f xml:space="preserve">
(D85/D5)*(1/
((D5^2+F28^2)/(D5^2-F28^2)/D30)
+((D37^2+D5^2)/(D37^2-D5^2)/D39)
-(D31/D30)+(D40/D39)
)</f>
        <v>15.255439515394993</v>
      </c>
      <c r="E86" s="99" t="s">
        <v>180</v>
      </c>
      <c r="F86" s="95">
        <f xml:space="preserve">
(F85/D5)*(1/
((D5^2+F28^2)/(D5^2-F28^2)/D30)
+((D37^2+D5^2)/(D37^2-D5^2)/D39)
-(D31/D30)+(D40/D39)
)</f>
        <v>54.280777269352228</v>
      </c>
    </row>
    <row r="87" spans="1:7">
      <c r="C87" s="86" t="s">
        <v>173</v>
      </c>
      <c r="D87" s="115">
        <f>D86*D13</f>
        <v>26910.997643094859</v>
      </c>
      <c r="E87" s="165" t="s">
        <v>180</v>
      </c>
      <c r="F87" s="115">
        <f>F86*F13</f>
        <v>109678.3837659298</v>
      </c>
    </row>
    <row r="88" spans="1:7">
      <c r="C88" s="86" t="s">
        <v>152</v>
      </c>
      <c r="D88" s="115">
        <f>D87*D6</f>
        <v>2691.0997643094861</v>
      </c>
      <c r="E88" s="165" t="s">
        <v>180</v>
      </c>
      <c r="F88" s="115">
        <f>F87*F6</f>
        <v>13161.406051911576</v>
      </c>
    </row>
    <row r="89" spans="1:7">
      <c r="C89" s="86" t="s">
        <v>181</v>
      </c>
      <c r="D89" s="127">
        <v>21000</v>
      </c>
      <c r="E89" s="5" t="s">
        <v>180</v>
      </c>
      <c r="F89" s="127">
        <f>D89*1.1</f>
        <v>23100.000000000004</v>
      </c>
      <c r="G89" s="3" t="s">
        <v>115</v>
      </c>
    </row>
    <row r="90" spans="1:7">
      <c r="C90" s="86" t="s">
        <v>182</v>
      </c>
      <c r="D90" s="95">
        <f>D89/F14</f>
        <v>10.5</v>
      </c>
      <c r="E90" s="99" t="s">
        <v>180</v>
      </c>
      <c r="F90" s="95">
        <f>F89/D14</f>
        <v>15.400000000000002</v>
      </c>
    </row>
    <row r="91" spans="1:7">
      <c r="C91" s="85" t="s">
        <v>124</v>
      </c>
      <c r="D91" s="124">
        <f>MIN(D33,D42)/F86</f>
        <v>2.7634092130934231</v>
      </c>
      <c r="E91" s="105" t="s">
        <v>180</v>
      </c>
      <c r="F91" s="124">
        <f>MIN(D33,D42)/D86</f>
        <v>9.8325584030947013</v>
      </c>
      <c r="G91" s="3" t="s">
        <v>117</v>
      </c>
    </row>
    <row r="92" spans="1:7">
      <c r="C92" s="85" t="s">
        <v>174</v>
      </c>
      <c r="D92" s="124">
        <f>D88/D24</f>
        <v>12.685470485477172</v>
      </c>
      <c r="E92" s="105" t="s">
        <v>180</v>
      </c>
      <c r="F92" s="124">
        <f>F88/D24</f>
        <v>62.041039961870425</v>
      </c>
      <c r="G92" s="3" t="s">
        <v>117</v>
      </c>
    </row>
    <row r="93" spans="1:7">
      <c r="C93" s="85" t="s">
        <v>129</v>
      </c>
      <c r="D93" s="124">
        <f>MIN(D33,D42)/F90</f>
        <v>9.7402597402597397</v>
      </c>
      <c r="E93" s="105" t="s">
        <v>180</v>
      </c>
      <c r="F93" s="124">
        <f>MIN(D33,D42)/D90</f>
        <v>14.285714285714286</v>
      </c>
      <c r="G93" s="3" t="s">
        <v>117</v>
      </c>
    </row>
  </sheetData>
  <mergeCells count="22">
    <mergeCell ref="D42:F42"/>
    <mergeCell ref="D46:F46"/>
    <mergeCell ref="D47:F47"/>
    <mergeCell ref="D48:F48"/>
    <mergeCell ref="D32:F32"/>
    <mergeCell ref="D33:F33"/>
    <mergeCell ref="D38:F38"/>
    <mergeCell ref="D39:F39"/>
    <mergeCell ref="D40:F40"/>
    <mergeCell ref="D41:F41"/>
    <mergeCell ref="D31:F31"/>
    <mergeCell ref="D5:F5"/>
    <mergeCell ref="D17:F17"/>
    <mergeCell ref="D18:F18"/>
    <mergeCell ref="D19:F19"/>
    <mergeCell ref="D20:F20"/>
    <mergeCell ref="D21:F21"/>
    <mergeCell ref="D22:F22"/>
    <mergeCell ref="D23:F23"/>
    <mergeCell ref="D24:F24"/>
    <mergeCell ref="D29:F29"/>
    <mergeCell ref="D30:F30"/>
  </mergeCells>
  <phoneticPr fontId="1"/>
  <conditionalFormatting sqref="D38:F38">
    <cfRule type="cellIs" dxfId="80" priority="12" operator="equal">
      <formula>""</formula>
    </cfRule>
  </conditionalFormatting>
  <conditionalFormatting sqref="D29:F29">
    <cfRule type="cellIs" dxfId="79" priority="11" operator="equal">
      <formula>""</formula>
    </cfRule>
  </conditionalFormatting>
  <conditionalFormatting sqref="D28:F28">
    <cfRule type="cellIs" dxfId="78" priority="10" operator="equal">
      <formula>""</formula>
    </cfRule>
  </conditionalFormatting>
  <conditionalFormatting sqref="D28:F28">
    <cfRule type="cellIs" dxfId="77" priority="9" operator="greaterThan">
      <formula>$D$4</formula>
    </cfRule>
  </conditionalFormatting>
  <conditionalFormatting sqref="E89">
    <cfRule type="cellIs" dxfId="76" priority="8" operator="lessThan">
      <formula>E88+$D$88:$F$88</formula>
    </cfRule>
  </conditionalFormatting>
  <conditionalFormatting sqref="D89">
    <cfRule type="cellIs" dxfId="75" priority="7" operator="lessThan">
      <formula>$F$88</formula>
    </cfRule>
  </conditionalFormatting>
  <dataValidations disablePrompts="1" count="1">
    <dataValidation type="list" allowBlank="1" showInputMessage="1" showErrorMessage="1" sqref="D38:F38 D29:F29" xr:uid="{234733AB-2300-4428-88EE-9413B2D81B4A}">
      <formula1>Material_List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DAE37-2208-4124-94A6-9FB7542C1B0D}">
  <dimension ref="B1:DJ60"/>
  <sheetViews>
    <sheetView zoomScale="59" zoomScaleNormal="59" workbookViewId="0">
      <selection activeCell="I4" sqref="I4"/>
    </sheetView>
  </sheetViews>
  <sheetFormatPr defaultRowHeight="17.649999999999999"/>
  <cols>
    <col min="1" max="3" width="4" customWidth="1"/>
    <col min="4" max="6" width="10.875" bestFit="1" customWidth="1"/>
    <col min="7" max="9" width="9.8125" bestFit="1" customWidth="1"/>
    <col min="10" max="11" width="9.0625" bestFit="1" customWidth="1"/>
    <col min="12" max="12" width="9.8125" bestFit="1" customWidth="1"/>
    <col min="13" max="21" width="9.0625" bestFit="1" customWidth="1"/>
    <col min="22" max="24" width="9.625" bestFit="1" customWidth="1"/>
    <col min="25" max="25" width="9.0625" bestFit="1" customWidth="1"/>
    <col min="26" max="26" width="9.625" bestFit="1" customWidth="1"/>
    <col min="27" max="28" width="9.0625" bestFit="1" customWidth="1"/>
    <col min="29" max="30" width="9.375" bestFit="1" customWidth="1"/>
    <col min="31" max="36" width="10.4375" bestFit="1" customWidth="1"/>
    <col min="37" max="37" width="9.0625" bestFit="1" customWidth="1"/>
    <col min="38" max="39" width="10.8125" customWidth="1"/>
    <col min="41" max="41" width="6.875" bestFit="1" customWidth="1"/>
    <col min="42" max="42" width="4.625" bestFit="1" customWidth="1"/>
    <col min="43" max="48" width="4.625" customWidth="1"/>
    <col min="49" max="52" width="4.875" bestFit="1" customWidth="1"/>
    <col min="53" max="58" width="3.875" bestFit="1" customWidth="1"/>
    <col min="59" max="59" width="4.875" bestFit="1" customWidth="1"/>
    <col min="60" max="61" width="5.3125" bestFit="1" customWidth="1"/>
    <col min="62" max="62" width="3.875" bestFit="1" customWidth="1"/>
    <col min="63" max="64" width="3.25" bestFit="1" customWidth="1"/>
    <col min="65" max="66" width="3.875" bestFit="1" customWidth="1"/>
    <col min="67" max="67" width="3.375" bestFit="1" customWidth="1"/>
    <col min="68" max="68" width="4.1875" bestFit="1" customWidth="1"/>
    <col min="69" max="73" width="4.1875" customWidth="1"/>
    <col min="75" max="75" width="6.0625" bestFit="1" customWidth="1"/>
    <col min="76" max="76" width="4.375" bestFit="1" customWidth="1"/>
    <col min="77" max="77" width="5" bestFit="1" customWidth="1"/>
    <col min="78" max="81" width="4" bestFit="1" customWidth="1"/>
    <col min="82" max="82" width="4.125" bestFit="1" customWidth="1"/>
    <col min="83" max="87" width="4" bestFit="1" customWidth="1"/>
    <col min="88" max="88" width="3.8125" bestFit="1" customWidth="1"/>
    <col min="89" max="90" width="3.3125" bestFit="1" customWidth="1"/>
    <col min="91" max="93" width="3.375" bestFit="1" customWidth="1"/>
    <col min="94" max="94" width="3.8125" bestFit="1" customWidth="1"/>
    <col min="95" max="95" width="4.375" bestFit="1" customWidth="1"/>
    <col min="96" max="96" width="5" bestFit="1" customWidth="1"/>
    <col min="97" max="97" width="3.875" bestFit="1" customWidth="1"/>
    <col min="98" max="99" width="3.625" bestFit="1" customWidth="1"/>
    <col min="100" max="101" width="3.6875" bestFit="1" customWidth="1"/>
    <col min="102" max="103" width="3.625" bestFit="1" customWidth="1"/>
    <col min="104" max="104" width="3.8125" bestFit="1" customWidth="1"/>
    <col min="105" max="109" width="4.8125" bestFit="1" customWidth="1"/>
    <col min="110" max="110" width="3.8125" bestFit="1" customWidth="1"/>
  </cols>
  <sheetData>
    <row r="1" spans="2:110">
      <c r="D1" s="138" t="s">
        <v>186</v>
      </c>
      <c r="E1" t="s">
        <v>232</v>
      </c>
      <c r="I1" s="138" t="s">
        <v>208</v>
      </c>
      <c r="J1" t="s">
        <v>231</v>
      </c>
    </row>
    <row r="2" spans="2:110">
      <c r="D2" t="s">
        <v>229</v>
      </c>
      <c r="F2" t="s">
        <v>230</v>
      </c>
      <c r="I2" t="s">
        <v>229</v>
      </c>
      <c r="K2" t="s">
        <v>230</v>
      </c>
      <c r="N2" t="s">
        <v>233</v>
      </c>
    </row>
    <row r="3" spans="2:110">
      <c r="D3">
        <f>VLOOKUP($B$7-0.000001,AO8:BP32,MATCH($D$1,$AO$7:$BP$7,0))</f>
        <v>-25</v>
      </c>
      <c r="F3" s="149">
        <f>VLOOKUP($B$7-0.000001,AO36:BP60,MATCH($D$1,$AO$35:$BP$35,0))</f>
        <v>-41</v>
      </c>
      <c r="G3" s="149"/>
      <c r="H3" s="149"/>
      <c r="I3" s="149">
        <f>VLOOKUP($B$7-0.000001,BW8:CZ32,MATCH($I$1,$BW$7:$CZ$7,0))</f>
        <v>64</v>
      </c>
      <c r="J3" s="149"/>
      <c r="K3" s="149">
        <f>VLOOKUP($B$7-0.000001,BW36:CZ60,MATCH($I$1,$BW$35:$CZ$35,0))</f>
        <v>25</v>
      </c>
      <c r="L3" s="149"/>
      <c r="M3" s="149"/>
      <c r="N3" t="str">
        <f>I3-F3&amp;"/"&amp;K3-D3</f>
        <v>105/50</v>
      </c>
    </row>
    <row r="4" spans="2:110">
      <c r="G4" s="149"/>
      <c r="H4" s="149"/>
      <c r="I4" t="e">
        <f>VLOOKUP($B$7-0.000001,$BW$8:$CZ$32,MATCH($C18,$BW$7:$CZ$7,0))</f>
        <v>#N/A</v>
      </c>
      <c r="J4" s="149"/>
      <c r="L4" s="149"/>
      <c r="M4" s="149"/>
    </row>
    <row r="5" spans="2:110">
      <c r="B5" t="s">
        <v>234</v>
      </c>
      <c r="F5" s="162"/>
      <c r="G5" s="162"/>
      <c r="H5" s="162"/>
      <c r="I5" s="162"/>
      <c r="J5" s="162"/>
      <c r="K5" s="162"/>
      <c r="L5" s="162"/>
      <c r="M5" s="162"/>
    </row>
    <row r="6" spans="2:110" ht="17.649999999999999" customHeight="1">
      <c r="B6" s="148" t="s">
        <v>37</v>
      </c>
      <c r="C6" s="148"/>
      <c r="D6" s="141" t="s">
        <v>226</v>
      </c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1"/>
      <c r="Q6" s="141"/>
      <c r="R6" s="141"/>
      <c r="S6" s="141"/>
      <c r="T6" s="141"/>
      <c r="U6" s="141"/>
      <c r="V6" s="141"/>
      <c r="W6" s="141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41"/>
      <c r="AI6" s="141"/>
      <c r="AJ6" s="141"/>
      <c r="AK6" s="141"/>
      <c r="AO6" s="141" t="s">
        <v>227</v>
      </c>
      <c r="AP6" s="141"/>
      <c r="AQ6" s="154" t="s">
        <v>225</v>
      </c>
      <c r="AR6" s="155"/>
      <c r="AS6" s="155"/>
      <c r="AT6" s="155"/>
      <c r="AU6" s="155"/>
      <c r="AV6" s="155"/>
      <c r="AW6" s="155"/>
      <c r="AX6" s="155"/>
      <c r="AY6" s="155"/>
      <c r="AZ6" s="155"/>
      <c r="BA6" s="155"/>
      <c r="BB6" s="155"/>
      <c r="BC6" s="155"/>
      <c r="BD6" s="155"/>
      <c r="BE6" s="155"/>
      <c r="BF6" s="155"/>
      <c r="BG6" s="155"/>
      <c r="BH6" s="155"/>
      <c r="BI6" s="155"/>
      <c r="BJ6" s="155"/>
      <c r="BK6" s="155"/>
      <c r="BL6" s="155"/>
      <c r="BM6" s="155"/>
      <c r="BN6" s="155"/>
      <c r="BO6" s="155"/>
      <c r="BP6" s="155"/>
      <c r="BQ6" s="155"/>
      <c r="BR6" s="155"/>
      <c r="BS6" s="155"/>
      <c r="BT6" s="155"/>
      <c r="BU6" s="146"/>
      <c r="BW6" s="141" t="s">
        <v>227</v>
      </c>
      <c r="BX6" s="141"/>
      <c r="BY6" s="141" t="s">
        <v>226</v>
      </c>
      <c r="BZ6" s="141"/>
      <c r="CA6" s="141"/>
      <c r="CB6" s="141"/>
      <c r="CC6" s="141"/>
      <c r="CD6" s="141"/>
      <c r="CE6" s="141"/>
      <c r="CF6" s="141"/>
      <c r="CG6" s="141"/>
      <c r="CH6" s="141"/>
      <c r="CI6" s="141"/>
      <c r="CJ6" s="141"/>
      <c r="CK6" s="141"/>
      <c r="CL6" s="141"/>
      <c r="CM6" s="141"/>
      <c r="CN6" s="141"/>
      <c r="CO6" s="141"/>
      <c r="CP6" s="141"/>
      <c r="CQ6" s="141"/>
      <c r="CR6" s="141"/>
      <c r="CS6" s="141"/>
      <c r="CT6" s="141"/>
      <c r="CU6" s="141"/>
      <c r="CV6" s="141"/>
      <c r="CW6" s="141"/>
      <c r="CX6" s="141"/>
      <c r="CY6" s="141"/>
      <c r="CZ6" s="141"/>
      <c r="DA6" s="141"/>
      <c r="DB6" s="141"/>
      <c r="DC6" s="141"/>
      <c r="DD6" s="141"/>
      <c r="DE6" s="141"/>
      <c r="DF6" s="141"/>
    </row>
    <row r="7" spans="2:110">
      <c r="B7" s="226">
        <v>45</v>
      </c>
      <c r="C7" s="226"/>
      <c r="D7" s="135" t="s">
        <v>256</v>
      </c>
      <c r="E7" s="135" t="s">
        <v>257</v>
      </c>
      <c r="F7" s="135" t="s">
        <v>258</v>
      </c>
      <c r="G7" s="135" t="s">
        <v>259</v>
      </c>
      <c r="H7" s="135" t="s">
        <v>260</v>
      </c>
      <c r="I7" s="135" t="s">
        <v>261</v>
      </c>
      <c r="J7" s="135" t="s">
        <v>262</v>
      </c>
      <c r="K7" s="135" t="s">
        <v>263</v>
      </c>
      <c r="L7" s="144" t="s">
        <v>205</v>
      </c>
      <c r="M7" s="144" t="s">
        <v>206</v>
      </c>
      <c r="N7" s="144" t="s">
        <v>207</v>
      </c>
      <c r="O7" s="144" t="s">
        <v>208</v>
      </c>
      <c r="P7" s="144" t="s">
        <v>209</v>
      </c>
      <c r="Q7" s="144" t="s">
        <v>210</v>
      </c>
      <c r="R7" s="144" t="s">
        <v>211</v>
      </c>
      <c r="S7" s="144" t="s">
        <v>212</v>
      </c>
      <c r="T7" s="144" t="s">
        <v>213</v>
      </c>
      <c r="U7" s="144" t="s">
        <v>214</v>
      </c>
      <c r="V7" s="144" t="s">
        <v>215</v>
      </c>
      <c r="W7" s="144" t="s">
        <v>216</v>
      </c>
      <c r="X7" s="144" t="s">
        <v>217</v>
      </c>
      <c r="Y7" s="145" t="s">
        <v>218</v>
      </c>
      <c r="Z7" s="145" t="s">
        <v>219</v>
      </c>
      <c r="AA7" s="138" t="s">
        <v>220</v>
      </c>
      <c r="AB7" s="138" t="s">
        <v>221</v>
      </c>
      <c r="AC7" s="138" t="s">
        <v>222</v>
      </c>
      <c r="AD7" s="138" t="s">
        <v>223</v>
      </c>
      <c r="AE7" s="138" t="s">
        <v>224</v>
      </c>
      <c r="AF7" s="153" t="s">
        <v>269</v>
      </c>
      <c r="AG7" s="138" t="s">
        <v>264</v>
      </c>
      <c r="AH7" s="138" t="s">
        <v>265</v>
      </c>
      <c r="AI7" s="138" t="s">
        <v>266</v>
      </c>
      <c r="AJ7" s="138" t="s">
        <v>267</v>
      </c>
      <c r="AK7" s="138" t="s">
        <v>268</v>
      </c>
      <c r="AO7" s="135" t="s">
        <v>183</v>
      </c>
      <c r="AP7" s="135" t="s">
        <v>184</v>
      </c>
      <c r="AQ7" s="135" t="s">
        <v>236</v>
      </c>
      <c r="AR7" s="135" t="s">
        <v>238</v>
      </c>
      <c r="AS7" s="135" t="s">
        <v>240</v>
      </c>
      <c r="AT7" s="135" t="s">
        <v>242</v>
      </c>
      <c r="AU7" s="135" t="s">
        <v>244</v>
      </c>
      <c r="AV7" s="135" t="s">
        <v>246</v>
      </c>
      <c r="AW7" s="138" t="s">
        <v>185</v>
      </c>
      <c r="AX7" s="138" t="s">
        <v>186</v>
      </c>
      <c r="AY7" s="138" t="s">
        <v>187</v>
      </c>
      <c r="AZ7" s="138" t="s">
        <v>188</v>
      </c>
      <c r="BA7" s="138" t="s">
        <v>189</v>
      </c>
      <c r="BB7" s="138" t="s">
        <v>190</v>
      </c>
      <c r="BC7" s="138" t="s">
        <v>191</v>
      </c>
      <c r="BD7" s="138" t="s">
        <v>192</v>
      </c>
      <c r="BE7" s="138" t="s">
        <v>193</v>
      </c>
      <c r="BF7" s="138" t="s">
        <v>194</v>
      </c>
      <c r="BG7" s="138" t="s">
        <v>195</v>
      </c>
      <c r="BH7" s="138" t="s">
        <v>196</v>
      </c>
      <c r="BI7" s="138" t="s">
        <v>197</v>
      </c>
      <c r="BJ7" s="138" t="s">
        <v>198</v>
      </c>
      <c r="BK7" s="138" t="s">
        <v>199</v>
      </c>
      <c r="BL7" s="152" t="s">
        <v>200</v>
      </c>
      <c r="BM7" s="138" t="s">
        <v>201</v>
      </c>
      <c r="BN7" s="138" t="s">
        <v>202</v>
      </c>
      <c r="BO7" s="138" t="s">
        <v>203</v>
      </c>
      <c r="BP7" s="138" t="s">
        <v>204</v>
      </c>
      <c r="BQ7" s="138" t="s">
        <v>255</v>
      </c>
      <c r="BR7" s="153" t="s">
        <v>251</v>
      </c>
      <c r="BS7" s="138" t="s">
        <v>252</v>
      </c>
      <c r="BT7" s="138" t="s">
        <v>253</v>
      </c>
      <c r="BU7" s="138" t="s">
        <v>254</v>
      </c>
      <c r="BW7" s="135" t="s">
        <v>183</v>
      </c>
      <c r="BX7" s="135" t="s">
        <v>184</v>
      </c>
      <c r="BY7" s="135" t="s">
        <v>256</v>
      </c>
      <c r="BZ7" s="135" t="s">
        <v>257</v>
      </c>
      <c r="CA7" s="135" t="s">
        <v>258</v>
      </c>
      <c r="CB7" s="135" t="s">
        <v>259</v>
      </c>
      <c r="CC7" s="135" t="s">
        <v>260</v>
      </c>
      <c r="CD7" s="135" t="s">
        <v>261</v>
      </c>
      <c r="CE7" s="135" t="s">
        <v>262</v>
      </c>
      <c r="CF7" s="135" t="s">
        <v>263</v>
      </c>
      <c r="CG7" s="138" t="s">
        <v>205</v>
      </c>
      <c r="CH7" s="138" t="s">
        <v>206</v>
      </c>
      <c r="CI7" s="138" t="s">
        <v>207</v>
      </c>
      <c r="CJ7" s="138" t="s">
        <v>208</v>
      </c>
      <c r="CK7" s="138" t="s">
        <v>209</v>
      </c>
      <c r="CL7" s="138" t="s">
        <v>210</v>
      </c>
      <c r="CM7" s="138" t="s">
        <v>211</v>
      </c>
      <c r="CN7" s="138" t="s">
        <v>212</v>
      </c>
      <c r="CO7" s="138" t="s">
        <v>213</v>
      </c>
      <c r="CP7" s="138" t="s">
        <v>214</v>
      </c>
      <c r="CQ7" s="138" t="s">
        <v>215</v>
      </c>
      <c r="CR7" s="138" t="s">
        <v>216</v>
      </c>
      <c r="CS7" s="138" t="s">
        <v>217</v>
      </c>
      <c r="CT7" s="138" t="s">
        <v>218</v>
      </c>
      <c r="CU7" s="138" t="s">
        <v>219</v>
      </c>
      <c r="CV7" s="138" t="s">
        <v>220</v>
      </c>
      <c r="CW7" s="138" t="s">
        <v>221</v>
      </c>
      <c r="CX7" s="138" t="s">
        <v>222</v>
      </c>
      <c r="CY7" s="138" t="s">
        <v>223</v>
      </c>
      <c r="CZ7" s="138" t="s">
        <v>224</v>
      </c>
      <c r="DA7" s="153" t="s">
        <v>269</v>
      </c>
      <c r="DB7" s="138" t="s">
        <v>264</v>
      </c>
      <c r="DC7" s="138" t="s">
        <v>265</v>
      </c>
      <c r="DD7" s="138" t="s">
        <v>266</v>
      </c>
      <c r="DE7" s="138" t="s">
        <v>267</v>
      </c>
      <c r="DF7" s="138" t="s">
        <v>268</v>
      </c>
    </row>
    <row r="8" spans="2:110" ht="17.649999999999999" customHeight="1">
      <c r="B8" s="223" t="s">
        <v>225</v>
      </c>
      <c r="C8" s="135" t="s">
        <v>236</v>
      </c>
      <c r="D8" s="79" t="str">
        <f t="shared" ref="D8:S23" si="0">VLOOKUP($B$7-0.000001,$BW$8:$DF$32,MATCH(D$7,$BW$7:$DF$7,0))-VLOOKUP($B$7-0.000001,$AO$36:$BU$60,MATCH($C8,$AO$35:$BU$35,0))
&amp;"/"&amp;
VLOOKUP($B$7-0.000001,$BW$36:$DF$60,MATCH(D$7,$BW$35:$DF$35,0))-VLOOKUP($B$7-0.000001,$AO$8:$BU$32,MATCH($C8,$AO$7:$BU$7,0))</f>
        <v>522/360</v>
      </c>
      <c r="E8" s="79" t="str">
        <f t="shared" si="0"/>
        <v>434/310</v>
      </c>
      <c r="F8" s="79" t="str">
        <f t="shared" si="0"/>
        <v>472/310</v>
      </c>
      <c r="G8" s="79" t="str">
        <f t="shared" si="0"/>
        <v>361/260</v>
      </c>
      <c r="H8" s="79" t="str">
        <f t="shared" si="0"/>
        <v>384/260</v>
      </c>
      <c r="I8" s="79" t="str">
        <f t="shared" si="0"/>
        <v>422/260</v>
      </c>
      <c r="J8" s="79" t="str">
        <f t="shared" si="0"/>
        <v>317/230</v>
      </c>
      <c r="K8" s="79" t="str">
        <f t="shared" si="0"/>
        <v>331/230</v>
      </c>
      <c r="L8" s="79" t="str">
        <f t="shared" si="0"/>
        <v>354/230</v>
      </c>
      <c r="M8" s="79" t="str">
        <f t="shared" si="0"/>
        <v>283/205</v>
      </c>
      <c r="N8" s="79" t="str">
        <f t="shared" si="0"/>
        <v>292/205</v>
      </c>
      <c r="O8" s="79" t="str">
        <f t="shared" si="0"/>
        <v>306/205</v>
      </c>
      <c r="P8" s="79" t="str">
        <f t="shared" si="0"/>
        <v>267/189</v>
      </c>
      <c r="Q8" s="79" t="str">
        <f t="shared" si="0"/>
        <v>276/189</v>
      </c>
      <c r="R8" s="79" t="str">
        <f t="shared" si="0"/>
        <v>258/180</v>
      </c>
      <c r="S8" s="79" t="str">
        <f t="shared" si="0"/>
        <v>267/180</v>
      </c>
      <c r="T8" s="79" t="str">
        <f t="shared" ref="T8:AK22" si="1">VLOOKUP($B$7-0.000001,$BW$8:$DF$32,MATCH(T$7,$BW$7:$DF$7,0))-VLOOKUP($B$7-0.000001,$AO$36:$BU$60,MATCH($C8,$AO$35:$BU$35,0))
&amp;"/"&amp;
VLOOKUP($B$7-0.000001,$BW$36:$DF$60,MATCH(T$7,$BW$35:$DF$35,0))-VLOOKUP($B$7-0.000001,$AO$8:$BU$32,MATCH($C8,$AO$7:$BU$7,0))</f>
        <v>281/180</v>
      </c>
      <c r="U8" s="79" t="str">
        <f t="shared" si="1"/>
        <v>304/180</v>
      </c>
      <c r="V8" s="79" t="str">
        <f t="shared" si="1"/>
        <v>342/180</v>
      </c>
      <c r="W8" s="79" t="str">
        <f t="shared" si="1"/>
        <v>250/172</v>
      </c>
      <c r="X8" s="79" t="str">
        <f t="shared" si="1"/>
        <v>254/168</v>
      </c>
      <c r="Y8" s="79" t="str">
        <f t="shared" si="1"/>
        <v>245/167</v>
      </c>
      <c r="Z8" s="79" t="str">
        <f t="shared" si="1"/>
        <v>249/162</v>
      </c>
      <c r="AA8" s="79" t="str">
        <f t="shared" si="1"/>
        <v>238/160</v>
      </c>
      <c r="AB8" s="79" t="str">
        <f t="shared" si="1"/>
        <v>242/155</v>
      </c>
      <c r="AC8" s="79" t="str">
        <f t="shared" si="1"/>
        <v>230/152</v>
      </c>
      <c r="AD8" s="79" t="str">
        <f t="shared" si="1"/>
        <v>234/147</v>
      </c>
      <c r="AE8" s="79" t="str">
        <f t="shared" si="1"/>
        <v>221/143</v>
      </c>
      <c r="AF8" s="79" t="str">
        <f t="shared" si="1"/>
        <v>225/138</v>
      </c>
      <c r="AG8" s="79" t="str">
        <f t="shared" si="1"/>
        <v>217/130</v>
      </c>
      <c r="AH8" s="79" t="str">
        <f t="shared" si="1"/>
        <v>208/121</v>
      </c>
      <c r="AI8" s="79" t="str">
        <f t="shared" si="1"/>
        <v>197/110</v>
      </c>
      <c r="AJ8" s="79" t="str">
        <f t="shared" si="1"/>
        <v>181/94</v>
      </c>
      <c r="AK8" s="79" t="e">
        <f t="shared" si="1"/>
        <v>#VALUE!</v>
      </c>
      <c r="AO8" s="136">
        <v>0</v>
      </c>
      <c r="AP8" s="136">
        <v>3</v>
      </c>
      <c r="AQ8" s="86">
        <v>-140</v>
      </c>
      <c r="AR8">
        <v>-60</v>
      </c>
      <c r="AS8">
        <v>-20</v>
      </c>
      <c r="AT8">
        <v>-20</v>
      </c>
      <c r="AU8">
        <v>-14</v>
      </c>
      <c r="AV8">
        <v>-14</v>
      </c>
      <c r="AW8" s="143">
        <v>-14</v>
      </c>
      <c r="AX8" s="143">
        <v>-6</v>
      </c>
      <c r="AY8" s="143">
        <v>-6</v>
      </c>
      <c r="AZ8" s="143">
        <v>-6</v>
      </c>
      <c r="BA8" s="143">
        <v>-2</v>
      </c>
      <c r="BB8" s="143">
        <v>-2</v>
      </c>
      <c r="BC8" s="143">
        <v>0</v>
      </c>
      <c r="BD8" s="143">
        <v>0</v>
      </c>
      <c r="BE8" s="143">
        <v>0</v>
      </c>
      <c r="BF8" s="143">
        <v>0</v>
      </c>
      <c r="BG8" s="143">
        <v>0</v>
      </c>
      <c r="BH8" s="143">
        <v>2</v>
      </c>
      <c r="BI8" s="143">
        <v>3</v>
      </c>
      <c r="BJ8" s="143">
        <v>5</v>
      </c>
      <c r="BK8" s="143">
        <v>4</v>
      </c>
      <c r="BL8" s="79">
        <v>6</v>
      </c>
      <c r="BM8" s="79">
        <v>6</v>
      </c>
      <c r="BN8" s="79">
        <v>8</v>
      </c>
      <c r="BO8" s="79">
        <v>10</v>
      </c>
      <c r="BP8" s="79">
        <v>12</v>
      </c>
      <c r="BQ8" s="79">
        <v>16</v>
      </c>
      <c r="BR8" s="79">
        <v>20</v>
      </c>
      <c r="BS8" s="164" t="s">
        <v>131</v>
      </c>
      <c r="BT8" s="79">
        <v>24</v>
      </c>
      <c r="BU8" s="79">
        <v>26</v>
      </c>
      <c r="BW8" s="136">
        <v>0</v>
      </c>
      <c r="BX8" s="136">
        <v>3</v>
      </c>
      <c r="BY8" s="79">
        <v>180</v>
      </c>
      <c r="BZ8" s="79">
        <v>85</v>
      </c>
      <c r="CA8" s="79">
        <v>100</v>
      </c>
      <c r="CB8" s="79">
        <v>34</v>
      </c>
      <c r="CC8" s="79">
        <v>45</v>
      </c>
      <c r="CD8" s="79">
        <v>60</v>
      </c>
      <c r="CE8" s="79">
        <v>24</v>
      </c>
      <c r="CF8" s="79">
        <v>28</v>
      </c>
      <c r="CG8" s="134">
        <v>39</v>
      </c>
      <c r="CH8" s="134">
        <v>12</v>
      </c>
      <c r="CI8" s="134">
        <v>16</v>
      </c>
      <c r="CJ8" s="134">
        <v>20</v>
      </c>
      <c r="CK8" s="134">
        <v>8</v>
      </c>
      <c r="CL8" s="134">
        <v>12</v>
      </c>
      <c r="CM8" s="134">
        <v>6</v>
      </c>
      <c r="CN8" s="134">
        <v>10</v>
      </c>
      <c r="CO8" s="134">
        <v>14</v>
      </c>
      <c r="CP8" s="134">
        <v>25</v>
      </c>
      <c r="CQ8" s="134">
        <v>40</v>
      </c>
      <c r="CR8" s="134">
        <v>3</v>
      </c>
      <c r="CS8" s="134">
        <v>5</v>
      </c>
      <c r="CT8" s="134">
        <v>0</v>
      </c>
      <c r="CU8" s="134">
        <v>0</v>
      </c>
      <c r="CV8" s="134">
        <v>-2</v>
      </c>
      <c r="CW8" s="134">
        <v>-2</v>
      </c>
      <c r="CX8" s="134">
        <v>-4</v>
      </c>
      <c r="CY8" s="134">
        <v>-4</v>
      </c>
      <c r="CZ8" s="134">
        <v>-6</v>
      </c>
      <c r="DA8" s="79">
        <v>-6</v>
      </c>
      <c r="DB8" s="79">
        <v>-10</v>
      </c>
      <c r="DC8" s="79">
        <v>-14</v>
      </c>
      <c r="DD8" s="164" t="s">
        <v>180</v>
      </c>
      <c r="DE8" s="79">
        <v>-18</v>
      </c>
      <c r="DF8" s="79">
        <v>-20</v>
      </c>
    </row>
    <row r="9" spans="2:110">
      <c r="B9" s="224"/>
      <c r="C9" s="135" t="s">
        <v>238</v>
      </c>
      <c r="D9" s="79" t="str">
        <f t="shared" si="0"/>
        <v>472/310</v>
      </c>
      <c r="E9" s="79" t="str">
        <f t="shared" si="0"/>
        <v>384/260</v>
      </c>
      <c r="F9" s="79" t="str">
        <f t="shared" si="0"/>
        <v>422/260</v>
      </c>
      <c r="G9" s="79" t="str">
        <f t="shared" si="0"/>
        <v>311/210</v>
      </c>
      <c r="H9" s="79" t="str">
        <f t="shared" si="0"/>
        <v>334/210</v>
      </c>
      <c r="I9" s="79" t="str">
        <f t="shared" si="0"/>
        <v>372/210</v>
      </c>
      <c r="J9" s="79" t="str">
        <f t="shared" si="0"/>
        <v>267/180</v>
      </c>
      <c r="K9" s="79" t="str">
        <f t="shared" si="0"/>
        <v>281/180</v>
      </c>
      <c r="L9" s="79" t="str">
        <f t="shared" si="0"/>
        <v>304/180</v>
      </c>
      <c r="M9" s="79" t="str">
        <f t="shared" si="0"/>
        <v>233/155</v>
      </c>
      <c r="N9" s="79" t="str">
        <f t="shared" si="0"/>
        <v>242/155</v>
      </c>
      <c r="O9" s="79" t="str">
        <f t="shared" si="0"/>
        <v>256/155</v>
      </c>
      <c r="P9" s="79" t="str">
        <f t="shared" si="0"/>
        <v>217/139</v>
      </c>
      <c r="Q9" s="79" t="str">
        <f t="shared" si="0"/>
        <v>226/139</v>
      </c>
      <c r="R9" s="79" t="str">
        <f t="shared" si="0"/>
        <v>208/130</v>
      </c>
      <c r="S9" s="79" t="str">
        <f t="shared" si="0"/>
        <v>217/130</v>
      </c>
      <c r="T9" s="79" t="str">
        <f t="shared" si="1"/>
        <v>231/130</v>
      </c>
      <c r="U9" s="79" t="str">
        <f t="shared" si="1"/>
        <v>254/130</v>
      </c>
      <c r="V9" s="79" t="str">
        <f t="shared" si="1"/>
        <v>292/130</v>
      </c>
      <c r="W9" s="79" t="str">
        <f t="shared" si="1"/>
        <v>200/122</v>
      </c>
      <c r="X9" s="79" t="str">
        <f t="shared" si="1"/>
        <v>204/118</v>
      </c>
      <c r="Y9" s="79" t="str">
        <f t="shared" si="1"/>
        <v>195/117</v>
      </c>
      <c r="Z9" s="79" t="str">
        <f t="shared" si="1"/>
        <v>199/112</v>
      </c>
      <c r="AA9" s="79" t="str">
        <f t="shared" si="1"/>
        <v>188/110</v>
      </c>
      <c r="AB9" s="79" t="str">
        <f t="shared" si="1"/>
        <v>192/105</v>
      </c>
      <c r="AC9" s="79" t="str">
        <f t="shared" si="1"/>
        <v>180/102</v>
      </c>
      <c r="AD9" s="79" t="str">
        <f t="shared" si="1"/>
        <v>184/97</v>
      </c>
      <c r="AE9" s="79" t="str">
        <f t="shared" si="1"/>
        <v>171/93</v>
      </c>
      <c r="AF9" s="79" t="str">
        <f t="shared" si="1"/>
        <v>175/88</v>
      </c>
      <c r="AG9" s="79" t="str">
        <f t="shared" si="1"/>
        <v>167/80</v>
      </c>
      <c r="AH9" s="79" t="str">
        <f t="shared" si="1"/>
        <v>158/71</v>
      </c>
      <c r="AI9" s="79" t="str">
        <f t="shared" si="1"/>
        <v>147/60</v>
      </c>
      <c r="AJ9" s="79" t="str">
        <f t="shared" si="1"/>
        <v>131/44</v>
      </c>
      <c r="AK9" s="79" t="e">
        <f t="shared" si="1"/>
        <v>#VALUE!</v>
      </c>
      <c r="AO9" s="136">
        <v>3</v>
      </c>
      <c r="AP9" s="136">
        <v>6</v>
      </c>
      <c r="AQ9">
        <v>-140</v>
      </c>
      <c r="AR9">
        <v>-70</v>
      </c>
      <c r="AS9">
        <v>-30</v>
      </c>
      <c r="AT9">
        <v>-30</v>
      </c>
      <c r="AU9">
        <v>-20</v>
      </c>
      <c r="AV9">
        <v>-20</v>
      </c>
      <c r="AW9" s="143">
        <v>-20</v>
      </c>
      <c r="AX9" s="143">
        <v>-10</v>
      </c>
      <c r="AY9" s="143">
        <v>-10</v>
      </c>
      <c r="AZ9" s="143">
        <v>-10</v>
      </c>
      <c r="BA9" s="143">
        <v>-4</v>
      </c>
      <c r="BB9" s="143">
        <v>-4</v>
      </c>
      <c r="BC9" s="143">
        <v>0</v>
      </c>
      <c r="BD9" s="143">
        <v>0</v>
      </c>
      <c r="BE9" s="143">
        <v>0</v>
      </c>
      <c r="BF9" s="143">
        <v>0</v>
      </c>
      <c r="BG9" s="143">
        <v>0</v>
      </c>
      <c r="BH9" s="143">
        <v>2.5</v>
      </c>
      <c r="BI9" s="143">
        <v>4</v>
      </c>
      <c r="BJ9" s="143">
        <v>6</v>
      </c>
      <c r="BK9" s="143">
        <v>6</v>
      </c>
      <c r="BL9" s="79">
        <v>9</v>
      </c>
      <c r="BM9" s="79">
        <v>9</v>
      </c>
      <c r="BN9" s="79">
        <v>12</v>
      </c>
      <c r="BO9" s="79">
        <v>16</v>
      </c>
      <c r="BP9" s="79">
        <v>20</v>
      </c>
      <c r="BQ9" s="79">
        <v>23</v>
      </c>
      <c r="BR9" s="79">
        <v>27</v>
      </c>
      <c r="BS9" s="164" t="s">
        <v>131</v>
      </c>
      <c r="BT9" s="79">
        <v>31</v>
      </c>
      <c r="BU9" s="79">
        <v>36</v>
      </c>
      <c r="BW9" s="136">
        <v>3</v>
      </c>
      <c r="BX9" s="136">
        <v>6</v>
      </c>
      <c r="BY9" s="79">
        <v>188</v>
      </c>
      <c r="BZ9" s="79">
        <v>100</v>
      </c>
      <c r="CA9" s="79">
        <v>118</v>
      </c>
      <c r="CB9" s="79">
        <v>48</v>
      </c>
      <c r="CC9" s="79">
        <v>60</v>
      </c>
      <c r="CD9" s="79">
        <v>78</v>
      </c>
      <c r="CE9" s="79">
        <v>32</v>
      </c>
      <c r="CF9" s="79">
        <v>38</v>
      </c>
      <c r="CG9" s="134">
        <v>50</v>
      </c>
      <c r="CH9" s="134">
        <v>18</v>
      </c>
      <c r="CI9" s="134">
        <v>22</v>
      </c>
      <c r="CJ9" s="134">
        <v>28</v>
      </c>
      <c r="CK9" s="134">
        <v>12</v>
      </c>
      <c r="CL9" s="134">
        <v>16</v>
      </c>
      <c r="CM9" s="134">
        <v>8</v>
      </c>
      <c r="CN9" s="134">
        <v>12</v>
      </c>
      <c r="CO9" s="134">
        <v>18</v>
      </c>
      <c r="CP9" s="134">
        <v>30</v>
      </c>
      <c r="CQ9" s="134">
        <v>48</v>
      </c>
      <c r="CR9" s="134">
        <v>4</v>
      </c>
      <c r="CS9" s="134">
        <v>6</v>
      </c>
      <c r="CT9" s="134">
        <v>2</v>
      </c>
      <c r="CU9" s="134">
        <v>3</v>
      </c>
      <c r="CV9" s="134">
        <v>-1</v>
      </c>
      <c r="CW9" s="134">
        <v>0</v>
      </c>
      <c r="CX9" s="134">
        <v>-5</v>
      </c>
      <c r="CY9" s="134">
        <v>-4</v>
      </c>
      <c r="CZ9" s="134">
        <v>-9</v>
      </c>
      <c r="DA9" s="79">
        <v>-8</v>
      </c>
      <c r="DB9" s="79">
        <v>-11</v>
      </c>
      <c r="DC9" s="79">
        <v>-15</v>
      </c>
      <c r="DD9" s="164" t="s">
        <v>180</v>
      </c>
      <c r="DE9" s="79">
        <v>-19</v>
      </c>
      <c r="DF9" s="79">
        <v>-24</v>
      </c>
    </row>
    <row r="10" spans="2:110">
      <c r="B10" s="224"/>
      <c r="C10" s="135" t="s">
        <v>240</v>
      </c>
      <c r="D10" s="79" t="str">
        <f t="shared" si="0"/>
        <v>399/260</v>
      </c>
      <c r="E10" s="79" t="str">
        <f t="shared" si="0"/>
        <v>311/210</v>
      </c>
      <c r="F10" s="79" t="str">
        <f t="shared" si="0"/>
        <v>349/210</v>
      </c>
      <c r="G10" s="79" t="str">
        <f t="shared" si="0"/>
        <v>238/160</v>
      </c>
      <c r="H10" s="79" t="str">
        <f t="shared" si="0"/>
        <v>261/160</v>
      </c>
      <c r="I10" s="79" t="str">
        <f t="shared" si="0"/>
        <v>299/160</v>
      </c>
      <c r="J10" s="79" t="str">
        <f t="shared" si="0"/>
        <v>194/130</v>
      </c>
      <c r="K10" s="79" t="str">
        <f t="shared" si="0"/>
        <v>208/130</v>
      </c>
      <c r="L10" s="79" t="str">
        <f t="shared" si="0"/>
        <v>231/130</v>
      </c>
      <c r="M10" s="79" t="str">
        <f t="shared" si="0"/>
        <v>160/105</v>
      </c>
      <c r="N10" s="79" t="str">
        <f t="shared" si="0"/>
        <v>169/105</v>
      </c>
      <c r="O10" s="79" t="str">
        <f t="shared" si="0"/>
        <v>183/105</v>
      </c>
      <c r="P10" s="79" t="str">
        <f t="shared" si="0"/>
        <v>144/89</v>
      </c>
      <c r="Q10" s="79" t="str">
        <f t="shared" si="0"/>
        <v>153/89</v>
      </c>
      <c r="R10" s="79" t="str">
        <f t="shared" si="0"/>
        <v>135/80</v>
      </c>
      <c r="S10" s="79" t="str">
        <f t="shared" si="0"/>
        <v>144/80</v>
      </c>
      <c r="T10" s="79" t="str">
        <f t="shared" si="1"/>
        <v>158/80</v>
      </c>
      <c r="U10" s="79" t="str">
        <f t="shared" si="1"/>
        <v>181/80</v>
      </c>
      <c r="V10" s="79" t="str">
        <f t="shared" si="1"/>
        <v>219/80</v>
      </c>
      <c r="W10" s="79" t="str">
        <f t="shared" si="1"/>
        <v>127/72</v>
      </c>
      <c r="X10" s="79" t="str">
        <f t="shared" si="1"/>
        <v>131/68</v>
      </c>
      <c r="Y10" s="79" t="str">
        <f t="shared" si="1"/>
        <v>122/67</v>
      </c>
      <c r="Z10" s="79" t="str">
        <f t="shared" si="1"/>
        <v>126/62</v>
      </c>
      <c r="AA10" s="79" t="str">
        <f t="shared" si="1"/>
        <v>115/60</v>
      </c>
      <c r="AB10" s="79" t="str">
        <f t="shared" si="1"/>
        <v>119/55</v>
      </c>
      <c r="AC10" s="79" t="str">
        <f t="shared" si="1"/>
        <v>107/52</v>
      </c>
      <c r="AD10" s="79" t="str">
        <f t="shared" si="1"/>
        <v>111/47</v>
      </c>
      <c r="AE10" s="79" t="str">
        <f t="shared" si="1"/>
        <v>98/43</v>
      </c>
      <c r="AF10" s="79" t="str">
        <f t="shared" si="1"/>
        <v>102/38</v>
      </c>
      <c r="AG10" s="79" t="str">
        <f t="shared" si="1"/>
        <v>94/30</v>
      </c>
      <c r="AH10" s="79" t="str">
        <f t="shared" si="1"/>
        <v>85/21</v>
      </c>
      <c r="AI10" s="79" t="str">
        <f t="shared" si="1"/>
        <v>74/10</v>
      </c>
      <c r="AJ10" s="79" t="str">
        <f t="shared" si="1"/>
        <v>58/-6</v>
      </c>
      <c r="AK10" s="79" t="e">
        <f t="shared" si="1"/>
        <v>#VALUE!</v>
      </c>
      <c r="AO10" s="136">
        <v>6</v>
      </c>
      <c r="AP10" s="136">
        <v>10</v>
      </c>
      <c r="AQ10">
        <v>-150</v>
      </c>
      <c r="AR10">
        <v>-80</v>
      </c>
      <c r="AS10">
        <v>-40</v>
      </c>
      <c r="AT10">
        <v>-40</v>
      </c>
      <c r="AU10">
        <v>-25</v>
      </c>
      <c r="AV10">
        <v>-25</v>
      </c>
      <c r="AW10" s="143">
        <v>-25</v>
      </c>
      <c r="AX10" s="143">
        <v>-13</v>
      </c>
      <c r="AY10" s="143">
        <v>-13</v>
      </c>
      <c r="AZ10" s="143">
        <v>-13</v>
      </c>
      <c r="BA10" s="143">
        <v>-5</v>
      </c>
      <c r="BB10" s="143">
        <v>-5</v>
      </c>
      <c r="BC10" s="143">
        <v>0</v>
      </c>
      <c r="BD10" s="143">
        <v>0</v>
      </c>
      <c r="BE10" s="143">
        <v>0</v>
      </c>
      <c r="BF10" s="143">
        <v>0</v>
      </c>
      <c r="BG10" s="143">
        <v>0</v>
      </c>
      <c r="BH10" s="143">
        <v>3</v>
      </c>
      <c r="BI10" s="143">
        <v>4.5</v>
      </c>
      <c r="BJ10" s="143">
        <v>7</v>
      </c>
      <c r="BK10" s="143">
        <v>7</v>
      </c>
      <c r="BL10" s="79">
        <v>10</v>
      </c>
      <c r="BM10" s="79">
        <v>12</v>
      </c>
      <c r="BN10" s="79">
        <v>15</v>
      </c>
      <c r="BO10" s="79">
        <v>19</v>
      </c>
      <c r="BP10" s="79">
        <v>24</v>
      </c>
      <c r="BQ10" s="79">
        <v>28</v>
      </c>
      <c r="BR10" s="79">
        <v>32</v>
      </c>
      <c r="BS10" s="164" t="s">
        <v>131</v>
      </c>
      <c r="BT10" s="79">
        <v>37</v>
      </c>
      <c r="BU10" s="79">
        <v>43</v>
      </c>
      <c r="BW10" s="136">
        <v>6</v>
      </c>
      <c r="BX10" s="136">
        <v>10</v>
      </c>
      <c r="BY10" s="79">
        <v>208</v>
      </c>
      <c r="BZ10" s="79">
        <v>116</v>
      </c>
      <c r="CA10" s="79">
        <v>138</v>
      </c>
      <c r="CB10" s="79">
        <v>62</v>
      </c>
      <c r="CC10" s="79">
        <v>76</v>
      </c>
      <c r="CD10" s="79">
        <v>98</v>
      </c>
      <c r="CE10" s="79">
        <v>40</v>
      </c>
      <c r="CF10" s="79">
        <v>47</v>
      </c>
      <c r="CG10" s="134">
        <v>61</v>
      </c>
      <c r="CH10" s="134">
        <v>22</v>
      </c>
      <c r="CI10" s="134">
        <v>28</v>
      </c>
      <c r="CJ10" s="134">
        <v>35</v>
      </c>
      <c r="CK10" s="134">
        <v>14</v>
      </c>
      <c r="CL10" s="134">
        <v>20</v>
      </c>
      <c r="CM10" s="134">
        <v>9</v>
      </c>
      <c r="CN10" s="134">
        <v>15</v>
      </c>
      <c r="CO10" s="134">
        <v>22</v>
      </c>
      <c r="CP10" s="134">
        <v>36</v>
      </c>
      <c r="CQ10" s="134">
        <v>58</v>
      </c>
      <c r="CR10" s="134">
        <v>4.5</v>
      </c>
      <c r="CS10" s="134">
        <v>7</v>
      </c>
      <c r="CT10" s="134">
        <v>2</v>
      </c>
      <c r="CU10" s="134">
        <v>5</v>
      </c>
      <c r="CV10" s="134">
        <v>-3</v>
      </c>
      <c r="CW10" s="134">
        <v>0</v>
      </c>
      <c r="CX10" s="134">
        <v>-7</v>
      </c>
      <c r="CY10" s="134">
        <v>-4</v>
      </c>
      <c r="CZ10" s="134">
        <v>-12</v>
      </c>
      <c r="DA10" s="79">
        <v>-9</v>
      </c>
      <c r="DB10" s="79">
        <v>-13</v>
      </c>
      <c r="DC10" s="79">
        <v>-17</v>
      </c>
      <c r="DD10" s="164" t="s">
        <v>180</v>
      </c>
      <c r="DE10" s="79">
        <v>-22</v>
      </c>
      <c r="DF10" s="79">
        <v>-28</v>
      </c>
    </row>
    <row r="11" spans="2:110">
      <c r="B11" s="224"/>
      <c r="C11" s="135" t="s">
        <v>242</v>
      </c>
      <c r="D11" s="79" t="str">
        <f t="shared" si="0"/>
        <v>422/260</v>
      </c>
      <c r="E11" s="79" t="str">
        <f t="shared" si="0"/>
        <v>334/210</v>
      </c>
      <c r="F11" s="79" t="str">
        <f t="shared" si="0"/>
        <v>372/210</v>
      </c>
      <c r="G11" s="79" t="str">
        <f t="shared" si="0"/>
        <v>261/160</v>
      </c>
      <c r="H11" s="79" t="str">
        <f t="shared" si="0"/>
        <v>284/160</v>
      </c>
      <c r="I11" s="79" t="str">
        <f t="shared" si="0"/>
        <v>322/160</v>
      </c>
      <c r="J11" s="79" t="str">
        <f t="shared" si="0"/>
        <v>217/130</v>
      </c>
      <c r="K11" s="79" t="str">
        <f t="shared" si="0"/>
        <v>231/130</v>
      </c>
      <c r="L11" s="79" t="str">
        <f t="shared" si="0"/>
        <v>254/130</v>
      </c>
      <c r="M11" s="79" t="str">
        <f t="shared" si="0"/>
        <v>183/105</v>
      </c>
      <c r="N11" s="79" t="str">
        <f t="shared" si="0"/>
        <v>192/105</v>
      </c>
      <c r="O11" s="79" t="str">
        <f t="shared" si="0"/>
        <v>206/105</v>
      </c>
      <c r="P11" s="79" t="str">
        <f t="shared" si="0"/>
        <v>167/89</v>
      </c>
      <c r="Q11" s="79" t="str">
        <f t="shared" si="0"/>
        <v>176/89</v>
      </c>
      <c r="R11" s="79" t="str">
        <f t="shared" si="0"/>
        <v>158/80</v>
      </c>
      <c r="S11" s="79" t="str">
        <f t="shared" si="0"/>
        <v>167/80</v>
      </c>
      <c r="T11" s="79" t="str">
        <f t="shared" si="1"/>
        <v>181/80</v>
      </c>
      <c r="U11" s="79" t="str">
        <f t="shared" si="1"/>
        <v>204/80</v>
      </c>
      <c r="V11" s="79" t="str">
        <f t="shared" si="1"/>
        <v>242/80</v>
      </c>
      <c r="W11" s="79" t="str">
        <f t="shared" si="1"/>
        <v>150/72</v>
      </c>
      <c r="X11" s="79" t="str">
        <f t="shared" si="1"/>
        <v>154/68</v>
      </c>
      <c r="Y11" s="79" t="str">
        <f t="shared" si="1"/>
        <v>145/67</v>
      </c>
      <c r="Z11" s="79" t="str">
        <f t="shared" si="1"/>
        <v>149/62</v>
      </c>
      <c r="AA11" s="79" t="str">
        <f t="shared" si="1"/>
        <v>138/60</v>
      </c>
      <c r="AB11" s="79" t="str">
        <f t="shared" si="1"/>
        <v>142/55</v>
      </c>
      <c r="AC11" s="79" t="str">
        <f t="shared" si="1"/>
        <v>130/52</v>
      </c>
      <c r="AD11" s="79" t="str">
        <f t="shared" si="1"/>
        <v>134/47</v>
      </c>
      <c r="AE11" s="79" t="str">
        <f t="shared" si="1"/>
        <v>121/43</v>
      </c>
      <c r="AF11" s="79" t="str">
        <f t="shared" si="1"/>
        <v>125/38</v>
      </c>
      <c r="AG11" s="79" t="str">
        <f t="shared" si="1"/>
        <v>117/30</v>
      </c>
      <c r="AH11" s="79" t="str">
        <f t="shared" si="1"/>
        <v>108/21</v>
      </c>
      <c r="AI11" s="79" t="str">
        <f t="shared" si="1"/>
        <v>97/10</v>
      </c>
      <c r="AJ11" s="79" t="str">
        <f t="shared" si="1"/>
        <v>81/-6</v>
      </c>
      <c r="AK11" s="79" t="e">
        <f t="shared" si="1"/>
        <v>#VALUE!</v>
      </c>
      <c r="AO11" s="137">
        <v>10</v>
      </c>
      <c r="AP11" s="137">
        <v>14</v>
      </c>
      <c r="AQ11">
        <v>-150</v>
      </c>
      <c r="AR11">
        <v>-95</v>
      </c>
      <c r="AS11">
        <v>-50</v>
      </c>
      <c r="AT11">
        <v>-50</v>
      </c>
      <c r="AU11">
        <v>-32</v>
      </c>
      <c r="AV11">
        <v>-32</v>
      </c>
      <c r="AW11" s="143">
        <v>-32</v>
      </c>
      <c r="AX11" s="143">
        <v>-16</v>
      </c>
      <c r="AY11" s="143">
        <v>-16</v>
      </c>
      <c r="AZ11" s="143">
        <v>-16</v>
      </c>
      <c r="BA11" s="143">
        <v>-6</v>
      </c>
      <c r="BB11" s="143">
        <v>-6</v>
      </c>
      <c r="BC11" s="143">
        <v>0</v>
      </c>
      <c r="BD11" s="143">
        <v>0</v>
      </c>
      <c r="BE11" s="143">
        <v>0</v>
      </c>
      <c r="BF11" s="143">
        <v>0</v>
      </c>
      <c r="BG11" s="143">
        <v>0</v>
      </c>
      <c r="BH11" s="143">
        <v>1</v>
      </c>
      <c r="BI11" s="143">
        <v>5.5</v>
      </c>
      <c r="BJ11" s="143">
        <v>9</v>
      </c>
      <c r="BK11" s="143">
        <v>9</v>
      </c>
      <c r="BL11" s="79">
        <v>12</v>
      </c>
      <c r="BM11" s="79">
        <v>15</v>
      </c>
      <c r="BN11" s="79">
        <v>18</v>
      </c>
      <c r="BO11" s="79">
        <v>23</v>
      </c>
      <c r="BP11" s="79">
        <v>29</v>
      </c>
      <c r="BQ11" s="79">
        <v>34</v>
      </c>
      <c r="BR11" s="79">
        <v>39</v>
      </c>
      <c r="BS11" s="164" t="s">
        <v>131</v>
      </c>
      <c r="BT11" s="79">
        <v>44</v>
      </c>
      <c r="BU11" s="79">
        <v>51</v>
      </c>
      <c r="BW11" s="137">
        <v>10</v>
      </c>
      <c r="BX11" s="137">
        <v>14</v>
      </c>
      <c r="BY11" s="79">
        <v>220</v>
      </c>
      <c r="BZ11" s="79">
        <v>138</v>
      </c>
      <c r="CA11" s="79">
        <v>165</v>
      </c>
      <c r="CB11" s="79">
        <v>77</v>
      </c>
      <c r="CC11" s="79">
        <v>93</v>
      </c>
      <c r="CD11" s="79">
        <v>120</v>
      </c>
      <c r="CE11" s="79">
        <v>50</v>
      </c>
      <c r="CF11" s="79">
        <v>59</v>
      </c>
      <c r="CG11" s="134">
        <v>75</v>
      </c>
      <c r="CH11" s="134">
        <v>27</v>
      </c>
      <c r="CI11" s="134">
        <v>34</v>
      </c>
      <c r="CJ11" s="134">
        <v>43</v>
      </c>
      <c r="CK11" s="134">
        <v>17</v>
      </c>
      <c r="CL11" s="134">
        <v>24</v>
      </c>
      <c r="CM11" s="134">
        <v>11</v>
      </c>
      <c r="CN11" s="134">
        <v>18</v>
      </c>
      <c r="CO11" s="134">
        <v>27</v>
      </c>
      <c r="CP11" s="134">
        <v>43</v>
      </c>
      <c r="CQ11" s="134">
        <v>70</v>
      </c>
      <c r="CR11" s="134">
        <v>5.5</v>
      </c>
      <c r="CS11" s="134">
        <v>9</v>
      </c>
      <c r="CT11" s="134">
        <v>2</v>
      </c>
      <c r="CU11" s="134">
        <v>6</v>
      </c>
      <c r="CV11" s="134">
        <v>-4</v>
      </c>
      <c r="CW11" s="134">
        <v>0</v>
      </c>
      <c r="CX11" s="134">
        <v>-9</v>
      </c>
      <c r="CY11" s="134">
        <v>-5</v>
      </c>
      <c r="CZ11" s="134">
        <v>-15</v>
      </c>
      <c r="DA11" s="79">
        <v>-11</v>
      </c>
      <c r="DB11" s="79">
        <v>-16</v>
      </c>
      <c r="DC11" s="79">
        <v>-21</v>
      </c>
      <c r="DD11" s="164" t="s">
        <v>180</v>
      </c>
      <c r="DE11" s="79">
        <v>-26</v>
      </c>
      <c r="DF11" s="79">
        <v>-33</v>
      </c>
    </row>
    <row r="12" spans="2:110">
      <c r="B12" s="224"/>
      <c r="C12" s="135" t="s">
        <v>244</v>
      </c>
      <c r="D12" s="79" t="str">
        <f t="shared" si="0"/>
        <v>355/230</v>
      </c>
      <c r="E12" s="79" t="str">
        <f t="shared" si="0"/>
        <v>267/180</v>
      </c>
      <c r="F12" s="79" t="str">
        <f t="shared" si="0"/>
        <v>305/180</v>
      </c>
      <c r="G12" s="79" t="str">
        <f t="shared" si="0"/>
        <v>194/130</v>
      </c>
      <c r="H12" s="79" t="str">
        <f t="shared" si="0"/>
        <v>217/130</v>
      </c>
      <c r="I12" s="79" t="str">
        <f t="shared" si="0"/>
        <v>255/130</v>
      </c>
      <c r="J12" s="79" t="str">
        <f t="shared" si="0"/>
        <v>150/100</v>
      </c>
      <c r="K12" s="79" t="str">
        <f t="shared" si="0"/>
        <v>164/100</v>
      </c>
      <c r="L12" s="79" t="str">
        <f t="shared" si="0"/>
        <v>187/100</v>
      </c>
      <c r="M12" s="79" t="str">
        <f t="shared" si="0"/>
        <v>116/75</v>
      </c>
      <c r="N12" s="79" t="str">
        <f t="shared" si="0"/>
        <v>125/75</v>
      </c>
      <c r="O12" s="79" t="str">
        <f t="shared" si="0"/>
        <v>139/75</v>
      </c>
      <c r="P12" s="79" t="str">
        <f t="shared" si="0"/>
        <v>100/59</v>
      </c>
      <c r="Q12" s="79" t="str">
        <f t="shared" si="0"/>
        <v>109/59</v>
      </c>
      <c r="R12" s="79" t="str">
        <f t="shared" si="0"/>
        <v>91/50</v>
      </c>
      <c r="S12" s="79" t="str">
        <f t="shared" si="0"/>
        <v>100/50</v>
      </c>
      <c r="T12" s="79" t="str">
        <f t="shared" si="1"/>
        <v>114/50</v>
      </c>
      <c r="U12" s="79" t="str">
        <f t="shared" si="1"/>
        <v>137/50</v>
      </c>
      <c r="V12" s="79" t="str">
        <f t="shared" si="1"/>
        <v>175/50</v>
      </c>
      <c r="W12" s="79" t="str">
        <f t="shared" si="1"/>
        <v>83/42</v>
      </c>
      <c r="X12" s="79" t="str">
        <f t="shared" si="1"/>
        <v>87/38</v>
      </c>
      <c r="Y12" s="79" t="str">
        <f t="shared" si="1"/>
        <v>78/37</v>
      </c>
      <c r="Z12" s="79" t="str">
        <f t="shared" si="1"/>
        <v>82/32</v>
      </c>
      <c r="AA12" s="79" t="str">
        <f t="shared" si="1"/>
        <v>71/30</v>
      </c>
      <c r="AB12" s="79" t="str">
        <f t="shared" si="1"/>
        <v>75/25</v>
      </c>
      <c r="AC12" s="79" t="str">
        <f t="shared" si="1"/>
        <v>63/22</v>
      </c>
      <c r="AD12" s="79" t="str">
        <f t="shared" si="1"/>
        <v>67/17</v>
      </c>
      <c r="AE12" s="79" t="str">
        <f t="shared" si="1"/>
        <v>54/13</v>
      </c>
      <c r="AF12" s="79" t="str">
        <f t="shared" si="1"/>
        <v>58/8</v>
      </c>
      <c r="AG12" s="79" t="str">
        <f t="shared" si="1"/>
        <v>50/0</v>
      </c>
      <c r="AH12" s="79" t="str">
        <f t="shared" si="1"/>
        <v>41/-9</v>
      </c>
      <c r="AI12" s="79" t="str">
        <f t="shared" si="1"/>
        <v>30/-20</v>
      </c>
      <c r="AJ12" s="79" t="str">
        <f t="shared" si="1"/>
        <v>14/-36</v>
      </c>
      <c r="AK12" s="79" t="e">
        <f t="shared" si="1"/>
        <v>#VALUE!</v>
      </c>
      <c r="AO12" s="137">
        <v>14</v>
      </c>
      <c r="AP12" s="137">
        <v>18</v>
      </c>
      <c r="AQ12">
        <v>-150</v>
      </c>
      <c r="AR12">
        <v>-95</v>
      </c>
      <c r="AS12">
        <v>-50</v>
      </c>
      <c r="AT12">
        <v>-50</v>
      </c>
      <c r="AU12">
        <v>-32</v>
      </c>
      <c r="AV12">
        <v>-32</v>
      </c>
      <c r="AW12" s="143">
        <v>-32</v>
      </c>
      <c r="AX12" s="143">
        <v>-16</v>
      </c>
      <c r="AY12" s="143">
        <v>-16</v>
      </c>
      <c r="AZ12" s="143">
        <v>-16</v>
      </c>
      <c r="BA12" s="143">
        <v>-6</v>
      </c>
      <c r="BB12" s="143">
        <v>-6</v>
      </c>
      <c r="BC12" s="143">
        <v>0</v>
      </c>
      <c r="BD12" s="143">
        <v>0</v>
      </c>
      <c r="BE12" s="143">
        <v>0</v>
      </c>
      <c r="BF12" s="143">
        <v>0</v>
      </c>
      <c r="BG12" s="143">
        <v>0</v>
      </c>
      <c r="BH12" s="143">
        <v>1</v>
      </c>
      <c r="BI12" s="143">
        <v>5.5</v>
      </c>
      <c r="BJ12" s="143">
        <v>9</v>
      </c>
      <c r="BK12" s="143">
        <v>9</v>
      </c>
      <c r="BL12" s="79">
        <v>12</v>
      </c>
      <c r="BM12" s="79">
        <v>15</v>
      </c>
      <c r="BN12" s="79">
        <v>18</v>
      </c>
      <c r="BO12" s="79">
        <v>23</v>
      </c>
      <c r="BP12" s="79">
        <v>29</v>
      </c>
      <c r="BQ12" s="79">
        <v>34</v>
      </c>
      <c r="BR12" s="79">
        <v>39</v>
      </c>
      <c r="BS12" s="164" t="s">
        <v>131</v>
      </c>
      <c r="BT12" s="79">
        <v>44</v>
      </c>
      <c r="BU12" s="79">
        <v>56</v>
      </c>
      <c r="BW12" s="137">
        <v>14</v>
      </c>
      <c r="BX12" s="137">
        <v>18</v>
      </c>
      <c r="BY12" s="79">
        <v>220</v>
      </c>
      <c r="BZ12" s="79">
        <v>138</v>
      </c>
      <c r="CA12" s="79">
        <v>165</v>
      </c>
      <c r="CB12" s="79">
        <v>77</v>
      </c>
      <c r="CC12" s="79">
        <v>93</v>
      </c>
      <c r="CD12" s="79">
        <v>120</v>
      </c>
      <c r="CE12" s="79">
        <v>50</v>
      </c>
      <c r="CF12" s="79">
        <v>59</v>
      </c>
      <c r="CG12" s="134">
        <v>75</v>
      </c>
      <c r="CH12" s="134">
        <v>27</v>
      </c>
      <c r="CI12" s="134">
        <v>34</v>
      </c>
      <c r="CJ12" s="134">
        <v>43</v>
      </c>
      <c r="CK12" s="134">
        <v>17</v>
      </c>
      <c r="CL12" s="134">
        <v>24</v>
      </c>
      <c r="CM12" s="134">
        <v>11</v>
      </c>
      <c r="CN12" s="134">
        <v>18</v>
      </c>
      <c r="CO12" s="134">
        <v>27</v>
      </c>
      <c r="CP12" s="134">
        <v>43</v>
      </c>
      <c r="CQ12" s="134">
        <v>70</v>
      </c>
      <c r="CR12" s="134">
        <v>5.5</v>
      </c>
      <c r="CS12" s="134">
        <v>9</v>
      </c>
      <c r="CT12" s="134">
        <v>2</v>
      </c>
      <c r="CU12" s="134">
        <v>6</v>
      </c>
      <c r="CV12" s="134">
        <v>-4</v>
      </c>
      <c r="CW12" s="134">
        <v>0</v>
      </c>
      <c r="CX12" s="134">
        <v>-9</v>
      </c>
      <c r="CY12" s="134">
        <v>-5</v>
      </c>
      <c r="CZ12" s="134">
        <v>-15</v>
      </c>
      <c r="DA12" s="79">
        <v>-11</v>
      </c>
      <c r="DB12" s="79">
        <v>-16</v>
      </c>
      <c r="DC12" s="79">
        <v>-21</v>
      </c>
      <c r="DD12" s="164" t="s">
        <v>180</v>
      </c>
      <c r="DE12" s="79">
        <v>-26</v>
      </c>
      <c r="DF12" s="79">
        <v>-38</v>
      </c>
    </row>
    <row r="13" spans="2:110">
      <c r="B13" s="224"/>
      <c r="C13" s="135" t="s">
        <v>246</v>
      </c>
      <c r="D13" s="79" t="str">
        <f t="shared" si="0"/>
        <v>369/230</v>
      </c>
      <c r="E13" s="79" t="str">
        <f t="shared" si="0"/>
        <v>281/180</v>
      </c>
      <c r="F13" s="79" t="str">
        <f t="shared" si="0"/>
        <v>319/180</v>
      </c>
      <c r="G13" s="79" t="str">
        <f t="shared" si="0"/>
        <v>208/130</v>
      </c>
      <c r="H13" s="79" t="str">
        <f t="shared" si="0"/>
        <v>231/130</v>
      </c>
      <c r="I13" s="79" t="str">
        <f t="shared" si="0"/>
        <v>269/130</v>
      </c>
      <c r="J13" s="79" t="str">
        <f t="shared" si="0"/>
        <v>164/100</v>
      </c>
      <c r="K13" s="79" t="str">
        <f t="shared" si="0"/>
        <v>178/100</v>
      </c>
      <c r="L13" s="79" t="str">
        <f t="shared" si="0"/>
        <v>201/100</v>
      </c>
      <c r="M13" s="79" t="str">
        <f t="shared" si="0"/>
        <v>130/75</v>
      </c>
      <c r="N13" s="79" t="str">
        <f t="shared" si="0"/>
        <v>139/75</v>
      </c>
      <c r="O13" s="79" t="str">
        <f t="shared" si="0"/>
        <v>153/75</v>
      </c>
      <c r="P13" s="79" t="str">
        <f t="shared" si="0"/>
        <v>114/59</v>
      </c>
      <c r="Q13" s="79" t="str">
        <f t="shared" si="0"/>
        <v>123/59</v>
      </c>
      <c r="R13" s="79" t="str">
        <f t="shared" si="0"/>
        <v>105/50</v>
      </c>
      <c r="S13" s="79" t="str">
        <f t="shared" si="0"/>
        <v>114/50</v>
      </c>
      <c r="T13" s="79" t="str">
        <f t="shared" si="1"/>
        <v>128/50</v>
      </c>
      <c r="U13" s="79" t="str">
        <f t="shared" si="1"/>
        <v>151/50</v>
      </c>
      <c r="V13" s="79" t="str">
        <f t="shared" si="1"/>
        <v>189/50</v>
      </c>
      <c r="W13" s="79" t="str">
        <f t="shared" si="1"/>
        <v>97/42</v>
      </c>
      <c r="X13" s="79" t="str">
        <f t="shared" si="1"/>
        <v>101/38</v>
      </c>
      <c r="Y13" s="79" t="str">
        <f t="shared" si="1"/>
        <v>92/37</v>
      </c>
      <c r="Z13" s="79" t="str">
        <f t="shared" si="1"/>
        <v>96/32</v>
      </c>
      <c r="AA13" s="79" t="str">
        <f t="shared" si="1"/>
        <v>85/30</v>
      </c>
      <c r="AB13" s="79" t="str">
        <f t="shared" si="1"/>
        <v>89/25</v>
      </c>
      <c r="AC13" s="79" t="str">
        <f t="shared" si="1"/>
        <v>77/22</v>
      </c>
      <c r="AD13" s="79" t="str">
        <f t="shared" si="1"/>
        <v>81/17</v>
      </c>
      <c r="AE13" s="79" t="str">
        <f t="shared" si="1"/>
        <v>68/13</v>
      </c>
      <c r="AF13" s="79" t="str">
        <f t="shared" si="1"/>
        <v>72/8</v>
      </c>
      <c r="AG13" s="79" t="str">
        <f t="shared" si="1"/>
        <v>64/0</v>
      </c>
      <c r="AH13" s="79" t="str">
        <f t="shared" si="1"/>
        <v>55/-9</v>
      </c>
      <c r="AI13" s="79" t="str">
        <f t="shared" si="1"/>
        <v>44/-20</v>
      </c>
      <c r="AJ13" s="79" t="str">
        <f t="shared" si="1"/>
        <v>28/-36</v>
      </c>
      <c r="AK13" s="79" t="e">
        <f t="shared" si="1"/>
        <v>#VALUE!</v>
      </c>
      <c r="AO13" s="137">
        <v>18</v>
      </c>
      <c r="AP13" s="137">
        <v>24</v>
      </c>
      <c r="AQ13">
        <v>-160</v>
      </c>
      <c r="AR13">
        <v>-110</v>
      </c>
      <c r="AS13">
        <v>-65</v>
      </c>
      <c r="AT13">
        <v>-65</v>
      </c>
      <c r="AU13">
        <v>-40</v>
      </c>
      <c r="AV13">
        <v>-40</v>
      </c>
      <c r="AW13" s="143">
        <v>-40</v>
      </c>
      <c r="AX13" s="143">
        <v>-20</v>
      </c>
      <c r="AY13" s="143">
        <v>-20</v>
      </c>
      <c r="AZ13" s="143">
        <v>-20</v>
      </c>
      <c r="BA13" s="143">
        <v>-7</v>
      </c>
      <c r="BB13" s="143">
        <v>-7</v>
      </c>
      <c r="BC13" s="143">
        <v>0</v>
      </c>
      <c r="BD13" s="143">
        <v>0</v>
      </c>
      <c r="BE13" s="143">
        <v>0</v>
      </c>
      <c r="BF13" s="143">
        <v>0</v>
      </c>
      <c r="BG13" s="143">
        <v>0</v>
      </c>
      <c r="BH13" s="143">
        <v>4.5</v>
      </c>
      <c r="BI13" s="143">
        <v>6.5</v>
      </c>
      <c r="BJ13" s="143">
        <v>10</v>
      </c>
      <c r="BK13" s="143">
        <v>11</v>
      </c>
      <c r="BL13" s="79">
        <v>15</v>
      </c>
      <c r="BM13" s="79">
        <v>17</v>
      </c>
      <c r="BN13" s="79">
        <v>21</v>
      </c>
      <c r="BO13" s="79">
        <v>28</v>
      </c>
      <c r="BP13" s="79">
        <v>35</v>
      </c>
      <c r="BQ13" s="79">
        <v>41</v>
      </c>
      <c r="BR13" s="79">
        <v>48</v>
      </c>
      <c r="BS13" s="164" t="s">
        <v>131</v>
      </c>
      <c r="BT13" s="79">
        <v>54</v>
      </c>
      <c r="BU13" s="79">
        <v>67</v>
      </c>
      <c r="BW13" s="137">
        <v>18</v>
      </c>
      <c r="BX13" s="137">
        <v>24</v>
      </c>
      <c r="BY13" s="79">
        <v>244</v>
      </c>
      <c r="BZ13" s="79">
        <v>162</v>
      </c>
      <c r="CA13" s="79">
        <v>194</v>
      </c>
      <c r="CB13" s="79">
        <v>98</v>
      </c>
      <c r="CC13" s="79">
        <v>117</v>
      </c>
      <c r="CD13" s="79">
        <v>149</v>
      </c>
      <c r="CE13" s="79">
        <v>61</v>
      </c>
      <c r="CF13" s="79">
        <v>73</v>
      </c>
      <c r="CG13" s="134">
        <v>92</v>
      </c>
      <c r="CH13" s="134">
        <v>33</v>
      </c>
      <c r="CI13" s="134">
        <v>41</v>
      </c>
      <c r="CJ13" s="134">
        <v>53</v>
      </c>
      <c r="CK13" s="134">
        <v>20</v>
      </c>
      <c r="CL13" s="134">
        <v>28</v>
      </c>
      <c r="CM13" s="134">
        <v>13</v>
      </c>
      <c r="CN13" s="134">
        <v>21</v>
      </c>
      <c r="CO13" s="134">
        <v>33</v>
      </c>
      <c r="CP13" s="134">
        <v>52</v>
      </c>
      <c r="CQ13" s="134">
        <v>84</v>
      </c>
      <c r="CR13" s="134">
        <v>6.5</v>
      </c>
      <c r="CS13" s="134">
        <v>10</v>
      </c>
      <c r="CT13" s="134">
        <v>2</v>
      </c>
      <c r="CU13" s="134">
        <v>6</v>
      </c>
      <c r="CV13" s="134">
        <v>-4</v>
      </c>
      <c r="CW13" s="134">
        <v>0</v>
      </c>
      <c r="CX13" s="134">
        <v>-11</v>
      </c>
      <c r="CY13" s="134">
        <v>-7</v>
      </c>
      <c r="CZ13" s="134">
        <v>-18</v>
      </c>
      <c r="DA13" s="79">
        <v>-14</v>
      </c>
      <c r="DB13" s="79">
        <v>-20</v>
      </c>
      <c r="DC13" s="79">
        <v>-27</v>
      </c>
      <c r="DD13" s="164" t="s">
        <v>180</v>
      </c>
      <c r="DE13" s="79">
        <v>-33</v>
      </c>
      <c r="DF13" s="79">
        <v>-46</v>
      </c>
    </row>
    <row r="14" spans="2:110">
      <c r="B14" s="224"/>
      <c r="C14" s="144" t="s">
        <v>185</v>
      </c>
      <c r="D14" s="79" t="str">
        <f t="shared" si="0"/>
        <v>392/230</v>
      </c>
      <c r="E14" s="79" t="str">
        <f t="shared" si="0"/>
        <v>304/180</v>
      </c>
      <c r="F14" s="79" t="str">
        <f t="shared" si="0"/>
        <v>342/180</v>
      </c>
      <c r="G14" s="79" t="str">
        <f t="shared" si="0"/>
        <v>231/130</v>
      </c>
      <c r="H14" s="79" t="str">
        <f t="shared" si="0"/>
        <v>254/130</v>
      </c>
      <c r="I14" s="79" t="str">
        <f t="shared" si="0"/>
        <v>292/130</v>
      </c>
      <c r="J14" s="79" t="str">
        <f t="shared" si="0"/>
        <v>187/100</v>
      </c>
      <c r="K14" s="79" t="str">
        <f t="shared" si="0"/>
        <v>201/100</v>
      </c>
      <c r="L14" s="79" t="str">
        <f t="shared" si="0"/>
        <v>224/100</v>
      </c>
      <c r="M14" s="79" t="str">
        <f t="shared" si="0"/>
        <v>153/75</v>
      </c>
      <c r="N14" s="79" t="str">
        <f t="shared" si="0"/>
        <v>162/75</v>
      </c>
      <c r="O14" s="79" t="str">
        <f t="shared" si="0"/>
        <v>176/75</v>
      </c>
      <c r="P14" s="79" t="str">
        <f t="shared" si="0"/>
        <v>137/59</v>
      </c>
      <c r="Q14" s="79" t="str">
        <f t="shared" si="0"/>
        <v>146/59</v>
      </c>
      <c r="R14" s="79" t="str">
        <f t="shared" si="0"/>
        <v>128/50</v>
      </c>
      <c r="S14" s="79" t="str">
        <f t="shared" si="0"/>
        <v>137/50</v>
      </c>
      <c r="T14" s="79" t="str">
        <f t="shared" si="1"/>
        <v>151/50</v>
      </c>
      <c r="U14" s="79" t="str">
        <f t="shared" si="1"/>
        <v>174/50</v>
      </c>
      <c r="V14" s="79" t="str">
        <f t="shared" si="1"/>
        <v>212/50</v>
      </c>
      <c r="W14" s="79" t="str">
        <f t="shared" si="1"/>
        <v>120/42</v>
      </c>
      <c r="X14" s="79" t="str">
        <f t="shared" si="1"/>
        <v>124/38</v>
      </c>
      <c r="Y14" s="79" t="str">
        <f t="shared" si="1"/>
        <v>115/37</v>
      </c>
      <c r="Z14" s="79" t="str">
        <f t="shared" si="1"/>
        <v>119/32</v>
      </c>
      <c r="AA14" s="79" t="str">
        <f t="shared" si="1"/>
        <v>108/30</v>
      </c>
      <c r="AB14" s="79" t="str">
        <f t="shared" si="1"/>
        <v>112/25</v>
      </c>
      <c r="AC14" s="79" t="str">
        <f t="shared" si="1"/>
        <v>100/22</v>
      </c>
      <c r="AD14" s="79" t="str">
        <f t="shared" si="1"/>
        <v>104/17</v>
      </c>
      <c r="AE14" s="79" t="str">
        <f t="shared" si="1"/>
        <v>91/13</v>
      </c>
      <c r="AF14" s="79" t="str">
        <f t="shared" si="1"/>
        <v>95/8</v>
      </c>
      <c r="AG14" s="79" t="str">
        <f t="shared" si="1"/>
        <v>87/0</v>
      </c>
      <c r="AH14" s="79" t="str">
        <f t="shared" si="1"/>
        <v>78/-9</v>
      </c>
      <c r="AI14" s="79" t="str">
        <f t="shared" si="1"/>
        <v>67/-20</v>
      </c>
      <c r="AJ14" s="79" t="str">
        <f t="shared" si="1"/>
        <v>51/-36</v>
      </c>
      <c r="AK14" s="79" t="e">
        <f t="shared" si="1"/>
        <v>#VALUE!</v>
      </c>
      <c r="AO14" s="137">
        <v>24</v>
      </c>
      <c r="AP14" s="137">
        <v>30</v>
      </c>
      <c r="AQ14">
        <v>-160</v>
      </c>
      <c r="AR14">
        <v>-110</v>
      </c>
      <c r="AS14">
        <v>-65</v>
      </c>
      <c r="AT14">
        <v>-65</v>
      </c>
      <c r="AU14">
        <v>-40</v>
      </c>
      <c r="AV14">
        <v>-40</v>
      </c>
      <c r="AW14" s="143">
        <v>-40</v>
      </c>
      <c r="AX14" s="143">
        <v>-20</v>
      </c>
      <c r="AY14" s="143">
        <v>-20</v>
      </c>
      <c r="AZ14" s="143">
        <v>-20</v>
      </c>
      <c r="BA14" s="143">
        <v>-7</v>
      </c>
      <c r="BB14" s="143">
        <v>-7</v>
      </c>
      <c r="BC14" s="143">
        <v>0</v>
      </c>
      <c r="BD14" s="143">
        <v>0</v>
      </c>
      <c r="BE14" s="143">
        <v>0</v>
      </c>
      <c r="BF14" s="143">
        <v>0</v>
      </c>
      <c r="BG14" s="143">
        <v>0</v>
      </c>
      <c r="BH14" s="143">
        <v>4.5</v>
      </c>
      <c r="BI14" s="143">
        <v>6.5</v>
      </c>
      <c r="BJ14" s="143">
        <v>10</v>
      </c>
      <c r="BK14" s="143">
        <v>11</v>
      </c>
      <c r="BL14" s="79">
        <v>15</v>
      </c>
      <c r="BM14" s="79">
        <v>17</v>
      </c>
      <c r="BN14" s="79">
        <v>21</v>
      </c>
      <c r="BO14" s="79">
        <v>28</v>
      </c>
      <c r="BP14" s="79">
        <v>35</v>
      </c>
      <c r="BQ14" s="79">
        <v>41</v>
      </c>
      <c r="BR14" s="79">
        <v>48</v>
      </c>
      <c r="BS14" s="79">
        <v>54</v>
      </c>
      <c r="BT14" s="79">
        <v>61</v>
      </c>
      <c r="BU14" s="79">
        <v>77</v>
      </c>
      <c r="BW14" s="137">
        <v>24</v>
      </c>
      <c r="BX14" s="137">
        <v>30</v>
      </c>
      <c r="BY14" s="79">
        <v>244</v>
      </c>
      <c r="BZ14" s="79">
        <v>162</v>
      </c>
      <c r="CA14" s="79">
        <v>194</v>
      </c>
      <c r="CB14" s="79">
        <v>98</v>
      </c>
      <c r="CC14" s="79">
        <v>117</v>
      </c>
      <c r="CD14" s="79">
        <v>149</v>
      </c>
      <c r="CE14" s="79">
        <v>61</v>
      </c>
      <c r="CF14" s="79">
        <v>73</v>
      </c>
      <c r="CG14" s="134">
        <v>92</v>
      </c>
      <c r="CH14" s="134">
        <v>33</v>
      </c>
      <c r="CI14" s="134">
        <v>41</v>
      </c>
      <c r="CJ14" s="134">
        <v>53</v>
      </c>
      <c r="CK14" s="134">
        <v>20</v>
      </c>
      <c r="CL14" s="134">
        <v>28</v>
      </c>
      <c r="CM14" s="134">
        <v>13</v>
      </c>
      <c r="CN14" s="134">
        <v>21</v>
      </c>
      <c r="CO14" s="134">
        <v>33</v>
      </c>
      <c r="CP14" s="134">
        <v>52</v>
      </c>
      <c r="CQ14" s="134">
        <v>84</v>
      </c>
      <c r="CR14" s="134">
        <v>6.5</v>
      </c>
      <c r="CS14" s="134">
        <v>10</v>
      </c>
      <c r="CT14" s="134">
        <v>2</v>
      </c>
      <c r="CU14" s="134">
        <v>6</v>
      </c>
      <c r="CV14" s="134">
        <v>-4</v>
      </c>
      <c r="CW14" s="134">
        <v>0</v>
      </c>
      <c r="CX14" s="134">
        <v>-11</v>
      </c>
      <c r="CY14" s="134">
        <v>-7</v>
      </c>
      <c r="CZ14" s="134">
        <v>-18</v>
      </c>
      <c r="DA14" s="79">
        <v>-14</v>
      </c>
      <c r="DB14" s="79">
        <v>-20</v>
      </c>
      <c r="DC14" s="79">
        <v>-27</v>
      </c>
      <c r="DD14" s="79">
        <v>-33</v>
      </c>
      <c r="DE14" s="79">
        <v>-40</v>
      </c>
      <c r="DF14" s="79">
        <v>-56</v>
      </c>
    </row>
    <row r="15" spans="2:110">
      <c r="B15" s="224"/>
      <c r="C15" s="144" t="s">
        <v>186</v>
      </c>
      <c r="D15" s="79" t="str">
        <f t="shared" si="0"/>
        <v>321/205</v>
      </c>
      <c r="E15" s="79" t="str">
        <f t="shared" si="0"/>
        <v>233/155</v>
      </c>
      <c r="F15" s="79" t="str">
        <f t="shared" si="0"/>
        <v>271/155</v>
      </c>
      <c r="G15" s="79" t="str">
        <f t="shared" si="0"/>
        <v>160/105</v>
      </c>
      <c r="H15" s="79" t="str">
        <f t="shared" si="0"/>
        <v>183/105</v>
      </c>
      <c r="I15" s="79" t="str">
        <f t="shared" si="0"/>
        <v>221/105</v>
      </c>
      <c r="J15" s="79" t="str">
        <f t="shared" si="0"/>
        <v>116/75</v>
      </c>
      <c r="K15" s="79" t="str">
        <f t="shared" si="0"/>
        <v>130/75</v>
      </c>
      <c r="L15" s="79" t="str">
        <f t="shared" si="0"/>
        <v>153/75</v>
      </c>
      <c r="M15" s="79" t="str">
        <f t="shared" si="0"/>
        <v>82/50</v>
      </c>
      <c r="N15" s="79" t="str">
        <f t="shared" si="0"/>
        <v>91/50</v>
      </c>
      <c r="O15" s="79" t="str">
        <f t="shared" si="0"/>
        <v>105/50</v>
      </c>
      <c r="P15" s="79" t="str">
        <f t="shared" si="0"/>
        <v>66/34</v>
      </c>
      <c r="Q15" s="79" t="str">
        <f t="shared" si="0"/>
        <v>75/34</v>
      </c>
      <c r="R15" s="79" t="str">
        <f t="shared" si="0"/>
        <v>57/25</v>
      </c>
      <c r="S15" s="79" t="str">
        <f t="shared" si="0"/>
        <v>66/25</v>
      </c>
      <c r="T15" s="79" t="str">
        <f t="shared" si="1"/>
        <v>80/25</v>
      </c>
      <c r="U15" s="79" t="str">
        <f t="shared" si="1"/>
        <v>103/25</v>
      </c>
      <c r="V15" s="79" t="str">
        <f t="shared" si="1"/>
        <v>141/25</v>
      </c>
      <c r="W15" s="79" t="str">
        <f t="shared" si="1"/>
        <v>49/17</v>
      </c>
      <c r="X15" s="79" t="str">
        <f t="shared" si="1"/>
        <v>53/13</v>
      </c>
      <c r="Y15" s="79" t="str">
        <f t="shared" si="1"/>
        <v>44/12</v>
      </c>
      <c r="Z15" s="79" t="str">
        <f t="shared" si="1"/>
        <v>48/7</v>
      </c>
      <c r="AA15" s="79" t="str">
        <f t="shared" si="1"/>
        <v>37/5</v>
      </c>
      <c r="AB15" s="79" t="str">
        <f t="shared" si="1"/>
        <v>41/0</v>
      </c>
      <c r="AC15" s="79" t="str">
        <f t="shared" si="1"/>
        <v>29/-3</v>
      </c>
      <c r="AD15" s="79" t="str">
        <f t="shared" si="1"/>
        <v>33/-8</v>
      </c>
      <c r="AE15" s="79" t="str">
        <f t="shared" si="1"/>
        <v>20/-12</v>
      </c>
      <c r="AF15" s="79" t="str">
        <f t="shared" si="1"/>
        <v>24/-17</v>
      </c>
      <c r="AG15" s="79" t="str">
        <f t="shared" si="1"/>
        <v>16/-25</v>
      </c>
      <c r="AH15" s="79" t="str">
        <f t="shared" si="1"/>
        <v>7/-34</v>
      </c>
      <c r="AI15" s="79" t="str">
        <f t="shared" si="1"/>
        <v>-4/-45</v>
      </c>
      <c r="AJ15" s="79" t="str">
        <f t="shared" si="1"/>
        <v>-20/-61</v>
      </c>
      <c r="AK15" s="79" t="e">
        <f t="shared" si="1"/>
        <v>#VALUE!</v>
      </c>
      <c r="AO15" s="137">
        <v>30</v>
      </c>
      <c r="AP15" s="137">
        <v>40</v>
      </c>
      <c r="AQ15">
        <v>-170</v>
      </c>
      <c r="AR15">
        <v>-120</v>
      </c>
      <c r="AS15">
        <v>-80</v>
      </c>
      <c r="AT15">
        <v>-80</v>
      </c>
      <c r="AU15">
        <v>-50</v>
      </c>
      <c r="AV15">
        <v>-50</v>
      </c>
      <c r="AW15" s="143">
        <v>-50</v>
      </c>
      <c r="AX15" s="143">
        <v>-25</v>
      </c>
      <c r="AY15" s="143">
        <v>-25</v>
      </c>
      <c r="AZ15" s="143">
        <v>-25</v>
      </c>
      <c r="BA15" s="143">
        <v>-9</v>
      </c>
      <c r="BB15" s="143">
        <v>-9</v>
      </c>
      <c r="BC15" s="143">
        <v>0</v>
      </c>
      <c r="BD15" s="143">
        <v>0</v>
      </c>
      <c r="BE15" s="143">
        <v>0</v>
      </c>
      <c r="BF15" s="143">
        <v>0</v>
      </c>
      <c r="BG15" s="143">
        <v>0</v>
      </c>
      <c r="BH15" s="143">
        <v>5.5</v>
      </c>
      <c r="BI15" s="143">
        <v>8</v>
      </c>
      <c r="BJ15" s="143">
        <v>12</v>
      </c>
      <c r="BK15" s="143">
        <v>13</v>
      </c>
      <c r="BL15" s="79">
        <v>18</v>
      </c>
      <c r="BM15" s="79">
        <v>20</v>
      </c>
      <c r="BN15" s="79">
        <v>25</v>
      </c>
      <c r="BO15" s="79">
        <v>33</v>
      </c>
      <c r="BP15" s="79">
        <v>42</v>
      </c>
      <c r="BQ15" s="79">
        <v>50</v>
      </c>
      <c r="BR15" s="79">
        <v>59</v>
      </c>
      <c r="BS15" s="79">
        <v>64</v>
      </c>
      <c r="BT15" s="79">
        <v>76</v>
      </c>
      <c r="BU15" s="164" t="s">
        <v>131</v>
      </c>
      <c r="BW15" s="137">
        <v>30</v>
      </c>
      <c r="BX15" s="137">
        <v>40</v>
      </c>
      <c r="BY15" s="79">
        <v>270</v>
      </c>
      <c r="BZ15" s="79">
        <v>182</v>
      </c>
      <c r="CA15" s="79">
        <v>220</v>
      </c>
      <c r="CB15" s="79">
        <v>119</v>
      </c>
      <c r="CC15" s="79">
        <v>142</v>
      </c>
      <c r="CD15" s="79">
        <v>180</v>
      </c>
      <c r="CE15" s="79">
        <v>75</v>
      </c>
      <c r="CF15" s="79">
        <v>89</v>
      </c>
      <c r="CG15" s="134">
        <v>112</v>
      </c>
      <c r="CH15" s="134">
        <v>41</v>
      </c>
      <c r="CI15" s="134">
        <v>50</v>
      </c>
      <c r="CJ15" s="134">
        <v>64</v>
      </c>
      <c r="CK15" s="134">
        <v>25</v>
      </c>
      <c r="CL15" s="134">
        <v>34</v>
      </c>
      <c r="CM15" s="134">
        <v>16</v>
      </c>
      <c r="CN15" s="134">
        <v>25</v>
      </c>
      <c r="CO15" s="134">
        <v>39</v>
      </c>
      <c r="CP15" s="134">
        <v>62</v>
      </c>
      <c r="CQ15" s="134">
        <v>100</v>
      </c>
      <c r="CR15" s="134">
        <v>8</v>
      </c>
      <c r="CS15" s="134">
        <v>12</v>
      </c>
      <c r="CT15" s="134">
        <v>3</v>
      </c>
      <c r="CU15" s="134">
        <v>7</v>
      </c>
      <c r="CV15" s="134">
        <v>-4</v>
      </c>
      <c r="CW15" s="134">
        <v>0</v>
      </c>
      <c r="CX15" s="134">
        <v>-12</v>
      </c>
      <c r="CY15" s="134">
        <v>-8</v>
      </c>
      <c r="CZ15" s="134">
        <v>-21</v>
      </c>
      <c r="DA15" s="79">
        <v>-17</v>
      </c>
      <c r="DB15" s="79">
        <v>-25</v>
      </c>
      <c r="DC15" s="79">
        <v>-34</v>
      </c>
      <c r="DD15" s="79">
        <v>-39</v>
      </c>
      <c r="DE15" s="79">
        <v>-51</v>
      </c>
      <c r="DF15" s="163" t="s">
        <v>180</v>
      </c>
    </row>
    <row r="16" spans="2:110">
      <c r="B16" s="224"/>
      <c r="C16" s="144" t="s">
        <v>187</v>
      </c>
      <c r="D16" s="79" t="str">
        <f t="shared" si="0"/>
        <v>330/205</v>
      </c>
      <c r="E16" s="79" t="str">
        <f t="shared" si="0"/>
        <v>242/155</v>
      </c>
      <c r="F16" s="79" t="str">
        <f t="shared" si="0"/>
        <v>280/155</v>
      </c>
      <c r="G16" s="79" t="str">
        <f t="shared" si="0"/>
        <v>169/105</v>
      </c>
      <c r="H16" s="79" t="str">
        <f t="shared" si="0"/>
        <v>192/105</v>
      </c>
      <c r="I16" s="79" t="str">
        <f t="shared" si="0"/>
        <v>230/105</v>
      </c>
      <c r="J16" s="79" t="str">
        <f t="shared" si="0"/>
        <v>125/75</v>
      </c>
      <c r="K16" s="79" t="str">
        <f t="shared" si="0"/>
        <v>139/75</v>
      </c>
      <c r="L16" s="79" t="str">
        <f t="shared" si="0"/>
        <v>162/75</v>
      </c>
      <c r="M16" s="79" t="str">
        <f t="shared" si="0"/>
        <v>91/50</v>
      </c>
      <c r="N16" s="79" t="str">
        <f t="shared" si="0"/>
        <v>100/50</v>
      </c>
      <c r="O16" s="79" t="str">
        <f t="shared" si="0"/>
        <v>114/50</v>
      </c>
      <c r="P16" s="79" t="str">
        <f t="shared" si="0"/>
        <v>75/34</v>
      </c>
      <c r="Q16" s="79" t="str">
        <f t="shared" si="0"/>
        <v>84/34</v>
      </c>
      <c r="R16" s="79" t="str">
        <f t="shared" si="0"/>
        <v>66/25</v>
      </c>
      <c r="S16" s="79" t="str">
        <f t="shared" si="0"/>
        <v>75/25</v>
      </c>
      <c r="T16" s="79" t="str">
        <f t="shared" si="1"/>
        <v>89/25</v>
      </c>
      <c r="U16" s="79" t="str">
        <f t="shared" si="1"/>
        <v>112/25</v>
      </c>
      <c r="V16" s="79" t="str">
        <f t="shared" si="1"/>
        <v>150/25</v>
      </c>
      <c r="W16" s="79" t="str">
        <f t="shared" si="1"/>
        <v>58/17</v>
      </c>
      <c r="X16" s="79" t="str">
        <f t="shared" si="1"/>
        <v>62/13</v>
      </c>
      <c r="Y16" s="79" t="str">
        <f t="shared" si="1"/>
        <v>53/12</v>
      </c>
      <c r="Z16" s="79" t="str">
        <f t="shared" si="1"/>
        <v>57/7</v>
      </c>
      <c r="AA16" s="79" t="str">
        <f t="shared" si="1"/>
        <v>46/5</v>
      </c>
      <c r="AB16" s="79" t="str">
        <f t="shared" si="1"/>
        <v>50/0</v>
      </c>
      <c r="AC16" s="79" t="str">
        <f t="shared" si="1"/>
        <v>38/-3</v>
      </c>
      <c r="AD16" s="79" t="str">
        <f t="shared" si="1"/>
        <v>42/-8</v>
      </c>
      <c r="AE16" s="79" t="str">
        <f t="shared" si="1"/>
        <v>29/-12</v>
      </c>
      <c r="AF16" s="79" t="str">
        <f t="shared" si="1"/>
        <v>33/-17</v>
      </c>
      <c r="AG16" s="79" t="str">
        <f t="shared" si="1"/>
        <v>25/-25</v>
      </c>
      <c r="AH16" s="79" t="str">
        <f t="shared" si="1"/>
        <v>16/-34</v>
      </c>
      <c r="AI16" s="79" t="str">
        <f t="shared" si="1"/>
        <v>5/-45</v>
      </c>
      <c r="AJ16" s="79" t="str">
        <f t="shared" si="1"/>
        <v>-11/-61</v>
      </c>
      <c r="AK16" s="79" t="e">
        <f t="shared" si="1"/>
        <v>#VALUE!</v>
      </c>
      <c r="AO16" s="137">
        <v>40</v>
      </c>
      <c r="AP16" s="137">
        <v>50</v>
      </c>
      <c r="AQ16">
        <v>-180</v>
      </c>
      <c r="AR16">
        <v>-130</v>
      </c>
      <c r="AS16">
        <v>-80</v>
      </c>
      <c r="AT16">
        <v>-80</v>
      </c>
      <c r="AU16">
        <v>-50</v>
      </c>
      <c r="AV16">
        <v>-50</v>
      </c>
      <c r="AW16" s="143">
        <v>-50</v>
      </c>
      <c r="AX16" s="143">
        <v>-25</v>
      </c>
      <c r="AY16" s="143">
        <v>-25</v>
      </c>
      <c r="AZ16" s="143">
        <v>-25</v>
      </c>
      <c r="BA16" s="143">
        <v>-9</v>
      </c>
      <c r="BB16" s="143">
        <v>-9</v>
      </c>
      <c r="BC16" s="143">
        <v>0</v>
      </c>
      <c r="BD16" s="143">
        <v>0</v>
      </c>
      <c r="BE16" s="143">
        <v>0</v>
      </c>
      <c r="BF16" s="143">
        <v>0</v>
      </c>
      <c r="BG16" s="143">
        <v>0</v>
      </c>
      <c r="BH16" s="143">
        <v>5.5</v>
      </c>
      <c r="BI16" s="143">
        <v>8</v>
      </c>
      <c r="BJ16" s="143">
        <v>12</v>
      </c>
      <c r="BK16" s="143">
        <v>13</v>
      </c>
      <c r="BL16" s="79">
        <v>18</v>
      </c>
      <c r="BM16" s="79">
        <v>20</v>
      </c>
      <c r="BN16" s="79">
        <v>25</v>
      </c>
      <c r="BO16" s="79">
        <v>33</v>
      </c>
      <c r="BP16" s="79">
        <v>42</v>
      </c>
      <c r="BQ16" s="79">
        <v>50</v>
      </c>
      <c r="BR16" s="79">
        <v>59</v>
      </c>
      <c r="BS16" s="79">
        <v>70</v>
      </c>
      <c r="BT16" s="79">
        <v>86</v>
      </c>
      <c r="BU16" s="164" t="s">
        <v>131</v>
      </c>
      <c r="BW16" s="137">
        <v>40</v>
      </c>
      <c r="BX16" s="137">
        <v>50</v>
      </c>
      <c r="BY16" s="79">
        <v>280</v>
      </c>
      <c r="BZ16" s="79">
        <v>192</v>
      </c>
      <c r="CA16" s="79">
        <v>230</v>
      </c>
      <c r="CB16" s="79">
        <v>119</v>
      </c>
      <c r="CC16" s="79">
        <v>142</v>
      </c>
      <c r="CD16" s="79">
        <v>180</v>
      </c>
      <c r="CE16" s="79">
        <v>75</v>
      </c>
      <c r="CF16" s="79">
        <v>89</v>
      </c>
      <c r="CG16" s="134">
        <v>112</v>
      </c>
      <c r="CH16" s="134">
        <v>41</v>
      </c>
      <c r="CI16" s="134">
        <v>50</v>
      </c>
      <c r="CJ16" s="134">
        <v>64</v>
      </c>
      <c r="CK16" s="134">
        <v>25</v>
      </c>
      <c r="CL16" s="134">
        <v>34</v>
      </c>
      <c r="CM16" s="134">
        <v>16</v>
      </c>
      <c r="CN16" s="134">
        <v>25</v>
      </c>
      <c r="CO16" s="134">
        <v>39</v>
      </c>
      <c r="CP16" s="134">
        <v>62</v>
      </c>
      <c r="CQ16" s="134">
        <v>100</v>
      </c>
      <c r="CR16" s="134">
        <v>8</v>
      </c>
      <c r="CS16" s="134">
        <v>12</v>
      </c>
      <c r="CT16" s="134">
        <v>3</v>
      </c>
      <c r="CU16" s="134">
        <v>7</v>
      </c>
      <c r="CV16" s="134">
        <v>-4</v>
      </c>
      <c r="CW16" s="134">
        <v>0</v>
      </c>
      <c r="CX16" s="134">
        <v>-12</v>
      </c>
      <c r="CY16" s="134">
        <v>-8</v>
      </c>
      <c r="CZ16" s="134">
        <v>-21</v>
      </c>
      <c r="DA16" s="79">
        <v>-17</v>
      </c>
      <c r="DB16" s="79">
        <v>-25</v>
      </c>
      <c r="DC16" s="79">
        <v>-34</v>
      </c>
      <c r="DD16" s="79">
        <v>-45</v>
      </c>
      <c r="DE16" s="79">
        <v>-61</v>
      </c>
      <c r="DF16" s="163" t="s">
        <v>180</v>
      </c>
    </row>
    <row r="17" spans="2:110">
      <c r="B17" s="224"/>
      <c r="C17" s="144" t="s">
        <v>188</v>
      </c>
      <c r="D17" s="79" t="str">
        <f t="shared" si="0"/>
        <v>344/205</v>
      </c>
      <c r="E17" s="79" t="str">
        <f t="shared" si="0"/>
        <v>256/155</v>
      </c>
      <c r="F17" s="79" t="str">
        <f t="shared" si="0"/>
        <v>294/155</v>
      </c>
      <c r="G17" s="79" t="str">
        <f t="shared" si="0"/>
        <v>183/105</v>
      </c>
      <c r="H17" s="79" t="str">
        <f t="shared" si="0"/>
        <v>206/105</v>
      </c>
      <c r="I17" s="79" t="str">
        <f t="shared" si="0"/>
        <v>244/105</v>
      </c>
      <c r="J17" s="79" t="str">
        <f t="shared" si="0"/>
        <v>139/75</v>
      </c>
      <c r="K17" s="79" t="str">
        <f t="shared" si="0"/>
        <v>153/75</v>
      </c>
      <c r="L17" s="79" t="str">
        <f t="shared" si="0"/>
        <v>176/75</v>
      </c>
      <c r="M17" s="79" t="str">
        <f t="shared" si="0"/>
        <v>105/50</v>
      </c>
      <c r="N17" s="79" t="str">
        <f t="shared" si="0"/>
        <v>114/50</v>
      </c>
      <c r="O17" s="79" t="str">
        <f t="shared" si="0"/>
        <v>128/50</v>
      </c>
      <c r="P17" s="79" t="str">
        <f t="shared" si="0"/>
        <v>89/34</v>
      </c>
      <c r="Q17" s="79" t="str">
        <f t="shared" si="0"/>
        <v>98/34</v>
      </c>
      <c r="R17" s="79" t="str">
        <f t="shared" si="0"/>
        <v>80/25</v>
      </c>
      <c r="S17" s="79" t="str">
        <f t="shared" si="0"/>
        <v>89/25</v>
      </c>
      <c r="T17" s="79" t="str">
        <f t="shared" si="1"/>
        <v>103/25</v>
      </c>
      <c r="U17" s="79" t="str">
        <f t="shared" si="1"/>
        <v>126/25</v>
      </c>
      <c r="V17" s="79" t="str">
        <f t="shared" si="1"/>
        <v>164/25</v>
      </c>
      <c r="W17" s="79" t="str">
        <f t="shared" si="1"/>
        <v>72/17</v>
      </c>
      <c r="X17" s="79" t="str">
        <f t="shared" si="1"/>
        <v>76/13</v>
      </c>
      <c r="Y17" s="79" t="str">
        <f t="shared" si="1"/>
        <v>67/12</v>
      </c>
      <c r="Z17" s="79" t="str">
        <f t="shared" si="1"/>
        <v>71/7</v>
      </c>
      <c r="AA17" s="79" t="str">
        <f t="shared" si="1"/>
        <v>60/5</v>
      </c>
      <c r="AB17" s="79" t="str">
        <f t="shared" si="1"/>
        <v>64/0</v>
      </c>
      <c r="AC17" s="79" t="str">
        <f t="shared" si="1"/>
        <v>52/-3</v>
      </c>
      <c r="AD17" s="79" t="str">
        <f t="shared" si="1"/>
        <v>56/-8</v>
      </c>
      <c r="AE17" s="79" t="str">
        <f t="shared" si="1"/>
        <v>43/-12</v>
      </c>
      <c r="AF17" s="79" t="str">
        <f t="shared" si="1"/>
        <v>47/-17</v>
      </c>
      <c r="AG17" s="79" t="str">
        <f t="shared" si="1"/>
        <v>39/-25</v>
      </c>
      <c r="AH17" s="79" t="str">
        <f t="shared" si="1"/>
        <v>30/-34</v>
      </c>
      <c r="AI17" s="79" t="str">
        <f t="shared" si="1"/>
        <v>19/-45</v>
      </c>
      <c r="AJ17" s="79" t="str">
        <f t="shared" si="1"/>
        <v>3/-61</v>
      </c>
      <c r="AK17" s="79" t="e">
        <f t="shared" si="1"/>
        <v>#VALUE!</v>
      </c>
      <c r="AL17" s="161"/>
      <c r="AM17" s="161"/>
      <c r="AO17" s="137">
        <v>50</v>
      </c>
      <c r="AP17" s="137">
        <v>65</v>
      </c>
      <c r="AQ17">
        <v>-190</v>
      </c>
      <c r="AR17">
        <v>-140</v>
      </c>
      <c r="AS17">
        <v>-100</v>
      </c>
      <c r="AT17">
        <v>-100</v>
      </c>
      <c r="AU17">
        <v>-60</v>
      </c>
      <c r="AV17">
        <v>-60</v>
      </c>
      <c r="AW17" s="143">
        <v>-60</v>
      </c>
      <c r="AX17" s="143">
        <v>-30</v>
      </c>
      <c r="AY17" s="143">
        <v>-30</v>
      </c>
      <c r="AZ17" s="143">
        <v>-30</v>
      </c>
      <c r="BA17" s="143">
        <v>-10</v>
      </c>
      <c r="BB17" s="143">
        <v>-10</v>
      </c>
      <c r="BC17" s="143">
        <v>0</v>
      </c>
      <c r="BD17" s="143">
        <v>0</v>
      </c>
      <c r="BE17" s="143">
        <v>0</v>
      </c>
      <c r="BF17" s="143">
        <v>0</v>
      </c>
      <c r="BG17" s="143">
        <v>0</v>
      </c>
      <c r="BH17" s="143">
        <v>6.5</v>
      </c>
      <c r="BI17" s="143">
        <v>9.5</v>
      </c>
      <c r="BJ17" s="143">
        <v>15</v>
      </c>
      <c r="BK17" s="143">
        <v>15</v>
      </c>
      <c r="BL17" s="79">
        <v>21</v>
      </c>
      <c r="BM17" s="79">
        <v>24</v>
      </c>
      <c r="BN17" s="79">
        <v>30</v>
      </c>
      <c r="BO17" s="79">
        <v>39</v>
      </c>
      <c r="BP17" s="79">
        <v>51</v>
      </c>
      <c r="BQ17" s="79">
        <v>60</v>
      </c>
      <c r="BR17" s="79">
        <v>72</v>
      </c>
      <c r="BS17" s="79">
        <v>85</v>
      </c>
      <c r="BT17" s="79">
        <v>106</v>
      </c>
      <c r="BU17" s="164" t="s">
        <v>131</v>
      </c>
      <c r="BW17" s="137">
        <v>50</v>
      </c>
      <c r="BX17" s="137">
        <v>65</v>
      </c>
      <c r="BY17" s="79">
        <v>310</v>
      </c>
      <c r="BZ17" s="79">
        <v>214</v>
      </c>
      <c r="CA17" s="79">
        <v>260</v>
      </c>
      <c r="CB17" s="79">
        <v>146</v>
      </c>
      <c r="CC17" s="79">
        <v>174</v>
      </c>
      <c r="CD17" s="79">
        <v>220</v>
      </c>
      <c r="CE17" s="79">
        <v>90</v>
      </c>
      <c r="CF17" s="79">
        <v>106</v>
      </c>
      <c r="CG17" s="134">
        <v>134</v>
      </c>
      <c r="CH17" s="134">
        <v>49</v>
      </c>
      <c r="CI17" s="134">
        <v>60</v>
      </c>
      <c r="CJ17" s="134">
        <v>76</v>
      </c>
      <c r="CK17" s="134">
        <v>29</v>
      </c>
      <c r="CL17" s="134">
        <v>40</v>
      </c>
      <c r="CM17" s="134">
        <v>19</v>
      </c>
      <c r="CN17" s="134">
        <v>30</v>
      </c>
      <c r="CO17" s="134">
        <v>46</v>
      </c>
      <c r="CP17" s="134">
        <v>74</v>
      </c>
      <c r="CQ17" s="134">
        <v>120</v>
      </c>
      <c r="CR17" s="134">
        <v>9.5</v>
      </c>
      <c r="CS17" s="134">
        <v>15</v>
      </c>
      <c r="CT17" s="134">
        <v>4</v>
      </c>
      <c r="CU17" s="134">
        <v>9</v>
      </c>
      <c r="CV17" s="134">
        <v>-5</v>
      </c>
      <c r="CW17" s="134">
        <v>0</v>
      </c>
      <c r="CX17" s="134">
        <v>-14</v>
      </c>
      <c r="CY17" s="134">
        <v>-9</v>
      </c>
      <c r="CZ17" s="134">
        <v>-26</v>
      </c>
      <c r="DA17" s="79">
        <v>-21</v>
      </c>
      <c r="DB17" s="79">
        <v>-30</v>
      </c>
      <c r="DC17" s="79">
        <v>-42</v>
      </c>
      <c r="DD17" s="79">
        <v>-55</v>
      </c>
      <c r="DE17" s="79">
        <v>-76</v>
      </c>
      <c r="DF17" s="163" t="s">
        <v>180</v>
      </c>
    </row>
    <row r="18" spans="2:110">
      <c r="B18" s="224"/>
      <c r="C18" s="144" t="s">
        <v>189</v>
      </c>
      <c r="D18" s="79" t="str">
        <f t="shared" si="0"/>
        <v>300/189</v>
      </c>
      <c r="E18" s="79" t="str">
        <f t="shared" si="0"/>
        <v>212/139</v>
      </c>
      <c r="F18" s="79" t="str">
        <f t="shared" si="0"/>
        <v>250/139</v>
      </c>
      <c r="G18" s="79" t="str">
        <f t="shared" si="0"/>
        <v>139/89</v>
      </c>
      <c r="H18" s="79" t="str">
        <f t="shared" si="0"/>
        <v>162/89</v>
      </c>
      <c r="I18" s="79" t="str">
        <f t="shared" si="0"/>
        <v>200/89</v>
      </c>
      <c r="J18" s="79" t="str">
        <f t="shared" si="0"/>
        <v>95/59</v>
      </c>
      <c r="K18" s="79" t="str">
        <f t="shared" si="0"/>
        <v>109/59</v>
      </c>
      <c r="L18" s="79" t="str">
        <f t="shared" si="0"/>
        <v>132/59</v>
      </c>
      <c r="M18" s="79" t="str">
        <f t="shared" si="0"/>
        <v>61/34</v>
      </c>
      <c r="N18" s="79" t="str">
        <f t="shared" si="0"/>
        <v>70/34</v>
      </c>
      <c r="O18" s="79" t="str">
        <f t="shared" si="0"/>
        <v>84/34</v>
      </c>
      <c r="P18" s="79" t="str">
        <f t="shared" si="0"/>
        <v>45/18</v>
      </c>
      <c r="Q18" s="79" t="str">
        <f t="shared" si="0"/>
        <v>54/18</v>
      </c>
      <c r="R18" s="79" t="str">
        <f t="shared" si="0"/>
        <v>36/9</v>
      </c>
      <c r="S18" s="79" t="str">
        <f t="shared" si="0"/>
        <v>45/9</v>
      </c>
      <c r="T18" s="79" t="str">
        <f t="shared" si="1"/>
        <v>59/9</v>
      </c>
      <c r="U18" s="79" t="str">
        <f t="shared" si="1"/>
        <v>82/9</v>
      </c>
      <c r="V18" s="79" t="str">
        <f t="shared" si="1"/>
        <v>120/9</v>
      </c>
      <c r="W18" s="79" t="str">
        <f t="shared" si="1"/>
        <v>28/1</v>
      </c>
      <c r="X18" s="79" t="str">
        <f t="shared" si="1"/>
        <v>32/-3</v>
      </c>
      <c r="Y18" s="79" t="str">
        <f t="shared" si="1"/>
        <v>23/-4</v>
      </c>
      <c r="Z18" s="79" t="str">
        <f t="shared" si="1"/>
        <v>27/-9</v>
      </c>
      <c r="AA18" s="79" t="str">
        <f t="shared" si="1"/>
        <v>16/-11</v>
      </c>
      <c r="AB18" s="79" t="str">
        <f t="shared" si="1"/>
        <v>20/-16</v>
      </c>
      <c r="AC18" s="79" t="str">
        <f t="shared" si="1"/>
        <v>8/-19</v>
      </c>
      <c r="AD18" s="79" t="str">
        <f t="shared" si="1"/>
        <v>12/-24</v>
      </c>
      <c r="AE18" s="79" t="str">
        <f t="shared" si="1"/>
        <v>-1/-28</v>
      </c>
      <c r="AF18" s="79" t="str">
        <f t="shared" si="1"/>
        <v>3/-33</v>
      </c>
      <c r="AG18" s="79" t="str">
        <f t="shared" si="1"/>
        <v>-5/-41</v>
      </c>
      <c r="AH18" s="79" t="str">
        <f t="shared" si="1"/>
        <v>-14/-50</v>
      </c>
      <c r="AI18" s="79" t="str">
        <f t="shared" si="1"/>
        <v>-25/-61</v>
      </c>
      <c r="AJ18" s="79" t="str">
        <f t="shared" si="1"/>
        <v>-41/-77</v>
      </c>
      <c r="AK18" s="79" t="e">
        <f t="shared" si="1"/>
        <v>#VALUE!</v>
      </c>
      <c r="AL18" s="161"/>
      <c r="AM18" s="161"/>
      <c r="AO18" s="137">
        <v>65</v>
      </c>
      <c r="AP18" s="137">
        <v>80</v>
      </c>
      <c r="AQ18">
        <v>-200</v>
      </c>
      <c r="AR18">
        <v>-150</v>
      </c>
      <c r="AS18">
        <v>-100</v>
      </c>
      <c r="AT18">
        <v>-100</v>
      </c>
      <c r="AU18">
        <v>-60</v>
      </c>
      <c r="AV18">
        <v>-60</v>
      </c>
      <c r="AW18" s="143">
        <v>-60</v>
      </c>
      <c r="AX18" s="143">
        <v>-30</v>
      </c>
      <c r="AY18" s="143">
        <v>-30</v>
      </c>
      <c r="AZ18" s="143">
        <v>-30</v>
      </c>
      <c r="BA18" s="143">
        <v>-10</v>
      </c>
      <c r="BB18" s="143">
        <v>-10</v>
      </c>
      <c r="BC18" s="143">
        <v>0</v>
      </c>
      <c r="BD18" s="143">
        <v>0</v>
      </c>
      <c r="BE18" s="143">
        <v>0</v>
      </c>
      <c r="BF18" s="143">
        <v>0</v>
      </c>
      <c r="BG18" s="143">
        <v>0</v>
      </c>
      <c r="BH18" s="143">
        <v>6.5</v>
      </c>
      <c r="BI18" s="143">
        <v>9.5</v>
      </c>
      <c r="BJ18" s="143">
        <v>15</v>
      </c>
      <c r="BK18" s="143">
        <v>15</v>
      </c>
      <c r="BL18" s="79">
        <v>21</v>
      </c>
      <c r="BM18" s="79">
        <v>24</v>
      </c>
      <c r="BN18" s="79">
        <v>30</v>
      </c>
      <c r="BO18" s="79">
        <v>39</v>
      </c>
      <c r="BP18" s="79">
        <v>51</v>
      </c>
      <c r="BQ18" s="79">
        <v>62</v>
      </c>
      <c r="BR18" s="79">
        <v>78</v>
      </c>
      <c r="BS18" s="79">
        <v>94</v>
      </c>
      <c r="BT18" s="79">
        <v>121</v>
      </c>
      <c r="BU18" s="164" t="s">
        <v>131</v>
      </c>
      <c r="BW18" s="137">
        <v>65</v>
      </c>
      <c r="BX18" s="137">
        <v>80</v>
      </c>
      <c r="BY18" s="79">
        <v>320</v>
      </c>
      <c r="BZ18" s="79">
        <v>224</v>
      </c>
      <c r="CA18" s="79">
        <v>270</v>
      </c>
      <c r="CB18" s="79">
        <v>146</v>
      </c>
      <c r="CC18" s="79">
        <v>174</v>
      </c>
      <c r="CD18" s="79">
        <v>220</v>
      </c>
      <c r="CE18" s="79">
        <v>90</v>
      </c>
      <c r="CF18" s="79">
        <v>106</v>
      </c>
      <c r="CG18" s="134">
        <v>134</v>
      </c>
      <c r="CH18" s="134">
        <v>49</v>
      </c>
      <c r="CI18" s="134">
        <v>60</v>
      </c>
      <c r="CJ18" s="134">
        <v>76</v>
      </c>
      <c r="CK18" s="134">
        <v>29</v>
      </c>
      <c r="CL18" s="134">
        <v>40</v>
      </c>
      <c r="CM18" s="134">
        <v>19</v>
      </c>
      <c r="CN18" s="134">
        <v>30</v>
      </c>
      <c r="CO18" s="134">
        <v>46</v>
      </c>
      <c r="CP18" s="134">
        <v>74</v>
      </c>
      <c r="CQ18" s="134">
        <v>120</v>
      </c>
      <c r="CR18" s="134">
        <v>9.5</v>
      </c>
      <c r="CS18" s="134">
        <v>15</v>
      </c>
      <c r="CT18" s="134">
        <v>4</v>
      </c>
      <c r="CU18" s="134">
        <v>9</v>
      </c>
      <c r="CV18" s="134">
        <v>-5</v>
      </c>
      <c r="CW18" s="134">
        <v>0</v>
      </c>
      <c r="CX18" s="134">
        <v>-14</v>
      </c>
      <c r="CY18" s="134">
        <v>-9</v>
      </c>
      <c r="CZ18" s="134">
        <v>-26</v>
      </c>
      <c r="DA18" s="79">
        <v>-21</v>
      </c>
      <c r="DB18" s="79">
        <v>-32</v>
      </c>
      <c r="DC18" s="79">
        <v>-48</v>
      </c>
      <c r="DD18" s="79">
        <v>-64</v>
      </c>
      <c r="DE18" s="79">
        <v>-91</v>
      </c>
      <c r="DF18" s="163" t="s">
        <v>180</v>
      </c>
    </row>
    <row r="19" spans="2:110">
      <c r="B19" s="224"/>
      <c r="C19" s="144" t="s">
        <v>190</v>
      </c>
      <c r="D19" s="79" t="str">
        <f t="shared" si="0"/>
        <v>305/189</v>
      </c>
      <c r="E19" s="79" t="str">
        <f t="shared" si="0"/>
        <v>217/139</v>
      </c>
      <c r="F19" s="79" t="str">
        <f t="shared" si="0"/>
        <v>255/139</v>
      </c>
      <c r="G19" s="79" t="str">
        <f t="shared" si="0"/>
        <v>144/89</v>
      </c>
      <c r="H19" s="79" t="str">
        <f t="shared" si="0"/>
        <v>167/89</v>
      </c>
      <c r="I19" s="79" t="str">
        <f t="shared" si="0"/>
        <v>205/89</v>
      </c>
      <c r="J19" s="79" t="str">
        <f t="shared" si="0"/>
        <v>100/59</v>
      </c>
      <c r="K19" s="79" t="str">
        <f t="shared" si="0"/>
        <v>114/59</v>
      </c>
      <c r="L19" s="79" t="str">
        <f t="shared" si="0"/>
        <v>137/59</v>
      </c>
      <c r="M19" s="79" t="str">
        <f t="shared" si="0"/>
        <v>66/34</v>
      </c>
      <c r="N19" s="79" t="str">
        <f t="shared" si="0"/>
        <v>75/34</v>
      </c>
      <c r="O19" s="79" t="str">
        <f t="shared" si="0"/>
        <v>89/34</v>
      </c>
      <c r="P19" s="79" t="str">
        <f t="shared" si="0"/>
        <v>50/18</v>
      </c>
      <c r="Q19" s="79" t="str">
        <f t="shared" si="0"/>
        <v>59/18</v>
      </c>
      <c r="R19" s="79" t="str">
        <f t="shared" si="0"/>
        <v>41/9</v>
      </c>
      <c r="S19" s="79" t="str">
        <f t="shared" si="0"/>
        <v>50/9</v>
      </c>
      <c r="T19" s="79" t="str">
        <f t="shared" si="1"/>
        <v>64/9</v>
      </c>
      <c r="U19" s="79" t="str">
        <f t="shared" si="1"/>
        <v>87/9</v>
      </c>
      <c r="V19" s="79" t="str">
        <f t="shared" si="1"/>
        <v>125/9</v>
      </c>
      <c r="W19" s="79" t="str">
        <f t="shared" si="1"/>
        <v>33/1</v>
      </c>
      <c r="X19" s="79" t="str">
        <f t="shared" si="1"/>
        <v>37/-3</v>
      </c>
      <c r="Y19" s="79" t="str">
        <f t="shared" si="1"/>
        <v>28/-4</v>
      </c>
      <c r="Z19" s="79" t="str">
        <f t="shared" si="1"/>
        <v>32/-9</v>
      </c>
      <c r="AA19" s="79" t="str">
        <f t="shared" si="1"/>
        <v>21/-11</v>
      </c>
      <c r="AB19" s="79" t="str">
        <f t="shared" si="1"/>
        <v>25/-16</v>
      </c>
      <c r="AC19" s="79" t="str">
        <f t="shared" si="1"/>
        <v>13/-19</v>
      </c>
      <c r="AD19" s="79" t="str">
        <f t="shared" si="1"/>
        <v>17/-24</v>
      </c>
      <c r="AE19" s="79" t="str">
        <f t="shared" si="1"/>
        <v>4/-28</v>
      </c>
      <c r="AF19" s="79" t="str">
        <f t="shared" si="1"/>
        <v>8/-33</v>
      </c>
      <c r="AG19" s="79" t="str">
        <f t="shared" si="1"/>
        <v>0/-41</v>
      </c>
      <c r="AH19" s="79" t="str">
        <f t="shared" si="1"/>
        <v>-9/-50</v>
      </c>
      <c r="AI19" s="79" t="str">
        <f t="shared" si="1"/>
        <v>-20/-61</v>
      </c>
      <c r="AJ19" s="79" t="str">
        <f t="shared" si="1"/>
        <v>-36/-77</v>
      </c>
      <c r="AK19" s="79" t="e">
        <f t="shared" si="1"/>
        <v>#VALUE!</v>
      </c>
      <c r="AL19" s="161"/>
      <c r="AM19" s="161"/>
      <c r="AO19" s="137">
        <v>80</v>
      </c>
      <c r="AP19" s="137">
        <v>100</v>
      </c>
      <c r="AQ19">
        <v>-220</v>
      </c>
      <c r="AR19">
        <v>-170</v>
      </c>
      <c r="AS19">
        <v>-120</v>
      </c>
      <c r="AT19">
        <v>-120</v>
      </c>
      <c r="AU19">
        <v>-72</v>
      </c>
      <c r="AV19">
        <v>-72</v>
      </c>
      <c r="AW19" s="143">
        <v>-72</v>
      </c>
      <c r="AX19" s="143">
        <v>-36</v>
      </c>
      <c r="AY19" s="143">
        <v>-36</v>
      </c>
      <c r="AZ19" s="143">
        <v>-36</v>
      </c>
      <c r="BA19" s="143">
        <v>-12</v>
      </c>
      <c r="BB19" s="143">
        <v>-12</v>
      </c>
      <c r="BC19" s="143">
        <v>0</v>
      </c>
      <c r="BD19" s="143">
        <v>0</v>
      </c>
      <c r="BE19" s="143">
        <v>0</v>
      </c>
      <c r="BF19" s="143">
        <v>0</v>
      </c>
      <c r="BG19" s="143">
        <v>0</v>
      </c>
      <c r="BH19" s="143">
        <v>7.5</v>
      </c>
      <c r="BI19" s="143">
        <v>11</v>
      </c>
      <c r="BJ19" s="143">
        <v>17</v>
      </c>
      <c r="BK19" s="143">
        <v>18</v>
      </c>
      <c r="BL19" s="79">
        <v>25</v>
      </c>
      <c r="BM19" s="79">
        <v>28</v>
      </c>
      <c r="BN19" s="79">
        <v>35</v>
      </c>
      <c r="BO19" s="79">
        <v>45</v>
      </c>
      <c r="BP19" s="79">
        <v>59</v>
      </c>
      <c r="BQ19" s="79">
        <v>73</v>
      </c>
      <c r="BR19" s="79">
        <v>93</v>
      </c>
      <c r="BS19" s="79">
        <v>113</v>
      </c>
      <c r="BT19" s="79">
        <v>146</v>
      </c>
      <c r="BU19" s="164" t="s">
        <v>131</v>
      </c>
      <c r="BW19" s="137">
        <v>80</v>
      </c>
      <c r="BX19" s="137">
        <v>100</v>
      </c>
      <c r="BY19" s="79">
        <v>360</v>
      </c>
      <c r="BZ19" s="79">
        <v>257</v>
      </c>
      <c r="CA19" s="79">
        <v>310</v>
      </c>
      <c r="CB19" s="79">
        <v>174</v>
      </c>
      <c r="CC19" s="79">
        <v>207</v>
      </c>
      <c r="CD19" s="79">
        <v>260</v>
      </c>
      <c r="CE19" s="79">
        <v>107</v>
      </c>
      <c r="CF19" s="79">
        <v>126</v>
      </c>
      <c r="CG19" s="79">
        <v>159</v>
      </c>
      <c r="CH19" s="79">
        <v>58</v>
      </c>
      <c r="CI19" s="79">
        <v>71</v>
      </c>
      <c r="CJ19" s="134">
        <v>90</v>
      </c>
      <c r="CK19" s="134">
        <v>34</v>
      </c>
      <c r="CL19" s="134">
        <v>47</v>
      </c>
      <c r="CM19" s="134">
        <v>22</v>
      </c>
      <c r="CN19" s="134">
        <v>35</v>
      </c>
      <c r="CO19" s="134">
        <v>54</v>
      </c>
      <c r="CP19" s="134">
        <v>87</v>
      </c>
      <c r="CQ19" s="134">
        <v>140</v>
      </c>
      <c r="CR19" s="134">
        <v>11</v>
      </c>
      <c r="CS19" s="134">
        <v>17</v>
      </c>
      <c r="CT19" s="134">
        <v>4</v>
      </c>
      <c r="CU19" s="134">
        <v>10</v>
      </c>
      <c r="CV19" s="134">
        <v>-6</v>
      </c>
      <c r="CW19" s="134">
        <v>0</v>
      </c>
      <c r="CX19" s="134">
        <v>-16</v>
      </c>
      <c r="CY19" s="134">
        <v>-10</v>
      </c>
      <c r="CZ19" s="134">
        <v>-30</v>
      </c>
      <c r="DA19" s="79">
        <v>-24</v>
      </c>
      <c r="DB19" s="79">
        <v>-38</v>
      </c>
      <c r="DC19" s="79">
        <v>-58</v>
      </c>
      <c r="DD19" s="79">
        <v>-78</v>
      </c>
      <c r="DE19" s="79">
        <v>-111</v>
      </c>
      <c r="DF19" s="163" t="s">
        <v>180</v>
      </c>
    </row>
    <row r="20" spans="2:110">
      <c r="B20" s="224"/>
      <c r="C20" s="144" t="s">
        <v>191</v>
      </c>
      <c r="D20" s="79" t="str">
        <f t="shared" si="0"/>
        <v>291/180</v>
      </c>
      <c r="E20" s="79" t="str">
        <f t="shared" si="0"/>
        <v>203/130</v>
      </c>
      <c r="F20" s="79" t="str">
        <f t="shared" si="0"/>
        <v>241/130</v>
      </c>
      <c r="G20" s="79" t="str">
        <f t="shared" si="0"/>
        <v>130/80</v>
      </c>
      <c r="H20" s="79" t="str">
        <f t="shared" si="0"/>
        <v>153/80</v>
      </c>
      <c r="I20" s="79" t="str">
        <f t="shared" si="0"/>
        <v>191/80</v>
      </c>
      <c r="J20" s="79" t="str">
        <f t="shared" si="0"/>
        <v>86/50</v>
      </c>
      <c r="K20" s="79" t="str">
        <f t="shared" si="0"/>
        <v>100/50</v>
      </c>
      <c r="L20" s="79" t="str">
        <f t="shared" si="0"/>
        <v>123/50</v>
      </c>
      <c r="M20" s="79" t="str">
        <f t="shared" si="0"/>
        <v>52/25</v>
      </c>
      <c r="N20" s="79" t="str">
        <f t="shared" si="0"/>
        <v>61/25</v>
      </c>
      <c r="O20" s="79" t="str">
        <f t="shared" si="0"/>
        <v>75/25</v>
      </c>
      <c r="P20" s="79" t="str">
        <f t="shared" si="0"/>
        <v>36/9</v>
      </c>
      <c r="Q20" s="79" t="str">
        <f t="shared" si="0"/>
        <v>45/9</v>
      </c>
      <c r="R20" s="79" t="str">
        <f t="shared" si="0"/>
        <v>27/0</v>
      </c>
      <c r="S20" s="79" t="str">
        <f t="shared" si="0"/>
        <v>36/0</v>
      </c>
      <c r="T20" s="79" t="str">
        <f t="shared" si="1"/>
        <v>50/0</v>
      </c>
      <c r="U20" s="79" t="str">
        <f t="shared" si="1"/>
        <v>73/0</v>
      </c>
      <c r="V20" s="79" t="str">
        <f t="shared" si="1"/>
        <v>111/0</v>
      </c>
      <c r="W20" s="79" t="str">
        <f t="shared" si="1"/>
        <v>19/-8</v>
      </c>
      <c r="X20" s="79" t="str">
        <f t="shared" si="1"/>
        <v>23/-12</v>
      </c>
      <c r="Y20" s="79" t="str">
        <f t="shared" si="1"/>
        <v>14/-13</v>
      </c>
      <c r="Z20" s="79" t="str">
        <f t="shared" si="1"/>
        <v>18/-18</v>
      </c>
      <c r="AA20" s="79" t="str">
        <f t="shared" si="1"/>
        <v>7/-20</v>
      </c>
      <c r="AB20" s="79" t="str">
        <f t="shared" si="1"/>
        <v>11/-25</v>
      </c>
      <c r="AC20" s="79" t="str">
        <f t="shared" si="1"/>
        <v>-1/-28</v>
      </c>
      <c r="AD20" s="79" t="str">
        <f t="shared" si="1"/>
        <v>3/-33</v>
      </c>
      <c r="AE20" s="79" t="str">
        <f t="shared" si="1"/>
        <v>-10/-37</v>
      </c>
      <c r="AF20" s="79" t="str">
        <f t="shared" si="1"/>
        <v>-6/-42</v>
      </c>
      <c r="AG20" s="79" t="str">
        <f t="shared" si="1"/>
        <v>-14/-50</v>
      </c>
      <c r="AH20" s="79" t="str">
        <f t="shared" si="1"/>
        <v>-23/-59</v>
      </c>
      <c r="AI20" s="79" t="str">
        <f t="shared" si="1"/>
        <v>-34/-70</v>
      </c>
      <c r="AJ20" s="79" t="str">
        <f t="shared" si="1"/>
        <v>-50/-86</v>
      </c>
      <c r="AK20" s="79" t="e">
        <f t="shared" si="1"/>
        <v>#VALUE!</v>
      </c>
      <c r="AL20" s="161"/>
      <c r="AM20" s="161"/>
      <c r="AO20" s="137">
        <v>100</v>
      </c>
      <c r="AP20" s="137">
        <v>120</v>
      </c>
      <c r="AQ20">
        <v>-240</v>
      </c>
      <c r="AR20">
        <v>-180</v>
      </c>
      <c r="AS20">
        <v>-120</v>
      </c>
      <c r="AT20">
        <v>-120</v>
      </c>
      <c r="AU20">
        <v>-72</v>
      </c>
      <c r="AV20">
        <v>-72</v>
      </c>
      <c r="AW20" s="143">
        <v>-72</v>
      </c>
      <c r="AX20" s="143">
        <v>-36</v>
      </c>
      <c r="AY20" s="143">
        <v>-36</v>
      </c>
      <c r="AZ20" s="143">
        <v>-36</v>
      </c>
      <c r="BA20" s="143">
        <v>-12</v>
      </c>
      <c r="BB20" s="143">
        <v>-12</v>
      </c>
      <c r="BC20" s="143">
        <v>0</v>
      </c>
      <c r="BD20" s="143">
        <v>0</v>
      </c>
      <c r="BE20" s="143">
        <v>0</v>
      </c>
      <c r="BF20" s="143">
        <v>0</v>
      </c>
      <c r="BG20" s="143">
        <v>0</v>
      </c>
      <c r="BH20" s="143">
        <v>7.5</v>
      </c>
      <c r="BI20" s="143">
        <v>11</v>
      </c>
      <c r="BJ20" s="143">
        <v>17</v>
      </c>
      <c r="BK20" s="143">
        <v>18</v>
      </c>
      <c r="BL20" s="79">
        <v>25</v>
      </c>
      <c r="BM20" s="79">
        <v>28</v>
      </c>
      <c r="BN20" s="79">
        <v>35</v>
      </c>
      <c r="BO20" s="79">
        <v>45</v>
      </c>
      <c r="BP20" s="79">
        <v>59</v>
      </c>
      <c r="BQ20" s="79">
        <v>76</v>
      </c>
      <c r="BR20" s="79">
        <v>101</v>
      </c>
      <c r="BS20" s="79">
        <v>126</v>
      </c>
      <c r="BT20" s="79">
        <v>166</v>
      </c>
      <c r="BU20" s="164" t="s">
        <v>131</v>
      </c>
      <c r="BW20" s="137">
        <v>100</v>
      </c>
      <c r="BX20" s="137">
        <v>120</v>
      </c>
      <c r="BY20" s="79">
        <v>380</v>
      </c>
      <c r="BZ20" s="79">
        <v>267</v>
      </c>
      <c r="CA20" s="79">
        <v>320</v>
      </c>
      <c r="CB20" s="79">
        <v>174</v>
      </c>
      <c r="CC20" s="79">
        <v>207</v>
      </c>
      <c r="CD20" s="79">
        <v>260</v>
      </c>
      <c r="CE20" s="79">
        <v>107</v>
      </c>
      <c r="CF20" s="79">
        <v>126</v>
      </c>
      <c r="CG20" s="79">
        <v>159</v>
      </c>
      <c r="CH20" s="79">
        <v>58</v>
      </c>
      <c r="CI20" s="79">
        <v>71</v>
      </c>
      <c r="CJ20" s="134">
        <v>90</v>
      </c>
      <c r="CK20" s="134">
        <v>34</v>
      </c>
      <c r="CL20" s="134">
        <v>47</v>
      </c>
      <c r="CM20" s="134">
        <v>22</v>
      </c>
      <c r="CN20" s="134">
        <v>35</v>
      </c>
      <c r="CO20" s="134">
        <v>54</v>
      </c>
      <c r="CP20" s="134">
        <v>87</v>
      </c>
      <c r="CQ20" s="134">
        <v>140</v>
      </c>
      <c r="CR20" s="134">
        <v>11</v>
      </c>
      <c r="CS20" s="134">
        <v>17</v>
      </c>
      <c r="CT20" s="134">
        <v>4</v>
      </c>
      <c r="CU20" s="134">
        <v>10</v>
      </c>
      <c r="CV20" s="134">
        <v>-6</v>
      </c>
      <c r="CW20" s="134">
        <v>0</v>
      </c>
      <c r="CX20" s="134">
        <v>-16</v>
      </c>
      <c r="CY20" s="134">
        <v>-10</v>
      </c>
      <c r="CZ20" s="134">
        <v>-30</v>
      </c>
      <c r="DA20" s="79">
        <v>-24</v>
      </c>
      <c r="DB20" s="79">
        <v>-41</v>
      </c>
      <c r="DC20" s="79">
        <v>-66</v>
      </c>
      <c r="DD20" s="79">
        <v>-91</v>
      </c>
      <c r="DE20" s="79">
        <v>-131</v>
      </c>
      <c r="DF20" s="163" t="s">
        <v>180</v>
      </c>
    </row>
    <row r="21" spans="2:110">
      <c r="B21" s="224"/>
      <c r="C21" s="144" t="s">
        <v>192</v>
      </c>
      <c r="D21" s="79" t="str">
        <f t="shared" si="0"/>
        <v>296/180</v>
      </c>
      <c r="E21" s="79" t="str">
        <f t="shared" si="0"/>
        <v>208/130</v>
      </c>
      <c r="F21" s="79" t="str">
        <f t="shared" si="0"/>
        <v>246/130</v>
      </c>
      <c r="G21" s="79" t="str">
        <f t="shared" si="0"/>
        <v>135/80</v>
      </c>
      <c r="H21" s="79" t="str">
        <f t="shared" si="0"/>
        <v>158/80</v>
      </c>
      <c r="I21" s="79" t="str">
        <f t="shared" si="0"/>
        <v>196/80</v>
      </c>
      <c r="J21" s="79" t="str">
        <f t="shared" si="0"/>
        <v>91/50</v>
      </c>
      <c r="K21" s="79" t="str">
        <f t="shared" si="0"/>
        <v>105/50</v>
      </c>
      <c r="L21" s="79" t="str">
        <f t="shared" si="0"/>
        <v>128/50</v>
      </c>
      <c r="M21" s="79" t="str">
        <f t="shared" si="0"/>
        <v>57/25</v>
      </c>
      <c r="N21" s="79" t="str">
        <f t="shared" si="0"/>
        <v>66/25</v>
      </c>
      <c r="O21" s="79" t="str">
        <f t="shared" si="0"/>
        <v>80/25</v>
      </c>
      <c r="P21" s="79" t="str">
        <f t="shared" si="0"/>
        <v>41/9</v>
      </c>
      <c r="Q21" s="79" t="str">
        <f t="shared" si="0"/>
        <v>50/9</v>
      </c>
      <c r="R21" s="79" t="str">
        <f t="shared" si="0"/>
        <v>32/0</v>
      </c>
      <c r="S21" s="79" t="str">
        <f t="shared" si="0"/>
        <v>41/0</v>
      </c>
      <c r="T21" s="79" t="str">
        <f t="shared" si="1"/>
        <v>55/0</v>
      </c>
      <c r="U21" s="79" t="str">
        <f t="shared" si="1"/>
        <v>78/0</v>
      </c>
      <c r="V21" s="79" t="str">
        <f t="shared" si="1"/>
        <v>116/0</v>
      </c>
      <c r="W21" s="79" t="str">
        <f t="shared" si="1"/>
        <v>24/-8</v>
      </c>
      <c r="X21" s="79" t="str">
        <f t="shared" si="1"/>
        <v>28/-12</v>
      </c>
      <c r="Y21" s="79" t="str">
        <f t="shared" si="1"/>
        <v>19/-13</v>
      </c>
      <c r="Z21" s="79" t="str">
        <f t="shared" si="1"/>
        <v>23/-18</v>
      </c>
      <c r="AA21" s="79" t="str">
        <f t="shared" si="1"/>
        <v>12/-20</v>
      </c>
      <c r="AB21" s="79" t="str">
        <f t="shared" si="1"/>
        <v>16/-25</v>
      </c>
      <c r="AC21" s="79" t="str">
        <f t="shared" si="1"/>
        <v>4/-28</v>
      </c>
      <c r="AD21" s="79" t="str">
        <f t="shared" si="1"/>
        <v>8/-33</v>
      </c>
      <c r="AE21" s="79" t="str">
        <f t="shared" si="1"/>
        <v>-5/-37</v>
      </c>
      <c r="AF21" s="79" t="str">
        <f t="shared" si="1"/>
        <v>-1/-42</v>
      </c>
      <c r="AG21" s="79" t="str">
        <f t="shared" si="1"/>
        <v>-9/-50</v>
      </c>
      <c r="AH21" s="79" t="str">
        <f t="shared" si="1"/>
        <v>-18/-59</v>
      </c>
      <c r="AI21" s="79" t="str">
        <f t="shared" si="1"/>
        <v>-29/-70</v>
      </c>
      <c r="AJ21" s="79" t="str">
        <f t="shared" si="1"/>
        <v>-45/-86</v>
      </c>
      <c r="AK21" s="79" t="e">
        <f t="shared" si="1"/>
        <v>#VALUE!</v>
      </c>
      <c r="AL21" s="161"/>
      <c r="AM21" s="161"/>
      <c r="AO21" s="137">
        <v>120</v>
      </c>
      <c r="AP21" s="137">
        <v>140</v>
      </c>
      <c r="AQ21">
        <v>-260</v>
      </c>
      <c r="AR21">
        <v>-200</v>
      </c>
      <c r="AS21">
        <v>-145</v>
      </c>
      <c r="AT21">
        <v>-145</v>
      </c>
      <c r="AU21">
        <v>-85</v>
      </c>
      <c r="AV21">
        <v>-85</v>
      </c>
      <c r="AW21" s="143">
        <v>-85</v>
      </c>
      <c r="AX21" s="143">
        <v>-43</v>
      </c>
      <c r="AY21" s="143">
        <v>-43</v>
      </c>
      <c r="AZ21" s="143">
        <v>-43</v>
      </c>
      <c r="BA21" s="143">
        <v>-14</v>
      </c>
      <c r="BB21" s="143">
        <v>-14</v>
      </c>
      <c r="BC21" s="143">
        <v>0</v>
      </c>
      <c r="BD21" s="143">
        <v>0</v>
      </c>
      <c r="BE21" s="143">
        <v>0</v>
      </c>
      <c r="BF21" s="143">
        <v>0</v>
      </c>
      <c r="BG21" s="143">
        <v>0</v>
      </c>
      <c r="BH21" s="143">
        <v>9</v>
      </c>
      <c r="BI21" s="143">
        <v>12.5</v>
      </c>
      <c r="BJ21" s="143">
        <v>20</v>
      </c>
      <c r="BK21" s="143">
        <v>21</v>
      </c>
      <c r="BL21" s="79">
        <v>28</v>
      </c>
      <c r="BM21" s="79">
        <v>33</v>
      </c>
      <c r="BN21" s="79">
        <v>40</v>
      </c>
      <c r="BO21" s="79">
        <v>52</v>
      </c>
      <c r="BP21" s="79">
        <v>68</v>
      </c>
      <c r="BQ21" s="79">
        <v>88</v>
      </c>
      <c r="BR21" s="79">
        <v>117</v>
      </c>
      <c r="BS21" s="79">
        <v>147</v>
      </c>
      <c r="BT21" s="164" t="s">
        <v>131</v>
      </c>
      <c r="BU21" s="164" t="s">
        <v>131</v>
      </c>
      <c r="BW21" s="137">
        <v>120</v>
      </c>
      <c r="BX21" s="137">
        <v>140</v>
      </c>
      <c r="BY21" s="79">
        <v>420</v>
      </c>
      <c r="BZ21" s="79">
        <v>300</v>
      </c>
      <c r="CA21" s="79">
        <v>360</v>
      </c>
      <c r="CB21" s="79">
        <v>208</v>
      </c>
      <c r="CC21" s="79">
        <v>245</v>
      </c>
      <c r="CD21" s="79">
        <v>305</v>
      </c>
      <c r="CE21" s="79">
        <v>125</v>
      </c>
      <c r="CF21" s="79">
        <v>148</v>
      </c>
      <c r="CG21" s="79">
        <v>185</v>
      </c>
      <c r="CH21" s="79">
        <v>68</v>
      </c>
      <c r="CI21" s="79">
        <v>83</v>
      </c>
      <c r="CJ21" s="134">
        <v>106</v>
      </c>
      <c r="CK21" s="134">
        <v>39</v>
      </c>
      <c r="CL21" s="134">
        <v>54</v>
      </c>
      <c r="CM21" s="134">
        <v>25</v>
      </c>
      <c r="CN21" s="134">
        <v>40</v>
      </c>
      <c r="CO21" s="134">
        <v>63</v>
      </c>
      <c r="CP21" s="134">
        <v>100</v>
      </c>
      <c r="CQ21" s="134">
        <v>160</v>
      </c>
      <c r="CR21" s="134">
        <v>12.5</v>
      </c>
      <c r="CS21" s="134">
        <v>20</v>
      </c>
      <c r="CT21" s="134">
        <v>4</v>
      </c>
      <c r="CU21" s="134">
        <v>12</v>
      </c>
      <c r="CV21" s="134">
        <v>-8</v>
      </c>
      <c r="CW21" s="134">
        <v>0</v>
      </c>
      <c r="CX21" s="134">
        <v>-20</v>
      </c>
      <c r="CY21" s="134">
        <v>-12</v>
      </c>
      <c r="CZ21" s="134">
        <v>-36</v>
      </c>
      <c r="DA21" s="79">
        <v>-28</v>
      </c>
      <c r="DB21" s="79">
        <v>-48</v>
      </c>
      <c r="DC21" s="79">
        <v>-77</v>
      </c>
      <c r="DD21" s="79">
        <v>-107</v>
      </c>
      <c r="DE21" s="164" t="s">
        <v>180</v>
      </c>
      <c r="DF21" s="163" t="s">
        <v>180</v>
      </c>
    </row>
    <row r="22" spans="2:110">
      <c r="B22" s="224"/>
      <c r="C22" s="144" t="s">
        <v>193</v>
      </c>
      <c r="D22" s="79" t="str">
        <f t="shared" si="0"/>
        <v>305/180</v>
      </c>
      <c r="E22" s="79" t="str">
        <f t="shared" si="0"/>
        <v>217/130</v>
      </c>
      <c r="F22" s="79" t="str">
        <f t="shared" si="0"/>
        <v>255/130</v>
      </c>
      <c r="G22" s="79" t="str">
        <f t="shared" si="0"/>
        <v>144/80</v>
      </c>
      <c r="H22" s="79" t="str">
        <f t="shared" si="0"/>
        <v>167/80</v>
      </c>
      <c r="I22" s="79" t="str">
        <f t="shared" si="0"/>
        <v>205/80</v>
      </c>
      <c r="J22" s="79" t="str">
        <f t="shared" si="0"/>
        <v>100/50</v>
      </c>
      <c r="K22" s="79" t="str">
        <f t="shared" si="0"/>
        <v>114/50</v>
      </c>
      <c r="L22" s="79" t="str">
        <f t="shared" si="0"/>
        <v>137/50</v>
      </c>
      <c r="M22" s="79" t="str">
        <f t="shared" si="0"/>
        <v>66/25</v>
      </c>
      <c r="N22" s="79" t="str">
        <f t="shared" si="0"/>
        <v>75/25</v>
      </c>
      <c r="O22" s="79" t="str">
        <f t="shared" si="0"/>
        <v>89/25</v>
      </c>
      <c r="P22" s="79" t="str">
        <f t="shared" si="0"/>
        <v>50/9</v>
      </c>
      <c r="Q22" s="79" t="str">
        <f t="shared" si="0"/>
        <v>59/9</v>
      </c>
      <c r="R22" s="79" t="str">
        <f t="shared" si="0"/>
        <v>41/0</v>
      </c>
      <c r="S22" s="79" t="str">
        <f t="shared" si="0"/>
        <v>50/0</v>
      </c>
      <c r="T22" s="79" t="str">
        <f t="shared" si="1"/>
        <v>64/0</v>
      </c>
      <c r="U22" s="79" t="str">
        <f t="shared" si="1"/>
        <v>87/0</v>
      </c>
      <c r="V22" s="79" t="str">
        <f t="shared" si="1"/>
        <v>125/0</v>
      </c>
      <c r="W22" s="79" t="str">
        <f t="shared" ref="W22:AK38" si="2">VLOOKUP($B$7-0.000001,$BW$8:$DF$32,MATCH(W$7,$BW$7:$DF$7,0))-VLOOKUP($B$7-0.000001,$AO$36:$BU$60,MATCH($C22,$AO$35:$BU$35,0))
&amp;"/"&amp;
VLOOKUP($B$7-0.000001,$BW$36:$DF$60,MATCH(W$7,$BW$35:$DF$35,0))-VLOOKUP($B$7-0.000001,$AO$8:$BU$32,MATCH($C22,$AO$7:$BU$7,0))</f>
        <v>33/-8</v>
      </c>
      <c r="X22" s="79" t="str">
        <f t="shared" si="2"/>
        <v>37/-12</v>
      </c>
      <c r="Y22" s="79" t="str">
        <f t="shared" si="2"/>
        <v>28/-13</v>
      </c>
      <c r="Z22" s="79" t="str">
        <f t="shared" si="2"/>
        <v>32/-18</v>
      </c>
      <c r="AA22" s="79" t="str">
        <f t="shared" si="2"/>
        <v>21/-20</v>
      </c>
      <c r="AB22" s="79" t="str">
        <f t="shared" si="2"/>
        <v>25/-25</v>
      </c>
      <c r="AC22" s="79" t="str">
        <f t="shared" si="2"/>
        <v>13/-28</v>
      </c>
      <c r="AD22" s="79" t="str">
        <f t="shared" si="2"/>
        <v>17/-33</v>
      </c>
      <c r="AE22" s="79" t="str">
        <f t="shared" si="2"/>
        <v>4/-37</v>
      </c>
      <c r="AF22" s="79" t="str">
        <f t="shared" si="2"/>
        <v>8/-42</v>
      </c>
      <c r="AG22" s="79" t="str">
        <f t="shared" si="2"/>
        <v>0/-50</v>
      </c>
      <c r="AH22" s="79" t="str">
        <f t="shared" si="2"/>
        <v>-9/-59</v>
      </c>
      <c r="AI22" s="79" t="str">
        <f t="shared" si="2"/>
        <v>-20/-70</v>
      </c>
      <c r="AJ22" s="79" t="str">
        <f t="shared" si="2"/>
        <v>-36/-86</v>
      </c>
      <c r="AK22" s="79" t="e">
        <f t="shared" si="2"/>
        <v>#VALUE!</v>
      </c>
      <c r="AL22" s="161"/>
      <c r="AM22" s="161"/>
      <c r="AO22" s="151">
        <v>140</v>
      </c>
      <c r="AP22" s="151">
        <v>160</v>
      </c>
      <c r="AQ22">
        <v>-280</v>
      </c>
      <c r="AR22">
        <v>-210</v>
      </c>
      <c r="AS22">
        <v>-145</v>
      </c>
      <c r="AT22">
        <v>-145</v>
      </c>
      <c r="AU22">
        <v>-85</v>
      </c>
      <c r="AV22">
        <v>-85</v>
      </c>
      <c r="AW22" s="143">
        <v>-85</v>
      </c>
      <c r="AX22" s="143">
        <v>-43</v>
      </c>
      <c r="AY22" s="143">
        <v>-43</v>
      </c>
      <c r="AZ22" s="143">
        <v>-43</v>
      </c>
      <c r="BA22" s="143">
        <v>-14</v>
      </c>
      <c r="BB22" s="143">
        <v>-14</v>
      </c>
      <c r="BC22" s="143">
        <v>0</v>
      </c>
      <c r="BD22" s="143">
        <v>0</v>
      </c>
      <c r="BE22" s="143">
        <v>0</v>
      </c>
      <c r="BF22" s="143">
        <v>0</v>
      </c>
      <c r="BG22" s="143">
        <v>0</v>
      </c>
      <c r="BH22" s="143">
        <v>9</v>
      </c>
      <c r="BI22" s="143">
        <v>12.5</v>
      </c>
      <c r="BJ22" s="143">
        <v>20</v>
      </c>
      <c r="BK22" s="143">
        <v>21</v>
      </c>
      <c r="BL22" s="79">
        <v>28</v>
      </c>
      <c r="BM22" s="79">
        <v>33</v>
      </c>
      <c r="BN22" s="79">
        <v>40</v>
      </c>
      <c r="BO22" s="79">
        <v>52</v>
      </c>
      <c r="BP22" s="79">
        <v>68</v>
      </c>
      <c r="BQ22" s="79">
        <v>90</v>
      </c>
      <c r="BR22" s="79">
        <v>125</v>
      </c>
      <c r="BS22" s="79">
        <v>159</v>
      </c>
      <c r="BT22" s="164" t="s">
        <v>131</v>
      </c>
      <c r="BU22" s="164" t="s">
        <v>131</v>
      </c>
      <c r="BW22" s="137">
        <v>140</v>
      </c>
      <c r="BX22" s="137">
        <v>160</v>
      </c>
      <c r="BY22" s="79">
        <v>440</v>
      </c>
      <c r="BZ22" s="79">
        <v>310</v>
      </c>
      <c r="CA22" s="79">
        <v>370</v>
      </c>
      <c r="CB22" s="79">
        <v>208</v>
      </c>
      <c r="CC22" s="79">
        <v>245</v>
      </c>
      <c r="CD22" s="79">
        <v>305</v>
      </c>
      <c r="CE22" s="79">
        <v>125</v>
      </c>
      <c r="CF22" s="79">
        <v>148</v>
      </c>
      <c r="CG22" s="79">
        <v>185</v>
      </c>
      <c r="CH22" s="79">
        <v>68</v>
      </c>
      <c r="CI22" s="79">
        <v>83</v>
      </c>
      <c r="CJ22" s="134">
        <v>106</v>
      </c>
      <c r="CK22" s="134">
        <v>39</v>
      </c>
      <c r="CL22" s="134">
        <v>54</v>
      </c>
      <c r="CM22" s="134">
        <v>25</v>
      </c>
      <c r="CN22" s="134">
        <v>40</v>
      </c>
      <c r="CO22" s="134">
        <v>63</v>
      </c>
      <c r="CP22" s="134">
        <v>100</v>
      </c>
      <c r="CQ22" s="134">
        <v>160</v>
      </c>
      <c r="CR22" s="134">
        <v>12.5</v>
      </c>
      <c r="CS22" s="134">
        <v>20</v>
      </c>
      <c r="CT22" s="134">
        <v>4</v>
      </c>
      <c r="CU22" s="134">
        <v>12</v>
      </c>
      <c r="CV22" s="134">
        <v>-8</v>
      </c>
      <c r="CW22" s="134">
        <v>0</v>
      </c>
      <c r="CX22" s="134">
        <v>-20</v>
      </c>
      <c r="CY22" s="134">
        <v>-12</v>
      </c>
      <c r="CZ22" s="134">
        <v>-36</v>
      </c>
      <c r="DA22" s="79">
        <v>-28</v>
      </c>
      <c r="DB22" s="79">
        <v>-50</v>
      </c>
      <c r="DC22" s="79">
        <v>-85</v>
      </c>
      <c r="DD22" s="79">
        <v>-119</v>
      </c>
      <c r="DE22" s="164" t="s">
        <v>180</v>
      </c>
      <c r="DF22" s="163" t="s">
        <v>180</v>
      </c>
    </row>
    <row r="23" spans="2:110">
      <c r="B23" s="224"/>
      <c r="C23" s="144" t="s">
        <v>194</v>
      </c>
      <c r="D23" s="79" t="str">
        <f t="shared" si="0"/>
        <v>319/180</v>
      </c>
      <c r="E23" s="79" t="str">
        <f t="shared" si="0"/>
        <v>231/130</v>
      </c>
      <c r="F23" s="79" t="str">
        <f t="shared" si="0"/>
        <v>269/130</v>
      </c>
      <c r="G23" s="79" t="str">
        <f t="shared" si="0"/>
        <v>158/80</v>
      </c>
      <c r="H23" s="79" t="str">
        <f t="shared" si="0"/>
        <v>181/80</v>
      </c>
      <c r="I23" s="79" t="str">
        <f t="shared" si="0"/>
        <v>219/80</v>
      </c>
      <c r="J23" s="79" t="str">
        <f t="shared" si="0"/>
        <v>114/50</v>
      </c>
      <c r="K23" s="79" t="str">
        <f t="shared" ref="K23:Z23" si="3">VLOOKUP($B$7-0.000001,$BW$8:$DF$32,MATCH(K$7,$BW$7:$DF$7,0))-VLOOKUP($B$7-0.000001,$AO$36:$BU$60,MATCH($C23,$AO$35:$BU$35,0))
&amp;"/"&amp;
VLOOKUP($B$7-0.000001,$BW$36:$DF$60,MATCH(K$7,$BW$35:$DF$35,0))-VLOOKUP($B$7-0.000001,$AO$8:$BU$32,MATCH($C23,$AO$7:$BU$7,0))</f>
        <v>128/50</v>
      </c>
      <c r="L23" s="79" t="str">
        <f t="shared" si="3"/>
        <v>151/50</v>
      </c>
      <c r="M23" s="79" t="str">
        <f t="shared" si="3"/>
        <v>80/25</v>
      </c>
      <c r="N23" s="79" t="str">
        <f t="shared" si="3"/>
        <v>89/25</v>
      </c>
      <c r="O23" s="79" t="str">
        <f t="shared" si="3"/>
        <v>103/25</v>
      </c>
      <c r="P23" s="79" t="str">
        <f t="shared" si="3"/>
        <v>64/9</v>
      </c>
      <c r="Q23" s="79" t="str">
        <f t="shared" si="3"/>
        <v>73/9</v>
      </c>
      <c r="R23" s="79" t="str">
        <f t="shared" si="3"/>
        <v>55/0</v>
      </c>
      <c r="S23" s="79" t="str">
        <f t="shared" si="3"/>
        <v>64/0</v>
      </c>
      <c r="T23" s="79" t="str">
        <f t="shared" si="3"/>
        <v>78/0</v>
      </c>
      <c r="U23" s="79" t="str">
        <f t="shared" si="3"/>
        <v>101/0</v>
      </c>
      <c r="V23" s="79" t="str">
        <f t="shared" si="3"/>
        <v>139/0</v>
      </c>
      <c r="W23" s="79" t="str">
        <f t="shared" si="3"/>
        <v>47/-8</v>
      </c>
      <c r="X23" s="79" t="str">
        <f t="shared" si="3"/>
        <v>51/-12</v>
      </c>
      <c r="Y23" s="79" t="str">
        <f t="shared" si="3"/>
        <v>42/-13</v>
      </c>
      <c r="Z23" s="79" t="str">
        <f t="shared" si="3"/>
        <v>46/-18</v>
      </c>
      <c r="AA23" s="79" t="str">
        <f t="shared" si="2"/>
        <v>35/-20</v>
      </c>
      <c r="AB23" s="79" t="str">
        <f t="shared" si="2"/>
        <v>39/-25</v>
      </c>
      <c r="AC23" s="79" t="str">
        <f t="shared" si="2"/>
        <v>27/-28</v>
      </c>
      <c r="AD23" s="79" t="str">
        <f t="shared" si="2"/>
        <v>31/-33</v>
      </c>
      <c r="AE23" s="79" t="str">
        <f t="shared" si="2"/>
        <v>18/-37</v>
      </c>
      <c r="AF23" s="79" t="str">
        <f t="shared" si="2"/>
        <v>22/-42</v>
      </c>
      <c r="AG23" s="79" t="str">
        <f t="shared" si="2"/>
        <v>14/-50</v>
      </c>
      <c r="AH23" s="79" t="str">
        <f t="shared" si="2"/>
        <v>5/-59</v>
      </c>
      <c r="AI23" s="79" t="str">
        <f t="shared" si="2"/>
        <v>-6/-70</v>
      </c>
      <c r="AJ23" s="79" t="str">
        <f t="shared" si="2"/>
        <v>-22/-86</v>
      </c>
      <c r="AK23" s="79" t="e">
        <f t="shared" si="2"/>
        <v>#VALUE!</v>
      </c>
      <c r="AL23" s="161"/>
      <c r="AM23" s="161"/>
      <c r="AO23" s="137">
        <v>160</v>
      </c>
      <c r="AP23" s="137">
        <v>180</v>
      </c>
      <c r="AQ23">
        <v>-310</v>
      </c>
      <c r="AR23">
        <v>-230</v>
      </c>
      <c r="AS23">
        <v>-145</v>
      </c>
      <c r="AT23">
        <v>-145</v>
      </c>
      <c r="AU23">
        <v>-85</v>
      </c>
      <c r="AV23">
        <v>-85</v>
      </c>
      <c r="AW23" s="143">
        <v>-85</v>
      </c>
      <c r="AX23" s="143">
        <v>-43</v>
      </c>
      <c r="AY23" s="143">
        <v>-43</v>
      </c>
      <c r="AZ23" s="143">
        <v>-43</v>
      </c>
      <c r="BA23" s="143">
        <v>-14</v>
      </c>
      <c r="BB23" s="143">
        <v>-14</v>
      </c>
      <c r="BC23" s="143">
        <v>0</v>
      </c>
      <c r="BD23" s="143">
        <v>0</v>
      </c>
      <c r="BE23" s="143">
        <v>0</v>
      </c>
      <c r="BF23" s="143">
        <v>0</v>
      </c>
      <c r="BG23" s="143">
        <v>0</v>
      </c>
      <c r="BH23" s="143">
        <v>9</v>
      </c>
      <c r="BI23" s="143">
        <v>12.5</v>
      </c>
      <c r="BJ23" s="143">
        <v>20</v>
      </c>
      <c r="BK23" s="143">
        <v>21</v>
      </c>
      <c r="BL23" s="79">
        <v>28</v>
      </c>
      <c r="BM23" s="79">
        <v>33</v>
      </c>
      <c r="BN23" s="79">
        <v>40</v>
      </c>
      <c r="BO23" s="79">
        <v>52</v>
      </c>
      <c r="BP23" s="79">
        <v>68</v>
      </c>
      <c r="BQ23" s="79">
        <v>93</v>
      </c>
      <c r="BR23" s="79">
        <v>133</v>
      </c>
      <c r="BS23" s="79">
        <v>171</v>
      </c>
      <c r="BT23" s="164" t="s">
        <v>131</v>
      </c>
      <c r="BU23" s="164" t="s">
        <v>131</v>
      </c>
      <c r="BW23" s="137">
        <v>160</v>
      </c>
      <c r="BX23" s="137">
        <v>180</v>
      </c>
      <c r="BY23" s="79">
        <v>470</v>
      </c>
      <c r="BZ23" s="79">
        <v>330</v>
      </c>
      <c r="CA23" s="79">
        <v>390</v>
      </c>
      <c r="CB23" s="79">
        <v>208</v>
      </c>
      <c r="CC23" s="79">
        <v>245</v>
      </c>
      <c r="CD23" s="79">
        <v>305</v>
      </c>
      <c r="CE23" s="79">
        <v>125</v>
      </c>
      <c r="CF23" s="79">
        <v>148</v>
      </c>
      <c r="CG23" s="79">
        <v>185</v>
      </c>
      <c r="CH23" s="79">
        <v>68</v>
      </c>
      <c r="CI23" s="79">
        <v>83</v>
      </c>
      <c r="CJ23" s="134">
        <v>106</v>
      </c>
      <c r="CK23" s="134">
        <v>39</v>
      </c>
      <c r="CL23" s="134">
        <v>54</v>
      </c>
      <c r="CM23" s="134">
        <v>25</v>
      </c>
      <c r="CN23" s="134">
        <v>40</v>
      </c>
      <c r="CO23" s="134">
        <v>63</v>
      </c>
      <c r="CP23" s="134">
        <v>100</v>
      </c>
      <c r="CQ23" s="134">
        <v>160</v>
      </c>
      <c r="CR23" s="134">
        <v>12.5</v>
      </c>
      <c r="CS23" s="134">
        <v>20</v>
      </c>
      <c r="CT23" s="134">
        <v>4</v>
      </c>
      <c r="CU23" s="134">
        <v>12</v>
      </c>
      <c r="CV23" s="134">
        <v>-8</v>
      </c>
      <c r="CW23" s="134">
        <v>0</v>
      </c>
      <c r="CX23" s="134">
        <v>-20</v>
      </c>
      <c r="CY23" s="134">
        <v>-12</v>
      </c>
      <c r="CZ23" s="134">
        <v>-36</v>
      </c>
      <c r="DA23" s="79">
        <v>-28</v>
      </c>
      <c r="DB23" s="79">
        <v>-53</v>
      </c>
      <c r="DC23" s="79">
        <v>-93</v>
      </c>
      <c r="DD23" s="79">
        <v>-131</v>
      </c>
      <c r="DE23" s="164" t="s">
        <v>180</v>
      </c>
      <c r="DF23" s="163" t="s">
        <v>180</v>
      </c>
    </row>
    <row r="24" spans="2:110">
      <c r="B24" s="224"/>
      <c r="C24" s="144" t="s">
        <v>195</v>
      </c>
      <c r="D24" s="79" t="str">
        <f t="shared" ref="D24:S38" si="4">VLOOKUP($B$7-0.000001,$BW$8:$DF$32,MATCH(D$7,$BW$7:$DF$7,0))-VLOOKUP($B$7-0.000001,$AO$36:$BU$60,MATCH($C24,$AO$35:$BU$35,0))
&amp;"/"&amp;
VLOOKUP($B$7-0.000001,$BW$36:$DF$60,MATCH(D$7,$BW$35:$DF$35,0))-VLOOKUP($B$7-0.000001,$AO$8:$BU$32,MATCH($C24,$AO$7:$BU$7,0))</f>
        <v>342/180</v>
      </c>
      <c r="E24" s="79" t="str">
        <f t="shared" si="4"/>
        <v>254/130</v>
      </c>
      <c r="F24" s="79" t="str">
        <f t="shared" si="4"/>
        <v>292/130</v>
      </c>
      <c r="G24" s="79" t="str">
        <f t="shared" si="4"/>
        <v>181/80</v>
      </c>
      <c r="H24" s="79" t="str">
        <f t="shared" si="4"/>
        <v>204/80</v>
      </c>
      <c r="I24" s="79" t="str">
        <f t="shared" si="4"/>
        <v>242/80</v>
      </c>
      <c r="J24" s="79" t="str">
        <f t="shared" si="4"/>
        <v>137/50</v>
      </c>
      <c r="K24" s="79" t="str">
        <f t="shared" si="4"/>
        <v>151/50</v>
      </c>
      <c r="L24" s="79" t="str">
        <f t="shared" si="4"/>
        <v>174/50</v>
      </c>
      <c r="M24" s="79" t="str">
        <f t="shared" si="4"/>
        <v>103/25</v>
      </c>
      <c r="N24" s="79" t="str">
        <f t="shared" si="4"/>
        <v>112/25</v>
      </c>
      <c r="O24" s="79" t="str">
        <f t="shared" si="4"/>
        <v>126/25</v>
      </c>
      <c r="P24" s="79" t="str">
        <f t="shared" si="4"/>
        <v>87/9</v>
      </c>
      <c r="Q24" s="79" t="str">
        <f t="shared" si="4"/>
        <v>96/9</v>
      </c>
      <c r="R24" s="79" t="str">
        <f t="shared" si="4"/>
        <v>78/0</v>
      </c>
      <c r="S24" s="79" t="str">
        <f t="shared" si="4"/>
        <v>87/0</v>
      </c>
      <c r="T24" s="79" t="str">
        <f t="shared" ref="T24:Z38" si="5">VLOOKUP($B$7-0.000001,$BW$8:$DF$32,MATCH(T$7,$BW$7:$DF$7,0))-VLOOKUP($B$7-0.000001,$AO$36:$BU$60,MATCH($C24,$AO$35:$BU$35,0))
&amp;"/"&amp;
VLOOKUP($B$7-0.000001,$BW$36:$DF$60,MATCH(T$7,$BW$35:$DF$35,0))-VLOOKUP($B$7-0.000001,$AO$8:$BU$32,MATCH($C24,$AO$7:$BU$7,0))</f>
        <v>101/0</v>
      </c>
      <c r="U24" s="79" t="str">
        <f t="shared" si="5"/>
        <v>124/0</v>
      </c>
      <c r="V24" s="79" t="str">
        <f t="shared" si="5"/>
        <v>162/0</v>
      </c>
      <c r="W24" s="79" t="str">
        <f t="shared" si="5"/>
        <v>70/-8</v>
      </c>
      <c r="X24" s="79" t="str">
        <f t="shared" si="5"/>
        <v>74/-12</v>
      </c>
      <c r="Y24" s="79" t="str">
        <f t="shared" si="5"/>
        <v>65/-13</v>
      </c>
      <c r="Z24" s="79" t="str">
        <f t="shared" si="5"/>
        <v>69/-18</v>
      </c>
      <c r="AA24" s="79" t="str">
        <f t="shared" si="2"/>
        <v>58/-20</v>
      </c>
      <c r="AB24" s="79" t="str">
        <f t="shared" si="2"/>
        <v>62/-25</v>
      </c>
      <c r="AC24" s="79" t="str">
        <f t="shared" si="2"/>
        <v>50/-28</v>
      </c>
      <c r="AD24" s="79" t="str">
        <f t="shared" si="2"/>
        <v>54/-33</v>
      </c>
      <c r="AE24" s="79" t="str">
        <f t="shared" si="2"/>
        <v>41/-37</v>
      </c>
      <c r="AF24" s="79" t="str">
        <f t="shared" si="2"/>
        <v>45/-42</v>
      </c>
      <c r="AG24" s="79" t="str">
        <f t="shared" si="2"/>
        <v>37/-50</v>
      </c>
      <c r="AH24" s="79" t="str">
        <f t="shared" si="2"/>
        <v>28/-59</v>
      </c>
      <c r="AI24" s="79" t="str">
        <f t="shared" si="2"/>
        <v>17/-70</v>
      </c>
      <c r="AJ24" s="79" t="str">
        <f t="shared" si="2"/>
        <v>1/-86</v>
      </c>
      <c r="AK24" s="79" t="e">
        <f t="shared" si="2"/>
        <v>#VALUE!</v>
      </c>
      <c r="AL24" s="161"/>
      <c r="AM24" s="161"/>
      <c r="AO24" s="137">
        <v>180</v>
      </c>
      <c r="AP24" s="137">
        <v>200</v>
      </c>
      <c r="AQ24">
        <v>-340</v>
      </c>
      <c r="AR24">
        <v>-240</v>
      </c>
      <c r="AS24">
        <v>-170</v>
      </c>
      <c r="AT24">
        <v>-170</v>
      </c>
      <c r="AU24">
        <v>-100</v>
      </c>
      <c r="AV24">
        <v>-100</v>
      </c>
      <c r="AW24" s="143">
        <v>-100</v>
      </c>
      <c r="AX24" s="143">
        <v>-50</v>
      </c>
      <c r="AY24" s="143">
        <v>-50</v>
      </c>
      <c r="AZ24" s="143">
        <v>-50</v>
      </c>
      <c r="BA24" s="143">
        <v>-15</v>
      </c>
      <c r="BB24" s="143">
        <v>-15</v>
      </c>
      <c r="BC24" s="143">
        <v>0</v>
      </c>
      <c r="BD24" s="143">
        <v>0</v>
      </c>
      <c r="BE24" s="143">
        <v>0</v>
      </c>
      <c r="BF24" s="143">
        <v>0</v>
      </c>
      <c r="BG24" s="143">
        <v>0</v>
      </c>
      <c r="BH24" s="143">
        <v>10</v>
      </c>
      <c r="BI24" s="143">
        <v>14.5</v>
      </c>
      <c r="BJ24" s="143">
        <v>23</v>
      </c>
      <c r="BK24" s="143">
        <v>24</v>
      </c>
      <c r="BL24" s="79">
        <v>33</v>
      </c>
      <c r="BM24" s="79">
        <v>37</v>
      </c>
      <c r="BN24" s="79">
        <v>46</v>
      </c>
      <c r="BO24" s="79">
        <v>60</v>
      </c>
      <c r="BP24" s="79">
        <v>79</v>
      </c>
      <c r="BQ24" s="79">
        <v>106</v>
      </c>
      <c r="BR24" s="79">
        <v>151</v>
      </c>
      <c r="BS24" s="164" t="s">
        <v>131</v>
      </c>
      <c r="BT24" s="164" t="s">
        <v>131</v>
      </c>
      <c r="BU24" s="164" t="s">
        <v>131</v>
      </c>
      <c r="BW24" s="137">
        <v>180</v>
      </c>
      <c r="BX24" s="137">
        <v>200</v>
      </c>
      <c r="BY24" s="79">
        <v>525</v>
      </c>
      <c r="BZ24" s="79">
        <v>355</v>
      </c>
      <c r="CA24" s="79">
        <v>425</v>
      </c>
      <c r="CB24" s="79">
        <v>242</v>
      </c>
      <c r="CC24" s="79">
        <v>285</v>
      </c>
      <c r="CD24" s="79">
        <v>355</v>
      </c>
      <c r="CE24" s="79">
        <v>146</v>
      </c>
      <c r="CF24" s="79">
        <v>172</v>
      </c>
      <c r="CG24" s="79">
        <v>215</v>
      </c>
      <c r="CH24" s="79">
        <v>79</v>
      </c>
      <c r="CI24" s="79">
        <v>96</v>
      </c>
      <c r="CJ24" s="134">
        <v>122</v>
      </c>
      <c r="CK24" s="134">
        <v>44</v>
      </c>
      <c r="CL24" s="134">
        <v>61</v>
      </c>
      <c r="CM24" s="134">
        <v>29</v>
      </c>
      <c r="CN24" s="134">
        <v>46</v>
      </c>
      <c r="CO24" s="134">
        <v>72</v>
      </c>
      <c r="CP24" s="134">
        <v>115</v>
      </c>
      <c r="CQ24" s="134">
        <v>185</v>
      </c>
      <c r="CR24" s="134">
        <v>14.5</v>
      </c>
      <c r="CS24" s="134">
        <v>23</v>
      </c>
      <c r="CT24" s="134">
        <v>5</v>
      </c>
      <c r="CU24" s="134">
        <v>13</v>
      </c>
      <c r="CV24" s="134">
        <v>-8</v>
      </c>
      <c r="CW24" s="134">
        <v>0</v>
      </c>
      <c r="CX24" s="134">
        <v>-22</v>
      </c>
      <c r="CY24" s="134">
        <v>-14</v>
      </c>
      <c r="CZ24" s="134">
        <v>-41</v>
      </c>
      <c r="DA24" s="79">
        <v>-33</v>
      </c>
      <c r="DB24" s="79">
        <v>-60</v>
      </c>
      <c r="DC24" s="79">
        <v>-105</v>
      </c>
      <c r="DD24" s="163" t="s">
        <v>180</v>
      </c>
      <c r="DE24" s="164" t="s">
        <v>180</v>
      </c>
      <c r="DF24" s="163" t="s">
        <v>180</v>
      </c>
    </row>
    <row r="25" spans="2:110">
      <c r="B25" s="224"/>
      <c r="C25" s="144" t="s">
        <v>196</v>
      </c>
      <c r="D25" s="79" t="str">
        <f t="shared" si="4"/>
        <v>285.5/174.5</v>
      </c>
      <c r="E25" s="79" t="str">
        <f t="shared" si="4"/>
        <v>197.5/124.5</v>
      </c>
      <c r="F25" s="79" t="str">
        <f t="shared" si="4"/>
        <v>235.5/124.5</v>
      </c>
      <c r="G25" s="79" t="str">
        <f t="shared" si="4"/>
        <v>124.5/74.5</v>
      </c>
      <c r="H25" s="79" t="str">
        <f t="shared" si="4"/>
        <v>147.5/74.5</v>
      </c>
      <c r="I25" s="79" t="str">
        <f t="shared" si="4"/>
        <v>185.5/74.5</v>
      </c>
      <c r="J25" s="79" t="str">
        <f t="shared" si="4"/>
        <v>80.5/44.5</v>
      </c>
      <c r="K25" s="79" t="str">
        <f t="shared" si="4"/>
        <v>94.5/44.5</v>
      </c>
      <c r="L25" s="79" t="str">
        <f t="shared" si="4"/>
        <v>117.5/44.5</v>
      </c>
      <c r="M25" s="79" t="str">
        <f t="shared" si="4"/>
        <v>46.5/19.5</v>
      </c>
      <c r="N25" s="79" t="str">
        <f t="shared" si="4"/>
        <v>55.5/19.5</v>
      </c>
      <c r="O25" s="79" t="str">
        <f t="shared" si="4"/>
        <v>69.5/19.5</v>
      </c>
      <c r="P25" s="79" t="str">
        <f t="shared" si="4"/>
        <v>30.5/3.5</v>
      </c>
      <c r="Q25" s="79" t="str">
        <f t="shared" si="4"/>
        <v>39.5/3.5</v>
      </c>
      <c r="R25" s="79" t="str">
        <f t="shared" si="4"/>
        <v>21.5/-5.5</v>
      </c>
      <c r="S25" s="79" t="str">
        <f t="shared" si="4"/>
        <v>30.5/-5.5</v>
      </c>
      <c r="T25" s="79" t="str">
        <f t="shared" si="5"/>
        <v>44.5/-5.5</v>
      </c>
      <c r="U25" s="79" t="str">
        <f t="shared" si="5"/>
        <v>67.5/-5.5</v>
      </c>
      <c r="V25" s="79" t="str">
        <f t="shared" si="5"/>
        <v>105.5/-5.5</v>
      </c>
      <c r="W25" s="79" t="str">
        <f t="shared" si="5"/>
        <v>13.5/-13.5</v>
      </c>
      <c r="X25" s="79" t="str">
        <f t="shared" si="5"/>
        <v>17.5/-17.5</v>
      </c>
      <c r="Y25" s="79" t="str">
        <f t="shared" si="5"/>
        <v>8.5/-18.5</v>
      </c>
      <c r="Z25" s="79" t="str">
        <f t="shared" si="5"/>
        <v>12.5/-23.5</v>
      </c>
      <c r="AA25" s="79" t="str">
        <f t="shared" si="2"/>
        <v>1.5/-25.5</v>
      </c>
      <c r="AB25" s="79" t="str">
        <f t="shared" si="2"/>
        <v>5.5/-30.5</v>
      </c>
      <c r="AC25" s="79" t="str">
        <f t="shared" si="2"/>
        <v>-6.5/-33.5</v>
      </c>
      <c r="AD25" s="79" t="str">
        <f t="shared" si="2"/>
        <v>-2.5/-38.5</v>
      </c>
      <c r="AE25" s="79" t="str">
        <f t="shared" si="2"/>
        <v>-15.5/-42.5</v>
      </c>
      <c r="AF25" s="79" t="str">
        <f t="shared" si="2"/>
        <v>-11.5/-47.5</v>
      </c>
      <c r="AG25" s="79" t="str">
        <f t="shared" si="2"/>
        <v>-19.5/-55.5</v>
      </c>
      <c r="AH25" s="79" t="str">
        <f t="shared" si="2"/>
        <v>-28.5/-64.5</v>
      </c>
      <c r="AI25" s="79" t="str">
        <f t="shared" si="2"/>
        <v>-39.5/-75.5</v>
      </c>
      <c r="AJ25" s="79" t="str">
        <f t="shared" si="2"/>
        <v>-55.5/-91.5</v>
      </c>
      <c r="AK25" s="79" t="e">
        <f t="shared" si="2"/>
        <v>#VALUE!</v>
      </c>
      <c r="AL25" s="161"/>
      <c r="AM25" s="161"/>
      <c r="AO25" s="137">
        <v>200</v>
      </c>
      <c r="AP25" s="137">
        <v>225</v>
      </c>
      <c r="AQ25">
        <v>-380</v>
      </c>
      <c r="AR25">
        <v>-260</v>
      </c>
      <c r="AS25">
        <v>-170</v>
      </c>
      <c r="AT25">
        <v>-170</v>
      </c>
      <c r="AU25">
        <v>-100</v>
      </c>
      <c r="AV25">
        <v>-100</v>
      </c>
      <c r="AW25" s="143">
        <v>-100</v>
      </c>
      <c r="AX25" s="143">
        <v>-50</v>
      </c>
      <c r="AY25" s="143">
        <v>-50</v>
      </c>
      <c r="AZ25" s="143">
        <v>-50</v>
      </c>
      <c r="BA25" s="143">
        <v>-15</v>
      </c>
      <c r="BB25" s="143">
        <v>-15</v>
      </c>
      <c r="BC25" s="143">
        <v>0</v>
      </c>
      <c r="BD25" s="143">
        <v>0</v>
      </c>
      <c r="BE25" s="143">
        <v>0</v>
      </c>
      <c r="BF25" s="143">
        <v>0</v>
      </c>
      <c r="BG25" s="143">
        <v>0</v>
      </c>
      <c r="BH25" s="143">
        <v>10</v>
      </c>
      <c r="BI25" s="143">
        <v>14.5</v>
      </c>
      <c r="BJ25" s="143">
        <v>23</v>
      </c>
      <c r="BK25" s="143">
        <v>24</v>
      </c>
      <c r="BL25" s="79">
        <v>33</v>
      </c>
      <c r="BM25" s="79">
        <v>37</v>
      </c>
      <c r="BN25" s="79">
        <v>46</v>
      </c>
      <c r="BO25" s="79">
        <v>60</v>
      </c>
      <c r="BP25" s="79">
        <v>79</v>
      </c>
      <c r="BQ25" s="79">
        <v>109</v>
      </c>
      <c r="BR25" s="79">
        <v>159</v>
      </c>
      <c r="BS25" s="164" t="s">
        <v>131</v>
      </c>
      <c r="BT25" s="164" t="s">
        <v>131</v>
      </c>
      <c r="BU25" s="164" t="s">
        <v>131</v>
      </c>
      <c r="BW25" s="137">
        <v>200</v>
      </c>
      <c r="BX25" s="137">
        <v>225</v>
      </c>
      <c r="BY25" s="79">
        <v>565</v>
      </c>
      <c r="BZ25" s="79">
        <v>375</v>
      </c>
      <c r="CA25" s="79">
        <v>445</v>
      </c>
      <c r="CB25" s="79">
        <v>242</v>
      </c>
      <c r="CC25" s="79">
        <v>285</v>
      </c>
      <c r="CD25" s="79">
        <v>355</v>
      </c>
      <c r="CE25" s="79">
        <v>146</v>
      </c>
      <c r="CF25" s="79">
        <v>172</v>
      </c>
      <c r="CG25" s="79">
        <v>215</v>
      </c>
      <c r="CH25" s="79">
        <v>79</v>
      </c>
      <c r="CI25" s="79">
        <v>96</v>
      </c>
      <c r="CJ25" s="134">
        <v>122</v>
      </c>
      <c r="CK25" s="134">
        <v>44</v>
      </c>
      <c r="CL25" s="134">
        <v>61</v>
      </c>
      <c r="CM25" s="134">
        <v>29</v>
      </c>
      <c r="CN25" s="134">
        <v>46</v>
      </c>
      <c r="CO25" s="134">
        <v>72</v>
      </c>
      <c r="CP25" s="134">
        <v>115</v>
      </c>
      <c r="CQ25" s="134">
        <v>185</v>
      </c>
      <c r="CR25" s="134">
        <v>14.5</v>
      </c>
      <c r="CS25" s="134">
        <v>23</v>
      </c>
      <c r="CT25" s="134">
        <v>5</v>
      </c>
      <c r="CU25" s="134">
        <v>13</v>
      </c>
      <c r="CV25" s="134">
        <v>-8</v>
      </c>
      <c r="CW25" s="134">
        <v>0</v>
      </c>
      <c r="CX25" s="134">
        <v>-22</v>
      </c>
      <c r="CY25" s="134">
        <v>-14</v>
      </c>
      <c r="CZ25" s="134">
        <v>-41</v>
      </c>
      <c r="DA25" s="79">
        <v>-33</v>
      </c>
      <c r="DB25" s="79">
        <v>-63</v>
      </c>
      <c r="DC25" s="79">
        <v>-113</v>
      </c>
      <c r="DD25" s="163" t="s">
        <v>180</v>
      </c>
      <c r="DE25" s="164" t="s">
        <v>180</v>
      </c>
      <c r="DF25" s="163" t="s">
        <v>180</v>
      </c>
    </row>
    <row r="26" spans="2:110">
      <c r="B26" s="224"/>
      <c r="C26" s="144" t="s">
        <v>197</v>
      </c>
      <c r="D26" s="79" t="str">
        <f t="shared" si="4"/>
        <v>288/172</v>
      </c>
      <c r="E26" s="79" t="str">
        <f t="shared" si="4"/>
        <v>200/122</v>
      </c>
      <c r="F26" s="79" t="str">
        <f t="shared" si="4"/>
        <v>238/122</v>
      </c>
      <c r="G26" s="79" t="str">
        <f t="shared" si="4"/>
        <v>127/72</v>
      </c>
      <c r="H26" s="79" t="str">
        <f t="shared" si="4"/>
        <v>150/72</v>
      </c>
      <c r="I26" s="79" t="str">
        <f t="shared" si="4"/>
        <v>188/72</v>
      </c>
      <c r="J26" s="79" t="str">
        <f t="shared" si="4"/>
        <v>83/42</v>
      </c>
      <c r="K26" s="79" t="str">
        <f t="shared" si="4"/>
        <v>97/42</v>
      </c>
      <c r="L26" s="79" t="str">
        <f t="shared" si="4"/>
        <v>120/42</v>
      </c>
      <c r="M26" s="79" t="str">
        <f t="shared" si="4"/>
        <v>49/17</v>
      </c>
      <c r="N26" s="79" t="str">
        <f t="shared" si="4"/>
        <v>58/17</v>
      </c>
      <c r="O26" s="79" t="str">
        <f t="shared" si="4"/>
        <v>72/17</v>
      </c>
      <c r="P26" s="79" t="str">
        <f t="shared" si="4"/>
        <v>33/1</v>
      </c>
      <c r="Q26" s="79" t="str">
        <f t="shared" si="4"/>
        <v>42/1</v>
      </c>
      <c r="R26" s="79" t="str">
        <f t="shared" si="4"/>
        <v>24/-8</v>
      </c>
      <c r="S26" s="79" t="str">
        <f t="shared" si="4"/>
        <v>33/-8</v>
      </c>
      <c r="T26" s="79" t="str">
        <f t="shared" si="5"/>
        <v>47/-8</v>
      </c>
      <c r="U26" s="79" t="str">
        <f t="shared" si="5"/>
        <v>70/-8</v>
      </c>
      <c r="V26" s="79" t="str">
        <f t="shared" si="5"/>
        <v>108/-8</v>
      </c>
      <c r="W26" s="79" t="str">
        <f t="shared" si="5"/>
        <v>16/-16</v>
      </c>
      <c r="X26" s="79" t="str">
        <f t="shared" si="5"/>
        <v>20/-20</v>
      </c>
      <c r="Y26" s="79" t="str">
        <f t="shared" si="5"/>
        <v>11/-21</v>
      </c>
      <c r="Z26" s="79" t="str">
        <f t="shared" si="5"/>
        <v>15/-26</v>
      </c>
      <c r="AA26" s="79" t="str">
        <f t="shared" si="2"/>
        <v>4/-28</v>
      </c>
      <c r="AB26" s="79" t="str">
        <f t="shared" si="2"/>
        <v>8/-33</v>
      </c>
      <c r="AC26" s="79" t="str">
        <f t="shared" si="2"/>
        <v>-4/-36</v>
      </c>
      <c r="AD26" s="79" t="str">
        <f t="shared" si="2"/>
        <v>0/-41</v>
      </c>
      <c r="AE26" s="79" t="str">
        <f t="shared" si="2"/>
        <v>-13/-45</v>
      </c>
      <c r="AF26" s="79" t="str">
        <f t="shared" si="2"/>
        <v>-9/-50</v>
      </c>
      <c r="AG26" s="79" t="str">
        <f t="shared" si="2"/>
        <v>-17/-58</v>
      </c>
      <c r="AH26" s="79" t="str">
        <f t="shared" si="2"/>
        <v>-26/-67</v>
      </c>
      <c r="AI26" s="79" t="str">
        <f t="shared" si="2"/>
        <v>-37/-78</v>
      </c>
      <c r="AJ26" s="79" t="str">
        <f t="shared" si="2"/>
        <v>-53/-94</v>
      </c>
      <c r="AK26" s="79" t="e">
        <f t="shared" si="2"/>
        <v>#VALUE!</v>
      </c>
      <c r="AL26" s="161"/>
      <c r="AM26" s="161"/>
      <c r="AO26" s="137">
        <v>225</v>
      </c>
      <c r="AP26" s="137">
        <v>250</v>
      </c>
      <c r="AQ26">
        <v>-420</v>
      </c>
      <c r="AR26">
        <v>-280</v>
      </c>
      <c r="AS26">
        <v>-170</v>
      </c>
      <c r="AT26">
        <v>-170</v>
      </c>
      <c r="AU26">
        <v>-100</v>
      </c>
      <c r="AV26">
        <v>-100</v>
      </c>
      <c r="AW26" s="143">
        <v>-100</v>
      </c>
      <c r="AX26" s="143">
        <v>-50</v>
      </c>
      <c r="AY26" s="143">
        <v>-50</v>
      </c>
      <c r="AZ26" s="143">
        <v>-50</v>
      </c>
      <c r="BA26" s="143">
        <v>-15</v>
      </c>
      <c r="BB26" s="143">
        <v>-15</v>
      </c>
      <c r="BC26" s="143">
        <v>0</v>
      </c>
      <c r="BD26" s="143">
        <v>0</v>
      </c>
      <c r="BE26" s="143">
        <v>0</v>
      </c>
      <c r="BF26" s="143">
        <v>0</v>
      </c>
      <c r="BG26" s="143">
        <v>0</v>
      </c>
      <c r="BH26" s="143">
        <v>10</v>
      </c>
      <c r="BI26" s="143">
        <v>14.5</v>
      </c>
      <c r="BJ26" s="143">
        <v>23</v>
      </c>
      <c r="BK26" s="143">
        <v>24</v>
      </c>
      <c r="BL26" s="79">
        <v>33</v>
      </c>
      <c r="BM26" s="79">
        <v>37</v>
      </c>
      <c r="BN26" s="79">
        <v>46</v>
      </c>
      <c r="BO26" s="79">
        <v>60</v>
      </c>
      <c r="BP26" s="79">
        <v>79</v>
      </c>
      <c r="BQ26" s="79">
        <v>113</v>
      </c>
      <c r="BR26" s="79">
        <v>169</v>
      </c>
      <c r="BS26" s="164" t="s">
        <v>131</v>
      </c>
      <c r="BT26" s="164" t="s">
        <v>131</v>
      </c>
      <c r="BU26" s="164" t="s">
        <v>131</v>
      </c>
      <c r="BW26" s="137">
        <v>225</v>
      </c>
      <c r="BX26" s="137">
        <v>250</v>
      </c>
      <c r="BY26" s="79">
        <v>605</v>
      </c>
      <c r="BZ26" s="79">
        <v>395</v>
      </c>
      <c r="CA26" s="79">
        <v>465</v>
      </c>
      <c r="CB26" s="79">
        <v>242</v>
      </c>
      <c r="CC26" s="79">
        <v>285</v>
      </c>
      <c r="CD26" s="79">
        <v>355</v>
      </c>
      <c r="CE26" s="79">
        <v>146</v>
      </c>
      <c r="CF26" s="79">
        <v>172</v>
      </c>
      <c r="CG26" s="79">
        <v>215</v>
      </c>
      <c r="CH26" s="79">
        <v>79</v>
      </c>
      <c r="CI26" s="79">
        <v>96</v>
      </c>
      <c r="CJ26" s="134">
        <v>122</v>
      </c>
      <c r="CK26" s="134">
        <v>44</v>
      </c>
      <c r="CL26" s="134">
        <v>61</v>
      </c>
      <c r="CM26" s="134">
        <v>29</v>
      </c>
      <c r="CN26" s="134">
        <v>46</v>
      </c>
      <c r="CO26" s="134">
        <v>72</v>
      </c>
      <c r="CP26" s="134">
        <v>115</v>
      </c>
      <c r="CQ26" s="134">
        <v>185</v>
      </c>
      <c r="CR26" s="134">
        <v>14.5</v>
      </c>
      <c r="CS26" s="134">
        <v>23</v>
      </c>
      <c r="CT26" s="134">
        <v>5</v>
      </c>
      <c r="CU26" s="134">
        <v>13</v>
      </c>
      <c r="CV26" s="134">
        <v>-8</v>
      </c>
      <c r="CW26" s="134">
        <v>0</v>
      </c>
      <c r="CX26" s="134">
        <v>-22</v>
      </c>
      <c r="CY26" s="134">
        <v>-14</v>
      </c>
      <c r="CZ26" s="134">
        <v>-41</v>
      </c>
      <c r="DA26" s="79">
        <v>-33</v>
      </c>
      <c r="DB26" s="79">
        <v>-67</v>
      </c>
      <c r="DC26" s="79">
        <v>-123</v>
      </c>
      <c r="DD26" s="163" t="s">
        <v>180</v>
      </c>
      <c r="DE26" s="164" t="s">
        <v>180</v>
      </c>
      <c r="DF26" s="163" t="s">
        <v>180</v>
      </c>
    </row>
    <row r="27" spans="2:110">
      <c r="B27" s="224"/>
      <c r="C27" s="144" t="s">
        <v>198</v>
      </c>
      <c r="D27" s="79" t="str">
        <f t="shared" si="4"/>
        <v>292/168</v>
      </c>
      <c r="E27" s="79" t="str">
        <f t="shared" si="4"/>
        <v>204/118</v>
      </c>
      <c r="F27" s="79" t="str">
        <f t="shared" si="4"/>
        <v>242/118</v>
      </c>
      <c r="G27" s="79" t="str">
        <f t="shared" si="4"/>
        <v>131/68</v>
      </c>
      <c r="H27" s="79" t="str">
        <f t="shared" si="4"/>
        <v>154/68</v>
      </c>
      <c r="I27" s="79" t="str">
        <f t="shared" si="4"/>
        <v>192/68</v>
      </c>
      <c r="J27" s="79" t="str">
        <f t="shared" si="4"/>
        <v>87/38</v>
      </c>
      <c r="K27" s="79" t="str">
        <f t="shared" si="4"/>
        <v>101/38</v>
      </c>
      <c r="L27" s="79" t="str">
        <f t="shared" si="4"/>
        <v>124/38</v>
      </c>
      <c r="M27" s="79" t="str">
        <f t="shared" si="4"/>
        <v>53/13</v>
      </c>
      <c r="N27" s="79" t="str">
        <f t="shared" si="4"/>
        <v>62/13</v>
      </c>
      <c r="O27" s="79" t="str">
        <f t="shared" si="4"/>
        <v>76/13</v>
      </c>
      <c r="P27" s="79" t="str">
        <f t="shared" si="4"/>
        <v>37/-3</v>
      </c>
      <c r="Q27" s="79" t="str">
        <f t="shared" si="4"/>
        <v>46/-3</v>
      </c>
      <c r="R27" s="79" t="str">
        <f t="shared" si="4"/>
        <v>28/-12</v>
      </c>
      <c r="S27" s="79" t="str">
        <f t="shared" si="4"/>
        <v>37/-12</v>
      </c>
      <c r="T27" s="79" t="str">
        <f t="shared" si="5"/>
        <v>51/-12</v>
      </c>
      <c r="U27" s="79" t="str">
        <f t="shared" si="5"/>
        <v>74/-12</v>
      </c>
      <c r="V27" s="79" t="str">
        <f t="shared" si="5"/>
        <v>112/-12</v>
      </c>
      <c r="W27" s="79" t="str">
        <f t="shared" si="5"/>
        <v>20/-20</v>
      </c>
      <c r="X27" s="79" t="str">
        <f t="shared" si="5"/>
        <v>24/-24</v>
      </c>
      <c r="Y27" s="79" t="str">
        <f t="shared" si="5"/>
        <v>15/-25</v>
      </c>
      <c r="Z27" s="79" t="str">
        <f t="shared" si="5"/>
        <v>19/-30</v>
      </c>
      <c r="AA27" s="79" t="str">
        <f t="shared" si="2"/>
        <v>8/-32</v>
      </c>
      <c r="AB27" s="79" t="str">
        <f t="shared" si="2"/>
        <v>12/-37</v>
      </c>
      <c r="AC27" s="79" t="str">
        <f t="shared" si="2"/>
        <v>0/-40</v>
      </c>
      <c r="AD27" s="79" t="str">
        <f t="shared" si="2"/>
        <v>4/-45</v>
      </c>
      <c r="AE27" s="79" t="str">
        <f t="shared" si="2"/>
        <v>-9/-49</v>
      </c>
      <c r="AF27" s="79" t="str">
        <f t="shared" si="2"/>
        <v>-5/-54</v>
      </c>
      <c r="AG27" s="79" t="str">
        <f t="shared" si="2"/>
        <v>-13/-62</v>
      </c>
      <c r="AH27" s="79" t="str">
        <f t="shared" si="2"/>
        <v>-22/-71</v>
      </c>
      <c r="AI27" s="79" t="str">
        <f t="shared" si="2"/>
        <v>-33/-82</v>
      </c>
      <c r="AJ27" s="79" t="str">
        <f t="shared" si="2"/>
        <v>-49/-98</v>
      </c>
      <c r="AK27" s="79" t="e">
        <f t="shared" si="2"/>
        <v>#VALUE!</v>
      </c>
      <c r="AL27" s="161"/>
      <c r="AM27" s="161"/>
      <c r="AO27" s="137">
        <v>250</v>
      </c>
      <c r="AP27" s="137">
        <v>280</v>
      </c>
      <c r="AQ27">
        <v>-480</v>
      </c>
      <c r="AR27">
        <v>-300</v>
      </c>
      <c r="AS27">
        <v>-190</v>
      </c>
      <c r="AT27">
        <v>-190</v>
      </c>
      <c r="AU27">
        <v>-110</v>
      </c>
      <c r="AV27">
        <v>-110</v>
      </c>
      <c r="AW27" s="143">
        <v>-110</v>
      </c>
      <c r="AX27" s="143">
        <v>-56</v>
      </c>
      <c r="AY27" s="143">
        <v>-56</v>
      </c>
      <c r="AZ27" s="143">
        <v>-56</v>
      </c>
      <c r="BA27" s="143">
        <v>-17</v>
      </c>
      <c r="BB27" s="143">
        <v>-17</v>
      </c>
      <c r="BC27" s="143">
        <v>0</v>
      </c>
      <c r="BD27" s="143">
        <v>0</v>
      </c>
      <c r="BE27" s="143">
        <v>0</v>
      </c>
      <c r="BF27" s="143">
        <v>0</v>
      </c>
      <c r="BG27" s="143">
        <v>0</v>
      </c>
      <c r="BH27" s="143">
        <v>11.5</v>
      </c>
      <c r="BI27" s="143">
        <v>16</v>
      </c>
      <c r="BJ27" s="143">
        <v>26</v>
      </c>
      <c r="BK27" s="143">
        <v>27</v>
      </c>
      <c r="BL27" s="79">
        <v>36</v>
      </c>
      <c r="BM27" s="79">
        <v>43</v>
      </c>
      <c r="BN27" s="79">
        <v>52</v>
      </c>
      <c r="BO27" s="79">
        <v>66</v>
      </c>
      <c r="BP27" s="79">
        <v>88</v>
      </c>
      <c r="BQ27" s="79">
        <v>126</v>
      </c>
      <c r="BR27" s="164" t="s">
        <v>131</v>
      </c>
      <c r="BS27" s="164" t="s">
        <v>131</v>
      </c>
      <c r="BT27" s="164" t="s">
        <v>131</v>
      </c>
      <c r="BU27" s="164" t="s">
        <v>131</v>
      </c>
      <c r="BW27" s="137">
        <v>250</v>
      </c>
      <c r="BX27" s="137">
        <v>280</v>
      </c>
      <c r="BY27" s="79">
        <v>690</v>
      </c>
      <c r="BZ27" s="79">
        <v>430</v>
      </c>
      <c r="CA27" s="79">
        <v>510</v>
      </c>
      <c r="CB27" s="79">
        <v>271</v>
      </c>
      <c r="CC27" s="79">
        <v>320</v>
      </c>
      <c r="CD27" s="79">
        <v>400</v>
      </c>
      <c r="CE27" s="79">
        <v>162</v>
      </c>
      <c r="CF27" s="79">
        <v>191</v>
      </c>
      <c r="CG27" s="79">
        <v>240</v>
      </c>
      <c r="CH27" s="79">
        <v>88</v>
      </c>
      <c r="CI27" s="79">
        <v>108</v>
      </c>
      <c r="CJ27" s="134">
        <v>137</v>
      </c>
      <c r="CK27" s="134">
        <v>49</v>
      </c>
      <c r="CL27" s="134">
        <v>69</v>
      </c>
      <c r="CM27" s="134">
        <v>32</v>
      </c>
      <c r="CN27" s="134">
        <v>52</v>
      </c>
      <c r="CO27" s="134">
        <v>81</v>
      </c>
      <c r="CP27" s="134">
        <v>130</v>
      </c>
      <c r="CQ27" s="134">
        <v>210</v>
      </c>
      <c r="CR27" s="134">
        <v>16</v>
      </c>
      <c r="CS27" s="134">
        <v>26</v>
      </c>
      <c r="CT27" s="134">
        <v>5</v>
      </c>
      <c r="CU27" s="134">
        <v>16</v>
      </c>
      <c r="CV27" s="134">
        <v>-9</v>
      </c>
      <c r="CW27" s="134">
        <v>0</v>
      </c>
      <c r="CX27" s="134">
        <v>-25</v>
      </c>
      <c r="CY27" s="134">
        <v>-14</v>
      </c>
      <c r="CZ27" s="134">
        <v>-47</v>
      </c>
      <c r="DA27" s="79">
        <v>-36</v>
      </c>
      <c r="DB27" s="79">
        <v>-74</v>
      </c>
      <c r="DC27" s="163" t="s">
        <v>180</v>
      </c>
      <c r="DD27" s="163" t="s">
        <v>180</v>
      </c>
      <c r="DE27" s="164" t="s">
        <v>180</v>
      </c>
      <c r="DF27" s="163" t="s">
        <v>180</v>
      </c>
    </row>
    <row r="28" spans="2:110">
      <c r="B28" s="224"/>
      <c r="C28" s="144" t="s">
        <v>199</v>
      </c>
      <c r="D28" s="79" t="str">
        <f t="shared" si="4"/>
        <v>278/167</v>
      </c>
      <c r="E28" s="79" t="str">
        <f t="shared" si="4"/>
        <v>190/117</v>
      </c>
      <c r="F28" s="79" t="str">
        <f t="shared" si="4"/>
        <v>228/117</v>
      </c>
      <c r="G28" s="79" t="str">
        <f t="shared" si="4"/>
        <v>117/67</v>
      </c>
      <c r="H28" s="79" t="str">
        <f t="shared" si="4"/>
        <v>140/67</v>
      </c>
      <c r="I28" s="79" t="str">
        <f t="shared" si="4"/>
        <v>178/67</v>
      </c>
      <c r="J28" s="79" t="str">
        <f t="shared" si="4"/>
        <v>73/37</v>
      </c>
      <c r="K28" s="79" t="str">
        <f t="shared" si="4"/>
        <v>87/37</v>
      </c>
      <c r="L28" s="79" t="str">
        <f t="shared" si="4"/>
        <v>110/37</v>
      </c>
      <c r="M28" s="79" t="str">
        <f t="shared" si="4"/>
        <v>39/12</v>
      </c>
      <c r="N28" s="79" t="str">
        <f t="shared" si="4"/>
        <v>48/12</v>
      </c>
      <c r="O28" s="79" t="str">
        <f t="shared" si="4"/>
        <v>62/12</v>
      </c>
      <c r="P28" s="79" t="str">
        <f t="shared" si="4"/>
        <v>23/-4</v>
      </c>
      <c r="Q28" s="79" t="str">
        <f t="shared" si="4"/>
        <v>32/-4</v>
      </c>
      <c r="R28" s="79" t="str">
        <f t="shared" si="4"/>
        <v>14/-13</v>
      </c>
      <c r="S28" s="79" t="str">
        <f t="shared" si="4"/>
        <v>23/-13</v>
      </c>
      <c r="T28" s="79" t="str">
        <f t="shared" si="5"/>
        <v>37/-13</v>
      </c>
      <c r="U28" s="79" t="str">
        <f t="shared" si="5"/>
        <v>60/-13</v>
      </c>
      <c r="V28" s="79" t="str">
        <f t="shared" si="5"/>
        <v>98/-13</v>
      </c>
      <c r="W28" s="79" t="str">
        <f t="shared" si="5"/>
        <v>6/-21</v>
      </c>
      <c r="X28" s="79" t="str">
        <f t="shared" si="5"/>
        <v>10/-25</v>
      </c>
      <c r="Y28" s="79" t="str">
        <f t="shared" si="5"/>
        <v>1/-26</v>
      </c>
      <c r="Z28" s="79" t="str">
        <f t="shared" si="5"/>
        <v>5/-31</v>
      </c>
      <c r="AA28" s="79" t="str">
        <f t="shared" si="2"/>
        <v>-6/-33</v>
      </c>
      <c r="AB28" s="79" t="str">
        <f t="shared" si="2"/>
        <v>-2/-38</v>
      </c>
      <c r="AC28" s="79" t="str">
        <f t="shared" si="2"/>
        <v>-14/-41</v>
      </c>
      <c r="AD28" s="79" t="str">
        <f t="shared" si="2"/>
        <v>-10/-46</v>
      </c>
      <c r="AE28" s="79" t="str">
        <f t="shared" si="2"/>
        <v>-23/-50</v>
      </c>
      <c r="AF28" s="79" t="str">
        <f t="shared" si="2"/>
        <v>-19/-55</v>
      </c>
      <c r="AG28" s="79" t="str">
        <f t="shared" si="2"/>
        <v>-27/-63</v>
      </c>
      <c r="AH28" s="79" t="str">
        <f t="shared" si="2"/>
        <v>-36/-72</v>
      </c>
      <c r="AI28" s="79" t="str">
        <f t="shared" si="2"/>
        <v>-47/-83</v>
      </c>
      <c r="AJ28" s="79" t="str">
        <f t="shared" si="2"/>
        <v>-63/-99</v>
      </c>
      <c r="AK28" s="79" t="e">
        <f t="shared" si="2"/>
        <v>#VALUE!</v>
      </c>
      <c r="AL28" s="161"/>
      <c r="AM28" s="161"/>
      <c r="AO28" s="137">
        <v>280</v>
      </c>
      <c r="AP28" s="137">
        <v>315</v>
      </c>
      <c r="AQ28">
        <v>-540</v>
      </c>
      <c r="AR28">
        <v>-330</v>
      </c>
      <c r="AS28">
        <v>-190</v>
      </c>
      <c r="AT28">
        <v>-190</v>
      </c>
      <c r="AU28">
        <v>-110</v>
      </c>
      <c r="AV28">
        <v>-110</v>
      </c>
      <c r="AW28" s="143">
        <v>-110</v>
      </c>
      <c r="AX28" s="143">
        <v>-56</v>
      </c>
      <c r="AY28" s="143">
        <v>-56</v>
      </c>
      <c r="AZ28" s="143">
        <v>-56</v>
      </c>
      <c r="BA28" s="143">
        <v>-17</v>
      </c>
      <c r="BB28" s="143">
        <v>-17</v>
      </c>
      <c r="BC28" s="143">
        <v>0</v>
      </c>
      <c r="BD28" s="143">
        <v>0</v>
      </c>
      <c r="BE28" s="143">
        <v>0</v>
      </c>
      <c r="BF28" s="143">
        <v>0</v>
      </c>
      <c r="BG28" s="143">
        <v>0</v>
      </c>
      <c r="BH28" s="143">
        <v>11.5</v>
      </c>
      <c r="BI28" s="143">
        <v>16</v>
      </c>
      <c r="BJ28" s="143">
        <v>26</v>
      </c>
      <c r="BK28" s="143">
        <v>27</v>
      </c>
      <c r="BL28" s="79">
        <v>36</v>
      </c>
      <c r="BM28" s="79">
        <v>43</v>
      </c>
      <c r="BN28" s="79">
        <v>52</v>
      </c>
      <c r="BO28" s="79">
        <v>66</v>
      </c>
      <c r="BP28" s="79">
        <v>88</v>
      </c>
      <c r="BQ28" s="79">
        <v>130</v>
      </c>
      <c r="BR28" s="164" t="s">
        <v>131</v>
      </c>
      <c r="BS28" s="164" t="s">
        <v>131</v>
      </c>
      <c r="BT28" s="164" t="s">
        <v>131</v>
      </c>
      <c r="BU28" s="164" t="s">
        <v>131</v>
      </c>
      <c r="BW28" s="137">
        <v>280</v>
      </c>
      <c r="BX28" s="137">
        <v>315</v>
      </c>
      <c r="BY28" s="79">
        <v>750</v>
      </c>
      <c r="BZ28" s="79">
        <v>460</v>
      </c>
      <c r="CA28" s="79">
        <v>540</v>
      </c>
      <c r="CB28" s="79">
        <v>271</v>
      </c>
      <c r="CC28" s="79">
        <v>320</v>
      </c>
      <c r="CD28" s="79">
        <v>400</v>
      </c>
      <c r="CE28" s="79">
        <v>162</v>
      </c>
      <c r="CF28" s="79">
        <v>191</v>
      </c>
      <c r="CG28" s="79">
        <v>240</v>
      </c>
      <c r="CH28" s="79">
        <v>88</v>
      </c>
      <c r="CI28" s="79">
        <v>108</v>
      </c>
      <c r="CJ28" s="134">
        <v>137</v>
      </c>
      <c r="CK28" s="134">
        <v>49</v>
      </c>
      <c r="CL28" s="134">
        <v>69</v>
      </c>
      <c r="CM28" s="134">
        <v>32</v>
      </c>
      <c r="CN28" s="134">
        <v>52</v>
      </c>
      <c r="CO28" s="134">
        <v>81</v>
      </c>
      <c r="CP28" s="134">
        <v>130</v>
      </c>
      <c r="CQ28" s="134">
        <v>210</v>
      </c>
      <c r="CR28" s="134">
        <v>16</v>
      </c>
      <c r="CS28" s="134">
        <v>26</v>
      </c>
      <c r="CT28" s="134">
        <v>5</v>
      </c>
      <c r="CU28" s="134">
        <v>16</v>
      </c>
      <c r="CV28" s="134">
        <v>-9</v>
      </c>
      <c r="CW28" s="134">
        <v>0</v>
      </c>
      <c r="CX28" s="134">
        <v>-25</v>
      </c>
      <c r="CY28" s="134">
        <v>-14</v>
      </c>
      <c r="CZ28" s="134">
        <v>-47</v>
      </c>
      <c r="DA28" s="79">
        <v>-36</v>
      </c>
      <c r="DB28" s="79">
        <v>-78</v>
      </c>
      <c r="DC28" s="163" t="s">
        <v>180</v>
      </c>
      <c r="DD28" s="163" t="s">
        <v>180</v>
      </c>
      <c r="DE28" s="164" t="s">
        <v>180</v>
      </c>
      <c r="DF28" s="163" t="s">
        <v>180</v>
      </c>
    </row>
    <row r="29" spans="2:110">
      <c r="B29" s="224"/>
      <c r="C29" s="144" t="s">
        <v>200</v>
      </c>
      <c r="D29" s="79" t="str">
        <f t="shared" si="4"/>
        <v>278/162</v>
      </c>
      <c r="E29" s="79" t="str">
        <f t="shared" si="4"/>
        <v>190/112</v>
      </c>
      <c r="F29" s="79" t="str">
        <f t="shared" si="4"/>
        <v>228/112</v>
      </c>
      <c r="G29" s="79" t="str">
        <f t="shared" si="4"/>
        <v>117/62</v>
      </c>
      <c r="H29" s="79" t="str">
        <f t="shared" si="4"/>
        <v>140/62</v>
      </c>
      <c r="I29" s="79" t="str">
        <f t="shared" si="4"/>
        <v>178/62</v>
      </c>
      <c r="J29" s="79" t="str">
        <f t="shared" si="4"/>
        <v>73/32</v>
      </c>
      <c r="K29" s="79" t="str">
        <f t="shared" si="4"/>
        <v>87/32</v>
      </c>
      <c r="L29" s="79" t="str">
        <f t="shared" si="4"/>
        <v>110/32</v>
      </c>
      <c r="M29" s="79" t="str">
        <f t="shared" si="4"/>
        <v>39/7</v>
      </c>
      <c r="N29" s="79" t="str">
        <f t="shared" si="4"/>
        <v>48/7</v>
      </c>
      <c r="O29" s="79" t="str">
        <f t="shared" si="4"/>
        <v>62/7</v>
      </c>
      <c r="P29" s="79" t="str">
        <f t="shared" si="4"/>
        <v>23/-9</v>
      </c>
      <c r="Q29" s="79" t="str">
        <f t="shared" si="4"/>
        <v>32/-9</v>
      </c>
      <c r="R29" s="79" t="str">
        <f t="shared" si="4"/>
        <v>14/-18</v>
      </c>
      <c r="S29" s="79" t="str">
        <f t="shared" si="4"/>
        <v>23/-18</v>
      </c>
      <c r="T29" s="79" t="str">
        <f t="shared" si="5"/>
        <v>37/-18</v>
      </c>
      <c r="U29" s="79" t="str">
        <f t="shared" si="5"/>
        <v>60/-18</v>
      </c>
      <c r="V29" s="79" t="str">
        <f t="shared" si="5"/>
        <v>98/-18</v>
      </c>
      <c r="W29" s="79" t="str">
        <f t="shared" si="5"/>
        <v>6/-26</v>
      </c>
      <c r="X29" s="79" t="str">
        <f t="shared" si="5"/>
        <v>10/-30</v>
      </c>
      <c r="Y29" s="79" t="str">
        <f t="shared" si="5"/>
        <v>1/-31</v>
      </c>
      <c r="Z29" s="79" t="str">
        <f t="shared" si="5"/>
        <v>5/-36</v>
      </c>
      <c r="AA29" s="79" t="str">
        <f t="shared" si="2"/>
        <v>-6/-38</v>
      </c>
      <c r="AB29" s="79" t="str">
        <f t="shared" si="2"/>
        <v>-2/-43</v>
      </c>
      <c r="AC29" s="79" t="str">
        <f t="shared" si="2"/>
        <v>-14/-46</v>
      </c>
      <c r="AD29" s="79" t="str">
        <f t="shared" si="2"/>
        <v>-10/-51</v>
      </c>
      <c r="AE29" s="79" t="str">
        <f t="shared" si="2"/>
        <v>-23/-55</v>
      </c>
      <c r="AF29" s="79" t="str">
        <f t="shared" si="2"/>
        <v>-19/-60</v>
      </c>
      <c r="AG29" s="79" t="str">
        <f t="shared" si="2"/>
        <v>-27/-68</v>
      </c>
      <c r="AH29" s="79" t="str">
        <f t="shared" si="2"/>
        <v>-36/-77</v>
      </c>
      <c r="AI29" s="79" t="str">
        <f t="shared" si="2"/>
        <v>-47/-88</v>
      </c>
      <c r="AJ29" s="79" t="str">
        <f t="shared" si="2"/>
        <v>-63/-104</v>
      </c>
      <c r="AK29" s="79" t="e">
        <f t="shared" si="2"/>
        <v>#VALUE!</v>
      </c>
      <c r="AL29" s="161"/>
      <c r="AM29" s="161"/>
      <c r="AO29" s="137">
        <v>315</v>
      </c>
      <c r="AP29" s="137">
        <v>355</v>
      </c>
      <c r="AQ29">
        <v>-600</v>
      </c>
      <c r="AR29">
        <v>-360</v>
      </c>
      <c r="AS29">
        <v>-210</v>
      </c>
      <c r="AT29">
        <v>-210</v>
      </c>
      <c r="AU29">
        <v>-125</v>
      </c>
      <c r="AV29">
        <v>-125</v>
      </c>
      <c r="AW29" s="143">
        <v>-125</v>
      </c>
      <c r="AX29" s="143">
        <v>-62</v>
      </c>
      <c r="AY29" s="143">
        <v>-62</v>
      </c>
      <c r="AZ29" s="143">
        <v>-62</v>
      </c>
      <c r="BA29" s="143">
        <v>-18</v>
      </c>
      <c r="BB29" s="143">
        <v>-18</v>
      </c>
      <c r="BC29" s="143">
        <v>0</v>
      </c>
      <c r="BD29" s="143">
        <v>0</v>
      </c>
      <c r="BE29" s="143">
        <v>0</v>
      </c>
      <c r="BF29" s="143">
        <v>0</v>
      </c>
      <c r="BG29" s="143">
        <v>0</v>
      </c>
      <c r="BH29" s="143">
        <v>12.5</v>
      </c>
      <c r="BI29" s="143">
        <v>18</v>
      </c>
      <c r="BJ29" s="143">
        <v>28</v>
      </c>
      <c r="BK29" s="143">
        <v>29</v>
      </c>
      <c r="BL29" s="79">
        <v>40</v>
      </c>
      <c r="BM29" s="79">
        <v>46</v>
      </c>
      <c r="BN29" s="79">
        <v>57</v>
      </c>
      <c r="BO29" s="79">
        <v>73</v>
      </c>
      <c r="BP29" s="79">
        <v>98</v>
      </c>
      <c r="BQ29" s="79">
        <v>144</v>
      </c>
      <c r="BR29" s="164" t="s">
        <v>131</v>
      </c>
      <c r="BS29" s="164" t="s">
        <v>131</v>
      </c>
      <c r="BT29" s="164" t="s">
        <v>131</v>
      </c>
      <c r="BU29" s="164" t="s">
        <v>131</v>
      </c>
      <c r="BW29" s="137">
        <v>315</v>
      </c>
      <c r="BX29" s="137">
        <v>355</v>
      </c>
      <c r="BY29" s="79">
        <v>830</v>
      </c>
      <c r="BZ29" s="79">
        <v>500</v>
      </c>
      <c r="CA29" s="79">
        <v>590</v>
      </c>
      <c r="CB29" s="79">
        <v>299</v>
      </c>
      <c r="CC29" s="79">
        <v>350</v>
      </c>
      <c r="CD29" s="79">
        <v>440</v>
      </c>
      <c r="CE29" s="79">
        <v>182</v>
      </c>
      <c r="CF29" s="79">
        <v>214</v>
      </c>
      <c r="CG29" s="79">
        <v>265</v>
      </c>
      <c r="CH29" s="79">
        <v>98</v>
      </c>
      <c r="CI29" s="79">
        <v>119</v>
      </c>
      <c r="CJ29" s="134">
        <v>151</v>
      </c>
      <c r="CK29" s="134">
        <v>54</v>
      </c>
      <c r="CL29" s="134">
        <v>75</v>
      </c>
      <c r="CM29" s="134">
        <v>36</v>
      </c>
      <c r="CN29" s="134">
        <v>57</v>
      </c>
      <c r="CO29" s="134">
        <v>89</v>
      </c>
      <c r="CP29" s="134">
        <v>140</v>
      </c>
      <c r="CQ29" s="134">
        <v>230</v>
      </c>
      <c r="CR29" s="134">
        <v>18</v>
      </c>
      <c r="CS29" s="134">
        <v>28</v>
      </c>
      <c r="CT29" s="134">
        <v>7</v>
      </c>
      <c r="CU29" s="134">
        <v>17</v>
      </c>
      <c r="CV29" s="134">
        <v>-10</v>
      </c>
      <c r="CW29" s="134">
        <v>0</v>
      </c>
      <c r="CX29" s="134">
        <v>-26</v>
      </c>
      <c r="CY29" s="134">
        <v>-16</v>
      </c>
      <c r="CZ29" s="134">
        <v>-51</v>
      </c>
      <c r="DA29" s="79">
        <v>-41</v>
      </c>
      <c r="DB29" s="79">
        <v>-87</v>
      </c>
      <c r="DC29" s="163" t="s">
        <v>180</v>
      </c>
      <c r="DD29" s="163" t="s">
        <v>180</v>
      </c>
      <c r="DE29" s="164" t="s">
        <v>180</v>
      </c>
      <c r="DF29" s="163" t="s">
        <v>180</v>
      </c>
    </row>
    <row r="30" spans="2:110">
      <c r="B30" s="224"/>
      <c r="C30" s="144" t="s">
        <v>201</v>
      </c>
      <c r="D30" s="79" t="str">
        <f t="shared" si="4"/>
        <v>271/160</v>
      </c>
      <c r="E30" s="79" t="str">
        <f t="shared" si="4"/>
        <v>183/110</v>
      </c>
      <c r="F30" s="79" t="str">
        <f t="shared" si="4"/>
        <v>221/110</v>
      </c>
      <c r="G30" s="79" t="str">
        <f t="shared" si="4"/>
        <v>110/60</v>
      </c>
      <c r="H30" s="79" t="str">
        <f t="shared" si="4"/>
        <v>133/60</v>
      </c>
      <c r="I30" s="79" t="str">
        <f t="shared" si="4"/>
        <v>171/60</v>
      </c>
      <c r="J30" s="79" t="str">
        <f t="shared" si="4"/>
        <v>66/30</v>
      </c>
      <c r="K30" s="79" t="str">
        <f t="shared" si="4"/>
        <v>80/30</v>
      </c>
      <c r="L30" s="79" t="str">
        <f t="shared" si="4"/>
        <v>103/30</v>
      </c>
      <c r="M30" s="79" t="str">
        <f t="shared" si="4"/>
        <v>32/5</v>
      </c>
      <c r="N30" s="79" t="str">
        <f t="shared" si="4"/>
        <v>41/5</v>
      </c>
      <c r="O30" s="79" t="str">
        <f t="shared" si="4"/>
        <v>55/5</v>
      </c>
      <c r="P30" s="79" t="str">
        <f t="shared" si="4"/>
        <v>16/-11</v>
      </c>
      <c r="Q30" s="79" t="str">
        <f t="shared" si="4"/>
        <v>25/-11</v>
      </c>
      <c r="R30" s="79" t="str">
        <f t="shared" si="4"/>
        <v>7/-20</v>
      </c>
      <c r="S30" s="79" t="str">
        <f t="shared" si="4"/>
        <v>16/-20</v>
      </c>
      <c r="T30" s="79" t="str">
        <f t="shared" si="5"/>
        <v>30/-20</v>
      </c>
      <c r="U30" s="79" t="str">
        <f t="shared" si="5"/>
        <v>53/-20</v>
      </c>
      <c r="V30" s="79" t="str">
        <f t="shared" si="5"/>
        <v>91/-20</v>
      </c>
      <c r="W30" s="79" t="str">
        <f t="shared" si="5"/>
        <v>-1/-28</v>
      </c>
      <c r="X30" s="79" t="str">
        <f t="shared" si="5"/>
        <v>3/-32</v>
      </c>
      <c r="Y30" s="79" t="str">
        <f t="shared" si="5"/>
        <v>-6/-33</v>
      </c>
      <c r="Z30" s="79" t="str">
        <f t="shared" si="5"/>
        <v>-2/-38</v>
      </c>
      <c r="AA30" s="79" t="str">
        <f t="shared" si="2"/>
        <v>-13/-40</v>
      </c>
      <c r="AB30" s="79" t="str">
        <f t="shared" si="2"/>
        <v>-9/-45</v>
      </c>
      <c r="AC30" s="79" t="str">
        <f t="shared" si="2"/>
        <v>-21/-48</v>
      </c>
      <c r="AD30" s="79" t="str">
        <f t="shared" si="2"/>
        <v>-17/-53</v>
      </c>
      <c r="AE30" s="79" t="str">
        <f t="shared" si="2"/>
        <v>-30/-57</v>
      </c>
      <c r="AF30" s="79" t="str">
        <f t="shared" si="2"/>
        <v>-26/-62</v>
      </c>
      <c r="AG30" s="79" t="str">
        <f t="shared" si="2"/>
        <v>-34/-70</v>
      </c>
      <c r="AH30" s="79" t="str">
        <f t="shared" si="2"/>
        <v>-43/-79</v>
      </c>
      <c r="AI30" s="79" t="str">
        <f t="shared" si="2"/>
        <v>-54/-90</v>
      </c>
      <c r="AJ30" s="79" t="str">
        <f t="shared" si="2"/>
        <v>-70/-106</v>
      </c>
      <c r="AK30" s="79" t="e">
        <f t="shared" si="2"/>
        <v>#VALUE!</v>
      </c>
      <c r="AL30" s="161"/>
      <c r="AM30" s="161"/>
      <c r="AO30" s="137">
        <v>355</v>
      </c>
      <c r="AP30" s="137">
        <v>400</v>
      </c>
      <c r="AQ30">
        <v>-680</v>
      </c>
      <c r="AR30">
        <v>-400</v>
      </c>
      <c r="AS30">
        <v>-210</v>
      </c>
      <c r="AT30">
        <v>-210</v>
      </c>
      <c r="AU30">
        <v>-125</v>
      </c>
      <c r="AV30">
        <v>-125</v>
      </c>
      <c r="AW30" s="143">
        <v>-125</v>
      </c>
      <c r="AX30" s="143">
        <v>-62</v>
      </c>
      <c r="AY30" s="143">
        <v>-62</v>
      </c>
      <c r="AZ30" s="143">
        <v>-62</v>
      </c>
      <c r="BA30" s="143">
        <v>-18</v>
      </c>
      <c r="BB30" s="143">
        <v>-18</v>
      </c>
      <c r="BC30" s="143">
        <v>0</v>
      </c>
      <c r="BD30" s="143">
        <v>0</v>
      </c>
      <c r="BE30" s="143">
        <v>0</v>
      </c>
      <c r="BF30" s="143">
        <v>0</v>
      </c>
      <c r="BG30" s="143">
        <v>0</v>
      </c>
      <c r="BH30" s="143">
        <v>12.5</v>
      </c>
      <c r="BI30" s="143">
        <v>18</v>
      </c>
      <c r="BJ30" s="143">
        <v>28</v>
      </c>
      <c r="BK30" s="143">
        <v>29</v>
      </c>
      <c r="BL30" s="79">
        <v>40</v>
      </c>
      <c r="BM30" s="79">
        <v>46</v>
      </c>
      <c r="BN30" s="79">
        <v>57</v>
      </c>
      <c r="BO30" s="79">
        <v>73</v>
      </c>
      <c r="BP30" s="79">
        <v>98</v>
      </c>
      <c r="BQ30" s="79">
        <v>150</v>
      </c>
      <c r="BR30" s="164" t="s">
        <v>131</v>
      </c>
      <c r="BS30" s="164" t="s">
        <v>131</v>
      </c>
      <c r="BT30" s="164" t="s">
        <v>131</v>
      </c>
      <c r="BU30" s="164" t="s">
        <v>131</v>
      </c>
      <c r="BW30" s="137">
        <v>355</v>
      </c>
      <c r="BX30" s="137">
        <v>400</v>
      </c>
      <c r="BY30" s="79">
        <v>910</v>
      </c>
      <c r="BZ30" s="79">
        <v>540</v>
      </c>
      <c r="CA30" s="79">
        <v>630</v>
      </c>
      <c r="CB30" s="79">
        <v>299</v>
      </c>
      <c r="CC30" s="79">
        <v>350</v>
      </c>
      <c r="CD30" s="79">
        <v>440</v>
      </c>
      <c r="CE30" s="79">
        <v>182</v>
      </c>
      <c r="CF30" s="79">
        <v>214</v>
      </c>
      <c r="CG30" s="79">
        <v>265</v>
      </c>
      <c r="CH30" s="79">
        <v>98</v>
      </c>
      <c r="CI30" s="79">
        <v>119</v>
      </c>
      <c r="CJ30" s="134">
        <v>151</v>
      </c>
      <c r="CK30" s="134">
        <v>54</v>
      </c>
      <c r="CL30" s="134">
        <v>75</v>
      </c>
      <c r="CM30" s="134">
        <v>36</v>
      </c>
      <c r="CN30" s="134">
        <v>57</v>
      </c>
      <c r="CO30" s="134">
        <v>89</v>
      </c>
      <c r="CP30" s="134">
        <v>140</v>
      </c>
      <c r="CQ30" s="134">
        <v>230</v>
      </c>
      <c r="CR30" s="134">
        <v>18</v>
      </c>
      <c r="CS30" s="134">
        <v>28</v>
      </c>
      <c r="CT30" s="134">
        <v>7</v>
      </c>
      <c r="CU30" s="134">
        <v>17</v>
      </c>
      <c r="CV30" s="134">
        <v>-10</v>
      </c>
      <c r="CW30" s="134">
        <v>0</v>
      </c>
      <c r="CX30" s="134">
        <v>-26</v>
      </c>
      <c r="CY30" s="134">
        <v>-16</v>
      </c>
      <c r="CZ30" s="134">
        <v>-51</v>
      </c>
      <c r="DA30" s="79">
        <v>-41</v>
      </c>
      <c r="DB30" s="79">
        <v>-93</v>
      </c>
      <c r="DC30" s="163" t="s">
        <v>180</v>
      </c>
      <c r="DD30" s="163" t="s">
        <v>180</v>
      </c>
      <c r="DE30" s="164" t="s">
        <v>180</v>
      </c>
      <c r="DF30" s="163" t="s">
        <v>180</v>
      </c>
    </row>
    <row r="31" spans="2:110">
      <c r="B31" s="224"/>
      <c r="C31" s="144" t="s">
        <v>202</v>
      </c>
      <c r="D31" s="79" t="str">
        <f t="shared" si="4"/>
        <v>271/155</v>
      </c>
      <c r="E31" s="79" t="str">
        <f t="shared" si="4"/>
        <v>183/105</v>
      </c>
      <c r="F31" s="79" t="str">
        <f t="shared" si="4"/>
        <v>221/105</v>
      </c>
      <c r="G31" s="79" t="str">
        <f t="shared" si="4"/>
        <v>110/55</v>
      </c>
      <c r="H31" s="79" t="str">
        <f t="shared" si="4"/>
        <v>133/55</v>
      </c>
      <c r="I31" s="79" t="str">
        <f t="shared" si="4"/>
        <v>171/55</v>
      </c>
      <c r="J31" s="79" t="str">
        <f t="shared" si="4"/>
        <v>66/25</v>
      </c>
      <c r="K31" s="79" t="str">
        <f t="shared" si="4"/>
        <v>80/25</v>
      </c>
      <c r="L31" s="79" t="str">
        <f t="shared" si="4"/>
        <v>103/25</v>
      </c>
      <c r="M31" s="79" t="str">
        <f t="shared" si="4"/>
        <v>32/0</v>
      </c>
      <c r="N31" s="79" t="str">
        <f t="shared" si="4"/>
        <v>41/0</v>
      </c>
      <c r="O31" s="79" t="str">
        <f t="shared" si="4"/>
        <v>55/0</v>
      </c>
      <c r="P31" s="79" t="str">
        <f t="shared" si="4"/>
        <v>16/-16</v>
      </c>
      <c r="Q31" s="79" t="str">
        <f t="shared" si="4"/>
        <v>25/-16</v>
      </c>
      <c r="R31" s="79" t="str">
        <f t="shared" si="4"/>
        <v>7/-25</v>
      </c>
      <c r="S31" s="79" t="str">
        <f t="shared" si="4"/>
        <v>16/-25</v>
      </c>
      <c r="T31" s="79" t="str">
        <f t="shared" si="5"/>
        <v>30/-25</v>
      </c>
      <c r="U31" s="79" t="str">
        <f t="shared" si="5"/>
        <v>53/-25</v>
      </c>
      <c r="V31" s="79" t="str">
        <f t="shared" si="5"/>
        <v>91/-25</v>
      </c>
      <c r="W31" s="79" t="str">
        <f t="shared" si="5"/>
        <v>-1/-33</v>
      </c>
      <c r="X31" s="79" t="str">
        <f t="shared" si="5"/>
        <v>3/-37</v>
      </c>
      <c r="Y31" s="79" t="str">
        <f t="shared" si="5"/>
        <v>-6/-38</v>
      </c>
      <c r="Z31" s="79" t="str">
        <f t="shared" si="5"/>
        <v>-2/-43</v>
      </c>
      <c r="AA31" s="79" t="str">
        <f t="shared" si="2"/>
        <v>-13/-45</v>
      </c>
      <c r="AB31" s="79" t="str">
        <f t="shared" si="2"/>
        <v>-9/-50</v>
      </c>
      <c r="AC31" s="79" t="str">
        <f t="shared" si="2"/>
        <v>-21/-53</v>
      </c>
      <c r="AD31" s="79" t="str">
        <f t="shared" si="2"/>
        <v>-17/-58</v>
      </c>
      <c r="AE31" s="79" t="str">
        <f t="shared" si="2"/>
        <v>-30/-62</v>
      </c>
      <c r="AF31" s="79" t="str">
        <f t="shared" si="2"/>
        <v>-26/-67</v>
      </c>
      <c r="AG31" s="79" t="str">
        <f t="shared" si="2"/>
        <v>-34/-75</v>
      </c>
      <c r="AH31" s="79" t="str">
        <f t="shared" si="2"/>
        <v>-43/-84</v>
      </c>
      <c r="AI31" s="79" t="str">
        <f t="shared" si="2"/>
        <v>-54/-95</v>
      </c>
      <c r="AJ31" s="79" t="str">
        <f t="shared" si="2"/>
        <v>-70/-111</v>
      </c>
      <c r="AK31" s="79" t="e">
        <f t="shared" si="2"/>
        <v>#VALUE!</v>
      </c>
      <c r="AL31" s="161"/>
      <c r="AM31" s="161"/>
      <c r="AO31" s="137">
        <v>400</v>
      </c>
      <c r="AP31" s="137">
        <v>450</v>
      </c>
      <c r="AQ31">
        <v>-760</v>
      </c>
      <c r="AR31">
        <v>-440</v>
      </c>
      <c r="AS31">
        <v>-230</v>
      </c>
      <c r="AT31">
        <v>-230</v>
      </c>
      <c r="AU31">
        <v>-135</v>
      </c>
      <c r="AV31">
        <v>-135</v>
      </c>
      <c r="AW31" s="143">
        <v>-135</v>
      </c>
      <c r="AX31" s="143">
        <v>-68</v>
      </c>
      <c r="AY31" s="143">
        <v>-68</v>
      </c>
      <c r="AZ31" s="143">
        <v>-68</v>
      </c>
      <c r="BA31" s="143">
        <v>-20</v>
      </c>
      <c r="BB31" s="143">
        <v>-20</v>
      </c>
      <c r="BC31" s="143">
        <v>0</v>
      </c>
      <c r="BD31" s="143">
        <v>0</v>
      </c>
      <c r="BE31" s="143">
        <v>0</v>
      </c>
      <c r="BF31" s="143">
        <v>0</v>
      </c>
      <c r="BG31" s="143">
        <v>0</v>
      </c>
      <c r="BH31" s="143">
        <v>13.5</v>
      </c>
      <c r="BI31" s="143">
        <v>20</v>
      </c>
      <c r="BJ31" s="143">
        <v>31</v>
      </c>
      <c r="BK31" s="143">
        <v>32</v>
      </c>
      <c r="BL31" s="79">
        <v>45</v>
      </c>
      <c r="BM31" s="79">
        <v>50</v>
      </c>
      <c r="BN31" s="79">
        <v>63</v>
      </c>
      <c r="BO31" s="79">
        <v>80</v>
      </c>
      <c r="BP31" s="79">
        <v>108</v>
      </c>
      <c r="BQ31" s="79">
        <v>166</v>
      </c>
      <c r="BR31" s="164" t="s">
        <v>131</v>
      </c>
      <c r="BS31" s="164" t="s">
        <v>131</v>
      </c>
      <c r="BT31" s="164" t="s">
        <v>131</v>
      </c>
      <c r="BU31" s="164" t="s">
        <v>131</v>
      </c>
      <c r="BW31" s="137">
        <v>400</v>
      </c>
      <c r="BX31" s="137">
        <v>450</v>
      </c>
      <c r="BY31" s="79">
        <v>1010</v>
      </c>
      <c r="BZ31" s="79">
        <v>595</v>
      </c>
      <c r="CA31" s="79">
        <v>690</v>
      </c>
      <c r="CB31" s="79">
        <v>327</v>
      </c>
      <c r="CC31" s="79">
        <v>385</v>
      </c>
      <c r="CD31" s="79">
        <v>480</v>
      </c>
      <c r="CE31" s="79">
        <v>198</v>
      </c>
      <c r="CF31" s="79">
        <v>232</v>
      </c>
      <c r="CG31" s="79">
        <v>290</v>
      </c>
      <c r="CH31" s="79">
        <v>108</v>
      </c>
      <c r="CI31" s="79">
        <v>131</v>
      </c>
      <c r="CJ31" s="134">
        <v>165</v>
      </c>
      <c r="CK31" s="134">
        <v>60</v>
      </c>
      <c r="CL31" s="134">
        <v>83</v>
      </c>
      <c r="CM31" s="134">
        <v>40</v>
      </c>
      <c r="CN31" s="134">
        <v>63</v>
      </c>
      <c r="CO31" s="134">
        <v>97</v>
      </c>
      <c r="CP31" s="134">
        <v>155</v>
      </c>
      <c r="CQ31" s="134">
        <v>250</v>
      </c>
      <c r="CR31" s="134">
        <v>20</v>
      </c>
      <c r="CS31" s="134">
        <v>31</v>
      </c>
      <c r="CT31" s="134">
        <v>8</v>
      </c>
      <c r="CU31" s="134">
        <v>-18</v>
      </c>
      <c r="CV31" s="134">
        <v>-10</v>
      </c>
      <c r="CW31" s="134">
        <v>0</v>
      </c>
      <c r="CX31" s="134">
        <v>-27</v>
      </c>
      <c r="CY31" s="134">
        <v>-17</v>
      </c>
      <c r="CZ31" s="134">
        <v>-55</v>
      </c>
      <c r="DA31" s="79">
        <v>-45</v>
      </c>
      <c r="DB31" s="79">
        <v>-103</v>
      </c>
      <c r="DC31" s="163" t="s">
        <v>180</v>
      </c>
      <c r="DD31" s="163" t="s">
        <v>180</v>
      </c>
      <c r="DE31" s="164" t="s">
        <v>180</v>
      </c>
      <c r="DF31" s="163" t="s">
        <v>180</v>
      </c>
    </row>
    <row r="32" spans="2:110">
      <c r="B32" s="224"/>
      <c r="C32" s="144" t="s">
        <v>203</v>
      </c>
      <c r="D32" s="79" t="str">
        <f t="shared" si="4"/>
        <v>263/147</v>
      </c>
      <c r="E32" s="79" t="str">
        <f t="shared" si="4"/>
        <v>175/97</v>
      </c>
      <c r="F32" s="79" t="str">
        <f t="shared" si="4"/>
        <v>213/97</v>
      </c>
      <c r="G32" s="79" t="str">
        <f t="shared" si="4"/>
        <v>102/47</v>
      </c>
      <c r="H32" s="79" t="str">
        <f t="shared" si="4"/>
        <v>125/47</v>
      </c>
      <c r="I32" s="79" t="str">
        <f t="shared" si="4"/>
        <v>163/47</v>
      </c>
      <c r="J32" s="79" t="str">
        <f t="shared" si="4"/>
        <v>58/17</v>
      </c>
      <c r="K32" s="79" t="str">
        <f t="shared" si="4"/>
        <v>72/17</v>
      </c>
      <c r="L32" s="79" t="str">
        <f t="shared" si="4"/>
        <v>95/17</v>
      </c>
      <c r="M32" s="79" t="str">
        <f t="shared" si="4"/>
        <v>24/-8</v>
      </c>
      <c r="N32" s="79" t="str">
        <f t="shared" si="4"/>
        <v>33/-8</v>
      </c>
      <c r="O32" s="79" t="str">
        <f t="shared" si="4"/>
        <v>47/-8</v>
      </c>
      <c r="P32" s="79" t="str">
        <f t="shared" si="4"/>
        <v>8/-24</v>
      </c>
      <c r="Q32" s="79" t="str">
        <f t="shared" si="4"/>
        <v>17/-24</v>
      </c>
      <c r="R32" s="79" t="str">
        <f t="shared" si="4"/>
        <v>-1/-33</v>
      </c>
      <c r="S32" s="79" t="str">
        <f t="shared" si="4"/>
        <v>8/-33</v>
      </c>
      <c r="T32" s="79" t="str">
        <f t="shared" si="5"/>
        <v>22/-33</v>
      </c>
      <c r="U32" s="79" t="str">
        <f t="shared" si="5"/>
        <v>45/-33</v>
      </c>
      <c r="V32" s="79" t="str">
        <f t="shared" si="5"/>
        <v>83/-33</v>
      </c>
      <c r="W32" s="79" t="str">
        <f t="shared" si="5"/>
        <v>-9/-41</v>
      </c>
      <c r="X32" s="79" t="str">
        <f t="shared" si="5"/>
        <v>-5/-45</v>
      </c>
      <c r="Y32" s="79" t="str">
        <f t="shared" si="5"/>
        <v>-14/-46</v>
      </c>
      <c r="Z32" s="79" t="str">
        <f t="shared" si="5"/>
        <v>-10/-51</v>
      </c>
      <c r="AA32" s="79" t="str">
        <f t="shared" si="2"/>
        <v>-21/-53</v>
      </c>
      <c r="AB32" s="79" t="str">
        <f t="shared" si="2"/>
        <v>-17/-58</v>
      </c>
      <c r="AC32" s="79" t="str">
        <f t="shared" si="2"/>
        <v>-29/-61</v>
      </c>
      <c r="AD32" s="79" t="str">
        <f t="shared" si="2"/>
        <v>-25/-66</v>
      </c>
      <c r="AE32" s="79" t="str">
        <f t="shared" si="2"/>
        <v>-38/-70</v>
      </c>
      <c r="AF32" s="79" t="str">
        <f t="shared" si="2"/>
        <v>-34/-75</v>
      </c>
      <c r="AG32" s="79" t="str">
        <f t="shared" si="2"/>
        <v>-42/-83</v>
      </c>
      <c r="AH32" s="79" t="str">
        <f t="shared" si="2"/>
        <v>-51/-92</v>
      </c>
      <c r="AI32" s="79" t="str">
        <f t="shared" si="2"/>
        <v>-62/-103</v>
      </c>
      <c r="AJ32" s="79" t="str">
        <f t="shared" si="2"/>
        <v>-78/-119</v>
      </c>
      <c r="AK32" s="79" t="e">
        <f t="shared" si="2"/>
        <v>#VALUE!</v>
      </c>
      <c r="AL32" s="161"/>
      <c r="AM32" s="161"/>
      <c r="AO32" s="137">
        <v>450</v>
      </c>
      <c r="AP32" s="137">
        <v>500</v>
      </c>
      <c r="AQ32">
        <v>-840</v>
      </c>
      <c r="AR32">
        <v>-480</v>
      </c>
      <c r="AS32">
        <v>-230</v>
      </c>
      <c r="AT32">
        <v>-230</v>
      </c>
      <c r="AU32">
        <v>-135</v>
      </c>
      <c r="AV32">
        <v>-135</v>
      </c>
      <c r="AW32" s="143">
        <v>-135</v>
      </c>
      <c r="AX32" s="143">
        <v>-68</v>
      </c>
      <c r="AY32" s="143">
        <v>-68</v>
      </c>
      <c r="AZ32" s="143">
        <v>-68</v>
      </c>
      <c r="BA32" s="143">
        <v>-20</v>
      </c>
      <c r="BB32" s="143">
        <v>-20</v>
      </c>
      <c r="BC32" s="143">
        <v>0</v>
      </c>
      <c r="BD32" s="143">
        <v>0</v>
      </c>
      <c r="BE32" s="143">
        <v>0</v>
      </c>
      <c r="BF32" s="143">
        <v>0</v>
      </c>
      <c r="BG32" s="143">
        <v>0</v>
      </c>
      <c r="BH32" s="143">
        <v>13.5</v>
      </c>
      <c r="BI32" s="143">
        <v>20</v>
      </c>
      <c r="BJ32" s="143">
        <v>31</v>
      </c>
      <c r="BK32" s="143">
        <v>32</v>
      </c>
      <c r="BL32" s="79">
        <v>45</v>
      </c>
      <c r="BM32" s="79">
        <v>50</v>
      </c>
      <c r="BN32" s="79">
        <v>63</v>
      </c>
      <c r="BO32" s="79">
        <v>80</v>
      </c>
      <c r="BP32" s="79">
        <v>108</v>
      </c>
      <c r="BQ32" s="79">
        <v>172</v>
      </c>
      <c r="BR32" s="164" t="s">
        <v>131</v>
      </c>
      <c r="BS32" s="164" t="s">
        <v>131</v>
      </c>
      <c r="BT32" s="164" t="s">
        <v>131</v>
      </c>
      <c r="BU32" s="164" t="s">
        <v>131</v>
      </c>
      <c r="BW32" s="137">
        <v>450</v>
      </c>
      <c r="BX32" s="137">
        <v>500</v>
      </c>
      <c r="BY32" s="79">
        <v>1090</v>
      </c>
      <c r="BZ32" s="79">
        <v>635</v>
      </c>
      <c r="CA32" s="79">
        <v>730</v>
      </c>
      <c r="CB32" s="79">
        <v>327</v>
      </c>
      <c r="CC32" s="79">
        <v>385</v>
      </c>
      <c r="CD32" s="79">
        <v>480</v>
      </c>
      <c r="CE32" s="79">
        <v>198</v>
      </c>
      <c r="CF32" s="79">
        <v>232</v>
      </c>
      <c r="CG32" s="79">
        <v>290</v>
      </c>
      <c r="CH32" s="79">
        <v>108</v>
      </c>
      <c r="CI32" s="79">
        <v>131</v>
      </c>
      <c r="CJ32" s="134">
        <v>165</v>
      </c>
      <c r="CK32" s="134">
        <v>60</v>
      </c>
      <c r="CL32" s="134">
        <v>83</v>
      </c>
      <c r="CM32" s="134">
        <v>40</v>
      </c>
      <c r="CN32" s="134">
        <v>63</v>
      </c>
      <c r="CO32" s="134">
        <v>97</v>
      </c>
      <c r="CP32" s="134">
        <v>155</v>
      </c>
      <c r="CQ32" s="134">
        <v>250</v>
      </c>
      <c r="CR32" s="134">
        <v>20</v>
      </c>
      <c r="CS32" s="134">
        <v>31</v>
      </c>
      <c r="CT32" s="134">
        <v>8</v>
      </c>
      <c r="CU32" s="134">
        <v>-18</v>
      </c>
      <c r="CV32" s="134">
        <v>-10</v>
      </c>
      <c r="CW32" s="134">
        <v>0</v>
      </c>
      <c r="CX32" s="134">
        <v>-27</v>
      </c>
      <c r="CY32" s="134">
        <v>-17</v>
      </c>
      <c r="CZ32" s="134">
        <v>-55</v>
      </c>
      <c r="DA32" s="79">
        <v>-45</v>
      </c>
      <c r="DB32" s="79">
        <v>-109</v>
      </c>
      <c r="DC32" s="163" t="s">
        <v>180</v>
      </c>
      <c r="DD32" s="163" t="s">
        <v>180</v>
      </c>
      <c r="DE32" s="164" t="s">
        <v>180</v>
      </c>
      <c r="DF32" s="163" t="s">
        <v>180</v>
      </c>
    </row>
    <row r="33" spans="2:114">
      <c r="B33" s="224"/>
      <c r="C33" s="144" t="s">
        <v>204</v>
      </c>
      <c r="D33" s="79" t="str">
        <f t="shared" si="4"/>
        <v>254/138</v>
      </c>
      <c r="E33" s="79" t="str">
        <f t="shared" si="4"/>
        <v>166/88</v>
      </c>
      <c r="F33" s="79" t="str">
        <f t="shared" si="4"/>
        <v>204/88</v>
      </c>
      <c r="G33" s="79" t="str">
        <f t="shared" si="4"/>
        <v>93/38</v>
      </c>
      <c r="H33" s="79" t="str">
        <f t="shared" si="4"/>
        <v>116/38</v>
      </c>
      <c r="I33" s="79" t="str">
        <f t="shared" si="4"/>
        <v>154/38</v>
      </c>
      <c r="J33" s="79" t="str">
        <f t="shared" si="4"/>
        <v>49/8</v>
      </c>
      <c r="K33" s="79" t="str">
        <f t="shared" si="4"/>
        <v>63/8</v>
      </c>
      <c r="L33" s="79" t="str">
        <f t="shared" si="4"/>
        <v>86/8</v>
      </c>
      <c r="M33" s="79" t="str">
        <f t="shared" si="4"/>
        <v>15/-17</v>
      </c>
      <c r="N33" s="79" t="str">
        <f t="shared" si="4"/>
        <v>24/-17</v>
      </c>
      <c r="O33" s="79" t="str">
        <f t="shared" si="4"/>
        <v>38/-17</v>
      </c>
      <c r="P33" s="79" t="str">
        <f t="shared" si="4"/>
        <v>-1/-33</v>
      </c>
      <c r="Q33" s="79" t="str">
        <f t="shared" si="4"/>
        <v>8/-33</v>
      </c>
      <c r="R33" s="79" t="str">
        <f t="shared" si="4"/>
        <v>-10/-42</v>
      </c>
      <c r="S33" s="79" t="str">
        <f t="shared" si="4"/>
        <v>-1/-42</v>
      </c>
      <c r="T33" s="79" t="str">
        <f t="shared" si="5"/>
        <v>13/-42</v>
      </c>
      <c r="U33" s="79" t="str">
        <f t="shared" si="5"/>
        <v>36/-42</v>
      </c>
      <c r="V33" s="79" t="str">
        <f t="shared" si="5"/>
        <v>74/-42</v>
      </c>
      <c r="W33" s="79" t="str">
        <f t="shared" si="5"/>
        <v>-18/-50</v>
      </c>
      <c r="X33" s="79" t="str">
        <f t="shared" si="5"/>
        <v>-14/-54</v>
      </c>
      <c r="Y33" s="79" t="str">
        <f t="shared" si="5"/>
        <v>-23/-55</v>
      </c>
      <c r="Z33" s="79" t="str">
        <f t="shared" si="5"/>
        <v>-19/-60</v>
      </c>
      <c r="AA33" s="79" t="str">
        <f t="shared" si="2"/>
        <v>-30/-62</v>
      </c>
      <c r="AB33" s="79" t="str">
        <f t="shared" si="2"/>
        <v>-26/-67</v>
      </c>
      <c r="AC33" s="79" t="str">
        <f t="shared" si="2"/>
        <v>-38/-70</v>
      </c>
      <c r="AD33" s="79" t="str">
        <f t="shared" si="2"/>
        <v>-34/-75</v>
      </c>
      <c r="AE33" s="79" t="str">
        <f t="shared" si="2"/>
        <v>-47/-79</v>
      </c>
      <c r="AF33" s="79" t="str">
        <f t="shared" si="2"/>
        <v>-43/-84</v>
      </c>
      <c r="AG33" s="79" t="str">
        <f t="shared" si="2"/>
        <v>-51/-92</v>
      </c>
      <c r="AH33" s="79" t="str">
        <f t="shared" si="2"/>
        <v>-60/-101</v>
      </c>
      <c r="AI33" s="79" t="str">
        <f t="shared" si="2"/>
        <v>-71/-112</v>
      </c>
      <c r="AJ33" s="79" t="str">
        <f t="shared" si="2"/>
        <v>-87/-128</v>
      </c>
      <c r="AK33" s="79" t="e">
        <f t="shared" si="2"/>
        <v>#VALUE!</v>
      </c>
      <c r="AL33" s="161"/>
      <c r="AM33" s="161"/>
      <c r="BY33" s="150"/>
      <c r="BZ33" s="150"/>
      <c r="CA33" s="150"/>
    </row>
    <row r="34" spans="2:114">
      <c r="B34" s="224"/>
      <c r="C34" s="138" t="s">
        <v>255</v>
      </c>
      <c r="D34" s="79" t="str">
        <f t="shared" si="4"/>
        <v>246/130</v>
      </c>
      <c r="E34" s="79" t="str">
        <f t="shared" si="4"/>
        <v>158/80</v>
      </c>
      <c r="F34" s="79" t="str">
        <f t="shared" si="4"/>
        <v>196/80</v>
      </c>
      <c r="G34" s="79" t="str">
        <f t="shared" si="4"/>
        <v>85/30</v>
      </c>
      <c r="H34" s="79" t="str">
        <f t="shared" si="4"/>
        <v>108/30</v>
      </c>
      <c r="I34" s="79" t="str">
        <f t="shared" si="4"/>
        <v>146/30</v>
      </c>
      <c r="J34" s="79" t="str">
        <f t="shared" si="4"/>
        <v>41/0</v>
      </c>
      <c r="K34" s="79" t="str">
        <f t="shared" si="4"/>
        <v>55/0</v>
      </c>
      <c r="L34" s="79" t="str">
        <f t="shared" si="4"/>
        <v>78/0</v>
      </c>
      <c r="M34" s="79" t="str">
        <f t="shared" si="4"/>
        <v>7/-25</v>
      </c>
      <c r="N34" s="79" t="str">
        <f t="shared" si="4"/>
        <v>16/-25</v>
      </c>
      <c r="O34" s="79" t="str">
        <f t="shared" si="4"/>
        <v>30/-25</v>
      </c>
      <c r="P34" s="79" t="str">
        <f t="shared" si="4"/>
        <v>-9/-41</v>
      </c>
      <c r="Q34" s="79" t="str">
        <f t="shared" si="4"/>
        <v>0/-41</v>
      </c>
      <c r="R34" s="79" t="str">
        <f t="shared" si="4"/>
        <v>-18/-50</v>
      </c>
      <c r="S34" s="79" t="str">
        <f t="shared" si="4"/>
        <v>-9/-50</v>
      </c>
      <c r="T34" s="79" t="str">
        <f t="shared" si="5"/>
        <v>5/-50</v>
      </c>
      <c r="U34" s="79" t="str">
        <f t="shared" si="5"/>
        <v>28/-50</v>
      </c>
      <c r="V34" s="79" t="str">
        <f t="shared" si="5"/>
        <v>66/-50</v>
      </c>
      <c r="W34" s="79" t="str">
        <f t="shared" si="5"/>
        <v>-26/-58</v>
      </c>
      <c r="X34" s="79" t="str">
        <f t="shared" si="5"/>
        <v>-22/-62</v>
      </c>
      <c r="Y34" s="79" t="str">
        <f t="shared" si="5"/>
        <v>-31/-63</v>
      </c>
      <c r="Z34" s="79" t="str">
        <f t="shared" si="5"/>
        <v>-27/-68</v>
      </c>
      <c r="AA34" s="79" t="str">
        <f t="shared" si="2"/>
        <v>-38/-70</v>
      </c>
      <c r="AB34" s="79" t="str">
        <f t="shared" si="2"/>
        <v>-34/-75</v>
      </c>
      <c r="AC34" s="79" t="str">
        <f t="shared" si="2"/>
        <v>-46/-78</v>
      </c>
      <c r="AD34" s="79" t="str">
        <f t="shared" si="2"/>
        <v>-42/-83</v>
      </c>
      <c r="AE34" s="79" t="str">
        <f t="shared" si="2"/>
        <v>-55/-87</v>
      </c>
      <c r="AF34" s="79" t="str">
        <f t="shared" si="2"/>
        <v>-51/-92</v>
      </c>
      <c r="AG34" s="79" t="str">
        <f t="shared" si="2"/>
        <v>-59/-100</v>
      </c>
      <c r="AH34" s="79" t="str">
        <f t="shared" si="2"/>
        <v>-68/-109</v>
      </c>
      <c r="AI34" s="79" t="str">
        <f t="shared" si="2"/>
        <v>-79/-120</v>
      </c>
      <c r="AJ34" s="79" t="str">
        <f t="shared" si="2"/>
        <v>-95/-136</v>
      </c>
      <c r="AK34" s="79" t="e">
        <f t="shared" si="2"/>
        <v>#VALUE!</v>
      </c>
      <c r="AL34" s="161"/>
      <c r="AM34" s="161"/>
      <c r="AO34" s="141" t="s">
        <v>228</v>
      </c>
      <c r="AP34" s="141"/>
      <c r="AQ34" s="154" t="s">
        <v>225</v>
      </c>
      <c r="AR34" s="155"/>
      <c r="AS34" s="155"/>
      <c r="AT34" s="155"/>
      <c r="AU34" s="155"/>
      <c r="AV34" s="155"/>
      <c r="AW34" s="155"/>
      <c r="AX34" s="155"/>
      <c r="AY34" s="155"/>
      <c r="AZ34" s="155"/>
      <c r="BA34" s="155"/>
      <c r="BB34" s="155"/>
      <c r="BC34" s="155"/>
      <c r="BD34" s="155"/>
      <c r="BE34" s="155"/>
      <c r="BF34" s="155"/>
      <c r="BG34" s="155"/>
      <c r="BH34" s="155"/>
      <c r="BI34" s="155"/>
      <c r="BJ34" s="155"/>
      <c r="BK34" s="155"/>
      <c r="BL34" s="155"/>
      <c r="BM34" s="155"/>
      <c r="BN34" s="142"/>
      <c r="BO34" s="142"/>
      <c r="BP34" s="142"/>
      <c r="BQ34" s="142"/>
      <c r="BR34" s="142"/>
      <c r="BS34" s="142"/>
      <c r="BT34" s="142"/>
      <c r="BU34" s="142"/>
      <c r="BW34" s="141" t="s">
        <v>228</v>
      </c>
      <c r="BX34" s="141"/>
      <c r="BY34" s="158" t="s">
        <v>226</v>
      </c>
      <c r="BZ34" s="159"/>
      <c r="CA34" s="159"/>
      <c r="CB34" s="159"/>
      <c r="CC34" s="159"/>
      <c r="CD34" s="159"/>
      <c r="CE34" s="159"/>
      <c r="CF34" s="159"/>
      <c r="CG34" s="159"/>
      <c r="CH34" s="159"/>
      <c r="CI34" s="159"/>
      <c r="CJ34" s="159"/>
      <c r="CK34" s="159"/>
      <c r="CL34" s="159"/>
      <c r="CM34" s="159"/>
      <c r="CN34" s="159"/>
      <c r="CO34" s="159"/>
      <c r="CP34" s="159"/>
      <c r="CQ34" s="159"/>
      <c r="CR34" s="159"/>
      <c r="CS34" s="159"/>
      <c r="CT34" s="159"/>
      <c r="CU34" s="159"/>
      <c r="CV34" s="159"/>
      <c r="CW34" s="159"/>
      <c r="CX34" s="159"/>
      <c r="CY34" s="159"/>
      <c r="CZ34" s="159"/>
      <c r="DA34" s="159"/>
      <c r="DB34" s="159"/>
      <c r="DC34" s="159"/>
      <c r="DD34" s="159"/>
      <c r="DE34" s="159"/>
      <c r="DF34" s="160"/>
    </row>
    <row r="35" spans="2:114">
      <c r="B35" s="224"/>
      <c r="C35" s="153" t="s">
        <v>251</v>
      </c>
      <c r="D35" s="79" t="str">
        <f t="shared" si="4"/>
        <v>237/121</v>
      </c>
      <c r="E35" s="79" t="str">
        <f t="shared" si="4"/>
        <v>149/71</v>
      </c>
      <c r="F35" s="79" t="str">
        <f t="shared" si="4"/>
        <v>187/71</v>
      </c>
      <c r="G35" s="79" t="str">
        <f t="shared" si="4"/>
        <v>76/21</v>
      </c>
      <c r="H35" s="79" t="str">
        <f t="shared" si="4"/>
        <v>99/21</v>
      </c>
      <c r="I35" s="79" t="str">
        <f t="shared" si="4"/>
        <v>137/21</v>
      </c>
      <c r="J35" s="79" t="str">
        <f t="shared" si="4"/>
        <v>32/-9</v>
      </c>
      <c r="K35" s="79" t="str">
        <f t="shared" si="4"/>
        <v>46/-9</v>
      </c>
      <c r="L35" s="79" t="str">
        <f t="shared" si="4"/>
        <v>69/-9</v>
      </c>
      <c r="M35" s="79" t="str">
        <f t="shared" si="4"/>
        <v>-2/-34</v>
      </c>
      <c r="N35" s="79" t="str">
        <f t="shared" si="4"/>
        <v>7/-34</v>
      </c>
      <c r="O35" s="79" t="str">
        <f t="shared" si="4"/>
        <v>21/-34</v>
      </c>
      <c r="P35" s="79" t="str">
        <f t="shared" si="4"/>
        <v>-18/-50</v>
      </c>
      <c r="Q35" s="79" t="str">
        <f t="shared" si="4"/>
        <v>-9/-50</v>
      </c>
      <c r="R35" s="79" t="str">
        <f t="shared" si="4"/>
        <v>-27/-59</v>
      </c>
      <c r="S35" s="79" t="str">
        <f t="shared" si="4"/>
        <v>-18/-59</v>
      </c>
      <c r="T35" s="79" t="str">
        <f t="shared" si="5"/>
        <v>-4/-59</v>
      </c>
      <c r="U35" s="79" t="str">
        <f t="shared" si="5"/>
        <v>19/-59</v>
      </c>
      <c r="V35" s="79" t="str">
        <f t="shared" si="5"/>
        <v>57/-59</v>
      </c>
      <c r="W35" s="79" t="str">
        <f t="shared" si="5"/>
        <v>-35/-67</v>
      </c>
      <c r="X35" s="79" t="str">
        <f t="shared" si="5"/>
        <v>-31/-71</v>
      </c>
      <c r="Y35" s="79" t="str">
        <f t="shared" si="5"/>
        <v>-40/-72</v>
      </c>
      <c r="Z35" s="79" t="str">
        <f t="shared" si="5"/>
        <v>-36/-77</v>
      </c>
      <c r="AA35" s="79" t="str">
        <f t="shared" si="2"/>
        <v>-47/-79</v>
      </c>
      <c r="AB35" s="79" t="str">
        <f t="shared" si="2"/>
        <v>-43/-84</v>
      </c>
      <c r="AC35" s="79" t="str">
        <f t="shared" si="2"/>
        <v>-55/-87</v>
      </c>
      <c r="AD35" s="79" t="str">
        <f t="shared" si="2"/>
        <v>-51/-92</v>
      </c>
      <c r="AE35" s="79" t="str">
        <f t="shared" si="2"/>
        <v>-64/-96</v>
      </c>
      <c r="AF35" s="79" t="str">
        <f t="shared" si="2"/>
        <v>-60/-101</v>
      </c>
      <c r="AG35" s="79" t="str">
        <f t="shared" si="2"/>
        <v>-68/-109</v>
      </c>
      <c r="AH35" s="79" t="str">
        <f t="shared" si="2"/>
        <v>-77/-118</v>
      </c>
      <c r="AI35" s="79" t="str">
        <f t="shared" si="2"/>
        <v>-88/-129</v>
      </c>
      <c r="AJ35" s="79" t="str">
        <f t="shared" si="2"/>
        <v>-104/-145</v>
      </c>
      <c r="AK35" s="79" t="e">
        <f t="shared" si="2"/>
        <v>#VALUE!</v>
      </c>
      <c r="AL35" s="161"/>
      <c r="AM35" s="161"/>
      <c r="AO35" s="135" t="s">
        <v>183</v>
      </c>
      <c r="AP35" s="135" t="s">
        <v>184</v>
      </c>
      <c r="AQ35" s="135" t="s">
        <v>236</v>
      </c>
      <c r="AR35" s="135" t="s">
        <v>238</v>
      </c>
      <c r="AS35" s="135" t="s">
        <v>240</v>
      </c>
      <c r="AT35" s="135" t="s">
        <v>242</v>
      </c>
      <c r="AU35" s="135" t="s">
        <v>244</v>
      </c>
      <c r="AV35" s="135" t="s">
        <v>246</v>
      </c>
      <c r="AW35" s="144" t="s">
        <v>185</v>
      </c>
      <c r="AX35" s="144" t="s">
        <v>186</v>
      </c>
      <c r="AY35" s="144" t="s">
        <v>187</v>
      </c>
      <c r="AZ35" s="144" t="s">
        <v>188</v>
      </c>
      <c r="BA35" s="144" t="s">
        <v>189</v>
      </c>
      <c r="BB35" s="144" t="s">
        <v>190</v>
      </c>
      <c r="BC35" s="144" t="s">
        <v>191</v>
      </c>
      <c r="BD35" s="144" t="s">
        <v>192</v>
      </c>
      <c r="BE35" s="144" t="s">
        <v>193</v>
      </c>
      <c r="BF35" s="144" t="s">
        <v>194</v>
      </c>
      <c r="BG35" s="144" t="s">
        <v>195</v>
      </c>
      <c r="BH35" s="144" t="s">
        <v>196</v>
      </c>
      <c r="BI35" s="144" t="s">
        <v>197</v>
      </c>
      <c r="BJ35" s="144" t="s">
        <v>198</v>
      </c>
      <c r="BK35" s="144" t="s">
        <v>199</v>
      </c>
      <c r="BL35" s="144" t="s">
        <v>200</v>
      </c>
      <c r="BM35" s="156" t="s">
        <v>201</v>
      </c>
      <c r="BN35" s="144" t="s">
        <v>202</v>
      </c>
      <c r="BO35" s="144" t="s">
        <v>203</v>
      </c>
      <c r="BP35" s="144" t="s">
        <v>204</v>
      </c>
      <c r="BQ35" s="138" t="s">
        <v>255</v>
      </c>
      <c r="BR35" s="153" t="s">
        <v>251</v>
      </c>
      <c r="BS35" s="138" t="s">
        <v>252</v>
      </c>
      <c r="BT35" s="138" t="s">
        <v>253</v>
      </c>
      <c r="BU35" s="138" t="s">
        <v>254</v>
      </c>
      <c r="BW35" s="135" t="s">
        <v>183</v>
      </c>
      <c r="BX35" s="135" t="s">
        <v>184</v>
      </c>
      <c r="BY35" s="135" t="s">
        <v>256</v>
      </c>
      <c r="BZ35" s="135" t="s">
        <v>257</v>
      </c>
      <c r="CA35" s="135" t="s">
        <v>258</v>
      </c>
      <c r="CB35" s="135" t="s">
        <v>259</v>
      </c>
      <c r="CC35" s="135" t="s">
        <v>260</v>
      </c>
      <c r="CD35" s="135" t="s">
        <v>261</v>
      </c>
      <c r="CE35" s="135" t="s">
        <v>262</v>
      </c>
      <c r="CF35" s="135" t="s">
        <v>263</v>
      </c>
      <c r="CG35" s="144" t="s">
        <v>205</v>
      </c>
      <c r="CH35" s="144" t="s">
        <v>206</v>
      </c>
      <c r="CI35" s="144" t="s">
        <v>207</v>
      </c>
      <c r="CJ35" s="144" t="s">
        <v>208</v>
      </c>
      <c r="CK35" s="144" t="s">
        <v>209</v>
      </c>
      <c r="CL35" s="144" t="s">
        <v>210</v>
      </c>
      <c r="CM35" s="144" t="s">
        <v>211</v>
      </c>
      <c r="CN35" s="144" t="s">
        <v>212</v>
      </c>
      <c r="CO35" s="144" t="s">
        <v>213</v>
      </c>
      <c r="CP35" s="144" t="s">
        <v>214</v>
      </c>
      <c r="CQ35" s="144" t="s">
        <v>215</v>
      </c>
      <c r="CR35" s="144" t="s">
        <v>216</v>
      </c>
      <c r="CS35" s="144" t="s">
        <v>217</v>
      </c>
      <c r="CT35" s="145" t="s">
        <v>218</v>
      </c>
      <c r="CU35" s="145" t="s">
        <v>219</v>
      </c>
      <c r="CV35" s="138" t="s">
        <v>220</v>
      </c>
      <c r="CW35" s="138" t="s">
        <v>221</v>
      </c>
      <c r="CX35" s="138" t="s">
        <v>222</v>
      </c>
      <c r="CY35" s="138" t="s">
        <v>223</v>
      </c>
      <c r="CZ35" s="138" t="s">
        <v>224</v>
      </c>
      <c r="DA35" s="153" t="s">
        <v>269</v>
      </c>
      <c r="DB35" s="138" t="s">
        <v>264</v>
      </c>
      <c r="DC35" s="138" t="s">
        <v>265</v>
      </c>
      <c r="DD35" s="138" t="s">
        <v>266</v>
      </c>
      <c r="DE35" s="138" t="s">
        <v>267</v>
      </c>
      <c r="DF35" s="138" t="s">
        <v>268</v>
      </c>
    </row>
    <row r="36" spans="2:114">
      <c r="B36" s="224"/>
      <c r="C36" s="138" t="s">
        <v>252</v>
      </c>
      <c r="D36" s="79" t="str">
        <f t="shared" si="4"/>
        <v>226/110</v>
      </c>
      <c r="E36" s="79" t="str">
        <f t="shared" si="4"/>
        <v>138/60</v>
      </c>
      <c r="F36" s="79" t="str">
        <f t="shared" si="4"/>
        <v>176/60</v>
      </c>
      <c r="G36" s="79" t="str">
        <f t="shared" si="4"/>
        <v>65/10</v>
      </c>
      <c r="H36" s="79" t="str">
        <f t="shared" si="4"/>
        <v>88/10</v>
      </c>
      <c r="I36" s="79" t="str">
        <f t="shared" si="4"/>
        <v>126/10</v>
      </c>
      <c r="J36" s="79" t="str">
        <f t="shared" si="4"/>
        <v>21/-20</v>
      </c>
      <c r="K36" s="79" t="str">
        <f t="shared" si="4"/>
        <v>35/-20</v>
      </c>
      <c r="L36" s="79" t="str">
        <f t="shared" si="4"/>
        <v>58/-20</v>
      </c>
      <c r="M36" s="79" t="str">
        <f t="shared" si="4"/>
        <v>-13/-45</v>
      </c>
      <c r="N36" s="79" t="str">
        <f t="shared" si="4"/>
        <v>-4/-45</v>
      </c>
      <c r="O36" s="79" t="str">
        <f t="shared" si="4"/>
        <v>10/-45</v>
      </c>
      <c r="P36" s="79" t="str">
        <f t="shared" si="4"/>
        <v>-29/-61</v>
      </c>
      <c r="Q36" s="79" t="str">
        <f t="shared" si="4"/>
        <v>-20/-61</v>
      </c>
      <c r="R36" s="79" t="str">
        <f t="shared" si="4"/>
        <v>-38/-70</v>
      </c>
      <c r="S36" s="79" t="str">
        <f t="shared" si="4"/>
        <v>-29/-70</v>
      </c>
      <c r="T36" s="79" t="str">
        <f t="shared" si="5"/>
        <v>-15/-70</v>
      </c>
      <c r="U36" s="79" t="str">
        <f t="shared" si="5"/>
        <v>8/-70</v>
      </c>
      <c r="V36" s="79" t="str">
        <f t="shared" si="5"/>
        <v>46/-70</v>
      </c>
      <c r="W36" s="79" t="str">
        <f t="shared" si="5"/>
        <v>-46/-78</v>
      </c>
      <c r="X36" s="79" t="str">
        <f t="shared" si="5"/>
        <v>-42/-82</v>
      </c>
      <c r="Y36" s="79" t="str">
        <f t="shared" si="5"/>
        <v>-51/-83</v>
      </c>
      <c r="Z36" s="79" t="str">
        <f t="shared" si="5"/>
        <v>-47/-88</v>
      </c>
      <c r="AA36" s="79" t="str">
        <f t="shared" si="2"/>
        <v>-58/-90</v>
      </c>
      <c r="AB36" s="79" t="str">
        <f t="shared" si="2"/>
        <v>-54/-95</v>
      </c>
      <c r="AC36" s="79" t="str">
        <f t="shared" si="2"/>
        <v>-66/-98</v>
      </c>
      <c r="AD36" s="79" t="str">
        <f t="shared" si="2"/>
        <v>-62/-103</v>
      </c>
      <c r="AE36" s="79" t="str">
        <f t="shared" si="2"/>
        <v>-75/-107</v>
      </c>
      <c r="AF36" s="79" t="str">
        <f t="shared" si="2"/>
        <v>-71/-112</v>
      </c>
      <c r="AG36" s="79" t="str">
        <f t="shared" si="2"/>
        <v>-79/-120</v>
      </c>
      <c r="AH36" s="79" t="str">
        <f t="shared" si="2"/>
        <v>-88/-129</v>
      </c>
      <c r="AI36" s="79" t="str">
        <f t="shared" si="2"/>
        <v>-99/-140</v>
      </c>
      <c r="AJ36" s="79" t="str">
        <f t="shared" si="2"/>
        <v>-115/-156</v>
      </c>
      <c r="AK36" s="79" t="e">
        <f t="shared" si="2"/>
        <v>#VALUE!</v>
      </c>
      <c r="AL36" s="161"/>
      <c r="AM36" s="161"/>
      <c r="AO36" s="136">
        <v>0</v>
      </c>
      <c r="AP36" s="136">
        <v>3</v>
      </c>
      <c r="AQ36">
        <v>-165</v>
      </c>
      <c r="AR36">
        <v>-85</v>
      </c>
      <c r="AS36">
        <v>-34</v>
      </c>
      <c r="AT36">
        <v>-45</v>
      </c>
      <c r="AU36">
        <v>-24</v>
      </c>
      <c r="AV36">
        <v>-28</v>
      </c>
      <c r="AW36" s="147">
        <v>-39</v>
      </c>
      <c r="AX36" s="134">
        <v>-12</v>
      </c>
      <c r="AY36" s="134">
        <v>-16</v>
      </c>
      <c r="AZ36" s="134">
        <v>-20</v>
      </c>
      <c r="BA36" s="134">
        <v>-6</v>
      </c>
      <c r="BB36" s="134">
        <v>-8</v>
      </c>
      <c r="BC36" s="134">
        <v>-4</v>
      </c>
      <c r="BD36" s="134">
        <v>-6</v>
      </c>
      <c r="BE36" s="134">
        <v>-10</v>
      </c>
      <c r="BF36" s="134">
        <v>-14</v>
      </c>
      <c r="BG36" s="134">
        <v>-25</v>
      </c>
      <c r="BH36" s="134">
        <v>-2</v>
      </c>
      <c r="BI36" s="134">
        <v>-3</v>
      </c>
      <c r="BJ36" s="134">
        <v>-5</v>
      </c>
      <c r="BK36" s="134">
        <v>0</v>
      </c>
      <c r="BL36" s="134">
        <v>0</v>
      </c>
      <c r="BM36" s="157">
        <v>2</v>
      </c>
      <c r="BN36" s="134">
        <v>2</v>
      </c>
      <c r="BO36" s="134">
        <v>4</v>
      </c>
      <c r="BP36" s="134">
        <v>6</v>
      </c>
      <c r="BQ36" s="79">
        <v>10</v>
      </c>
      <c r="BR36" s="79">
        <v>14</v>
      </c>
      <c r="BS36" s="164" t="s">
        <v>131</v>
      </c>
      <c r="BT36" s="79">
        <v>18</v>
      </c>
      <c r="BU36" s="79">
        <v>20</v>
      </c>
      <c r="BW36" s="136">
        <v>0</v>
      </c>
      <c r="BX36" s="136">
        <v>3</v>
      </c>
      <c r="BY36" s="79">
        <v>140</v>
      </c>
      <c r="BZ36" s="79">
        <v>60</v>
      </c>
      <c r="CA36" s="79">
        <v>60</v>
      </c>
      <c r="CB36" s="79">
        <v>20</v>
      </c>
      <c r="CC36" s="79">
        <v>20</v>
      </c>
      <c r="CD36" s="79">
        <v>20</v>
      </c>
      <c r="CE36" s="79">
        <v>14</v>
      </c>
      <c r="CF36" s="79">
        <v>14</v>
      </c>
      <c r="CG36" s="134">
        <v>14</v>
      </c>
      <c r="CH36" s="134">
        <v>6</v>
      </c>
      <c r="CI36" s="134">
        <v>6</v>
      </c>
      <c r="CJ36" s="134">
        <v>6</v>
      </c>
      <c r="CK36" s="134">
        <v>2</v>
      </c>
      <c r="CL36" s="134">
        <v>2</v>
      </c>
      <c r="CM36" s="134">
        <v>0</v>
      </c>
      <c r="CN36" s="134">
        <v>0</v>
      </c>
      <c r="CO36" s="134">
        <v>0</v>
      </c>
      <c r="CP36" s="134">
        <v>0</v>
      </c>
      <c r="CQ36" s="134">
        <v>0</v>
      </c>
      <c r="CR36" s="134">
        <v>-3</v>
      </c>
      <c r="CS36" s="134">
        <v>-5</v>
      </c>
      <c r="CT36" s="134">
        <v>-6</v>
      </c>
      <c r="CU36" s="134">
        <v>-10</v>
      </c>
      <c r="CV36" s="134">
        <v>-8</v>
      </c>
      <c r="CW36" s="134">
        <v>-12</v>
      </c>
      <c r="CX36" s="134">
        <v>-10</v>
      </c>
      <c r="CY36" s="134">
        <v>-14</v>
      </c>
      <c r="CZ36" s="79">
        <v>-12</v>
      </c>
      <c r="DA36" s="79">
        <v>-16</v>
      </c>
      <c r="DB36" s="79">
        <v>-20</v>
      </c>
      <c r="DC36" s="79">
        <v>-24</v>
      </c>
      <c r="DD36" s="163" t="s">
        <v>180</v>
      </c>
      <c r="DE36" s="79">
        <v>-28</v>
      </c>
      <c r="DF36" s="79">
        <v>-30</v>
      </c>
    </row>
    <row r="37" spans="2:114">
      <c r="B37" s="224"/>
      <c r="C37" s="138" t="s">
        <v>253</v>
      </c>
      <c r="D37" s="79" t="str">
        <f t="shared" si="4"/>
        <v>210/94</v>
      </c>
      <c r="E37" s="79" t="str">
        <f t="shared" si="4"/>
        <v>122/44</v>
      </c>
      <c r="F37" s="79" t="str">
        <f t="shared" si="4"/>
        <v>160/44</v>
      </c>
      <c r="G37" s="79" t="str">
        <f t="shared" si="4"/>
        <v>49/-6</v>
      </c>
      <c r="H37" s="79" t="str">
        <f t="shared" si="4"/>
        <v>72/-6</v>
      </c>
      <c r="I37" s="79" t="str">
        <f t="shared" si="4"/>
        <v>110/-6</v>
      </c>
      <c r="J37" s="79" t="str">
        <f t="shared" si="4"/>
        <v>5/-36</v>
      </c>
      <c r="K37" s="79" t="str">
        <f t="shared" si="4"/>
        <v>19/-36</v>
      </c>
      <c r="L37" s="79" t="str">
        <f t="shared" si="4"/>
        <v>42/-36</v>
      </c>
      <c r="M37" s="79" t="str">
        <f t="shared" si="4"/>
        <v>-29/-61</v>
      </c>
      <c r="N37" s="79" t="str">
        <f t="shared" si="4"/>
        <v>-20/-61</v>
      </c>
      <c r="O37" s="79" t="str">
        <f t="shared" si="4"/>
        <v>-6/-61</v>
      </c>
      <c r="P37" s="79" t="str">
        <f t="shared" si="4"/>
        <v>-45/-77</v>
      </c>
      <c r="Q37" s="79" t="str">
        <f t="shared" si="4"/>
        <v>-36/-77</v>
      </c>
      <c r="R37" s="79" t="str">
        <f t="shared" si="4"/>
        <v>-54/-86</v>
      </c>
      <c r="S37" s="79" t="str">
        <f t="shared" si="4"/>
        <v>-45/-86</v>
      </c>
      <c r="T37" s="79" t="str">
        <f t="shared" si="5"/>
        <v>-31/-86</v>
      </c>
      <c r="U37" s="79" t="str">
        <f t="shared" si="5"/>
        <v>-8/-86</v>
      </c>
      <c r="V37" s="79" t="str">
        <f t="shared" si="5"/>
        <v>30/-86</v>
      </c>
      <c r="W37" s="79" t="str">
        <f t="shared" si="5"/>
        <v>-62/-94</v>
      </c>
      <c r="X37" s="79" t="str">
        <f t="shared" si="5"/>
        <v>-58/-98</v>
      </c>
      <c r="Y37" s="79" t="str">
        <f t="shared" si="5"/>
        <v>-67/-99</v>
      </c>
      <c r="Z37" s="79" t="str">
        <f t="shared" si="5"/>
        <v>-63/-104</v>
      </c>
      <c r="AA37" s="79" t="str">
        <f t="shared" si="2"/>
        <v>-74/-106</v>
      </c>
      <c r="AB37" s="79" t="str">
        <f t="shared" si="2"/>
        <v>-70/-111</v>
      </c>
      <c r="AC37" s="79" t="str">
        <f t="shared" si="2"/>
        <v>-82/-114</v>
      </c>
      <c r="AD37" s="79" t="str">
        <f t="shared" si="2"/>
        <v>-78/-119</v>
      </c>
      <c r="AE37" s="79" t="str">
        <f t="shared" si="2"/>
        <v>-91/-123</v>
      </c>
      <c r="AF37" s="79" t="str">
        <f t="shared" si="2"/>
        <v>-87/-128</v>
      </c>
      <c r="AG37" s="79" t="str">
        <f t="shared" si="2"/>
        <v>-95/-136</v>
      </c>
      <c r="AH37" s="79" t="str">
        <f t="shared" si="2"/>
        <v>-104/-145</v>
      </c>
      <c r="AI37" s="79" t="str">
        <f t="shared" si="2"/>
        <v>-115/-156</v>
      </c>
      <c r="AJ37" s="79" t="str">
        <f t="shared" si="2"/>
        <v>-131/-172</v>
      </c>
      <c r="AK37" s="79" t="e">
        <f t="shared" si="2"/>
        <v>#VALUE!</v>
      </c>
      <c r="AL37" s="161"/>
      <c r="AM37" s="161"/>
      <c r="AO37" s="136">
        <v>3</v>
      </c>
      <c r="AP37" s="136">
        <v>6</v>
      </c>
      <c r="AQ37">
        <v>-170</v>
      </c>
      <c r="AR37">
        <v>-100</v>
      </c>
      <c r="AS37">
        <v>-48</v>
      </c>
      <c r="AT37">
        <v>-60</v>
      </c>
      <c r="AU37">
        <v>-32</v>
      </c>
      <c r="AV37">
        <v>-38</v>
      </c>
      <c r="AW37" s="147">
        <v>-50</v>
      </c>
      <c r="AX37" s="134">
        <v>-18</v>
      </c>
      <c r="AY37" s="134">
        <v>-22</v>
      </c>
      <c r="AZ37" s="134">
        <v>-28</v>
      </c>
      <c r="BA37" s="134">
        <v>-9</v>
      </c>
      <c r="BB37" s="134">
        <v>-12</v>
      </c>
      <c r="BC37" s="134">
        <v>-5</v>
      </c>
      <c r="BD37" s="134">
        <v>-8</v>
      </c>
      <c r="BE37" s="134">
        <v>-12</v>
      </c>
      <c r="BF37" s="134">
        <v>-18</v>
      </c>
      <c r="BG37" s="134">
        <v>-30</v>
      </c>
      <c r="BH37" s="134">
        <v>-2.5</v>
      </c>
      <c r="BI37" s="134">
        <v>-4</v>
      </c>
      <c r="BJ37" s="134">
        <v>-6</v>
      </c>
      <c r="BK37" s="134">
        <v>1</v>
      </c>
      <c r="BL37" s="134">
        <v>1</v>
      </c>
      <c r="BM37" s="157">
        <v>4</v>
      </c>
      <c r="BN37" s="134">
        <v>4</v>
      </c>
      <c r="BO37" s="134">
        <v>8</v>
      </c>
      <c r="BP37" s="134">
        <v>12</v>
      </c>
      <c r="BQ37" s="79">
        <v>15</v>
      </c>
      <c r="BR37" s="79">
        <v>19</v>
      </c>
      <c r="BS37" s="164" t="s">
        <v>131</v>
      </c>
      <c r="BT37" s="79">
        <v>23</v>
      </c>
      <c r="BU37" s="79">
        <v>28</v>
      </c>
      <c r="BW37" s="136">
        <v>3</v>
      </c>
      <c r="BX37" s="136">
        <v>6</v>
      </c>
      <c r="BY37" s="79">
        <v>140</v>
      </c>
      <c r="BZ37" s="79">
        <v>70</v>
      </c>
      <c r="CA37" s="79">
        <v>70</v>
      </c>
      <c r="CB37" s="79">
        <v>30</v>
      </c>
      <c r="CC37" s="79">
        <v>30</v>
      </c>
      <c r="CD37" s="79">
        <v>30</v>
      </c>
      <c r="CE37" s="79">
        <v>20</v>
      </c>
      <c r="CF37" s="79">
        <v>20</v>
      </c>
      <c r="CG37" s="134">
        <v>20</v>
      </c>
      <c r="CH37" s="134">
        <v>10</v>
      </c>
      <c r="CI37" s="134">
        <v>10</v>
      </c>
      <c r="CJ37" s="134">
        <v>10</v>
      </c>
      <c r="CK37" s="134">
        <v>4</v>
      </c>
      <c r="CL37" s="134">
        <v>4</v>
      </c>
      <c r="CM37" s="134">
        <v>0</v>
      </c>
      <c r="CN37" s="134">
        <v>0</v>
      </c>
      <c r="CO37" s="134">
        <v>0</v>
      </c>
      <c r="CP37" s="134">
        <v>0</v>
      </c>
      <c r="CQ37" s="134">
        <v>0</v>
      </c>
      <c r="CR37" s="134">
        <v>-4</v>
      </c>
      <c r="CS37" s="134">
        <v>-6</v>
      </c>
      <c r="CT37" s="134">
        <v>-6</v>
      </c>
      <c r="CU37" s="134">
        <v>-9</v>
      </c>
      <c r="CV37" s="134">
        <v>-9</v>
      </c>
      <c r="CW37" s="134">
        <v>-12</v>
      </c>
      <c r="CX37" s="134">
        <v>-13</v>
      </c>
      <c r="CY37" s="134">
        <v>-16</v>
      </c>
      <c r="CZ37" s="79">
        <v>-17</v>
      </c>
      <c r="DA37" s="79">
        <v>-20</v>
      </c>
      <c r="DB37" s="79">
        <v>-23</v>
      </c>
      <c r="DC37" s="79">
        <v>-27</v>
      </c>
      <c r="DD37" s="163" t="s">
        <v>180</v>
      </c>
      <c r="DE37" s="79">
        <v>-31</v>
      </c>
      <c r="DF37" s="79">
        <v>-36</v>
      </c>
    </row>
    <row r="38" spans="2:114">
      <c r="B38" s="225"/>
      <c r="C38" s="138" t="s">
        <v>254</v>
      </c>
      <c r="D38" s="79" t="e">
        <f t="shared" si="4"/>
        <v>#VALUE!</v>
      </c>
      <c r="E38" s="79" t="e">
        <f t="shared" si="4"/>
        <v>#VALUE!</v>
      </c>
      <c r="F38" s="79" t="e">
        <f t="shared" si="4"/>
        <v>#VALUE!</v>
      </c>
      <c r="G38" s="79" t="e">
        <f t="shared" si="4"/>
        <v>#VALUE!</v>
      </c>
      <c r="H38" s="79" t="e">
        <f t="shared" si="4"/>
        <v>#VALUE!</v>
      </c>
      <c r="I38" s="79" t="e">
        <f t="shared" si="4"/>
        <v>#VALUE!</v>
      </c>
      <c r="J38" s="79" t="e">
        <f t="shared" si="4"/>
        <v>#VALUE!</v>
      </c>
      <c r="K38" s="79" t="e">
        <f t="shared" si="4"/>
        <v>#VALUE!</v>
      </c>
      <c r="L38" s="79" t="e">
        <f t="shared" si="4"/>
        <v>#VALUE!</v>
      </c>
      <c r="M38" s="79" t="e">
        <f t="shared" si="4"/>
        <v>#VALUE!</v>
      </c>
      <c r="N38" s="79" t="e">
        <f t="shared" si="4"/>
        <v>#VALUE!</v>
      </c>
      <c r="O38" s="79" t="e">
        <f t="shared" si="4"/>
        <v>#VALUE!</v>
      </c>
      <c r="P38" s="79" t="e">
        <f t="shared" si="4"/>
        <v>#VALUE!</v>
      </c>
      <c r="Q38" s="79" t="e">
        <f t="shared" si="4"/>
        <v>#VALUE!</v>
      </c>
      <c r="R38" s="79" t="e">
        <f t="shared" si="4"/>
        <v>#VALUE!</v>
      </c>
      <c r="S38" s="79" t="e">
        <f t="shared" si="4"/>
        <v>#VALUE!</v>
      </c>
      <c r="T38" s="79" t="e">
        <f t="shared" si="5"/>
        <v>#VALUE!</v>
      </c>
      <c r="U38" s="79" t="e">
        <f t="shared" si="5"/>
        <v>#VALUE!</v>
      </c>
      <c r="V38" s="79" t="e">
        <f t="shared" si="5"/>
        <v>#VALUE!</v>
      </c>
      <c r="W38" s="79" t="e">
        <f t="shared" si="5"/>
        <v>#VALUE!</v>
      </c>
      <c r="X38" s="79" t="e">
        <f t="shared" si="5"/>
        <v>#VALUE!</v>
      </c>
      <c r="Y38" s="79" t="e">
        <f t="shared" si="5"/>
        <v>#VALUE!</v>
      </c>
      <c r="Z38" s="79" t="e">
        <f t="shared" si="5"/>
        <v>#VALUE!</v>
      </c>
      <c r="AA38" s="79" t="e">
        <f t="shared" si="2"/>
        <v>#VALUE!</v>
      </c>
      <c r="AB38" s="79" t="e">
        <f t="shared" si="2"/>
        <v>#VALUE!</v>
      </c>
      <c r="AC38" s="79" t="e">
        <f t="shared" si="2"/>
        <v>#VALUE!</v>
      </c>
      <c r="AD38" s="79" t="e">
        <f t="shared" si="2"/>
        <v>#VALUE!</v>
      </c>
      <c r="AE38" s="79" t="e">
        <f t="shared" si="2"/>
        <v>#VALUE!</v>
      </c>
      <c r="AF38" s="79" t="e">
        <f t="shared" si="2"/>
        <v>#VALUE!</v>
      </c>
      <c r="AG38" s="79" t="e">
        <f t="shared" si="2"/>
        <v>#VALUE!</v>
      </c>
      <c r="AH38" s="79" t="e">
        <f t="shared" si="2"/>
        <v>#VALUE!</v>
      </c>
      <c r="AI38" s="79" t="e">
        <f t="shared" si="2"/>
        <v>#VALUE!</v>
      </c>
      <c r="AJ38" s="79" t="e">
        <f t="shared" si="2"/>
        <v>#VALUE!</v>
      </c>
      <c r="AK38" s="79" t="e">
        <f t="shared" si="2"/>
        <v>#VALUE!</v>
      </c>
      <c r="AL38" s="161"/>
      <c r="AM38" s="161"/>
      <c r="AO38" s="136">
        <v>6</v>
      </c>
      <c r="AP38" s="136">
        <v>10</v>
      </c>
      <c r="AQ38">
        <v>-186</v>
      </c>
      <c r="AR38">
        <v>-116</v>
      </c>
      <c r="AS38">
        <v>-62</v>
      </c>
      <c r="AT38">
        <v>-76</v>
      </c>
      <c r="AU38">
        <v>-40</v>
      </c>
      <c r="AV38">
        <v>-47</v>
      </c>
      <c r="AW38" s="147">
        <v>-61</v>
      </c>
      <c r="AX38" s="134">
        <v>-22</v>
      </c>
      <c r="AY38" s="134">
        <v>-28</v>
      </c>
      <c r="AZ38" s="134">
        <v>-35</v>
      </c>
      <c r="BA38" s="134">
        <v>-11</v>
      </c>
      <c r="BB38" s="134">
        <v>-14</v>
      </c>
      <c r="BC38" s="134">
        <v>-6</v>
      </c>
      <c r="BD38" s="134">
        <v>-9</v>
      </c>
      <c r="BE38" s="134">
        <v>-15</v>
      </c>
      <c r="BF38" s="134">
        <v>-22</v>
      </c>
      <c r="BG38" s="134">
        <v>-36</v>
      </c>
      <c r="BH38" s="134">
        <v>-3</v>
      </c>
      <c r="BI38" s="134">
        <v>-4.5</v>
      </c>
      <c r="BJ38" s="134">
        <v>-7</v>
      </c>
      <c r="BK38" s="134">
        <v>1</v>
      </c>
      <c r="BL38" s="134">
        <v>1</v>
      </c>
      <c r="BM38" s="157">
        <v>6</v>
      </c>
      <c r="BN38" s="134">
        <v>6</v>
      </c>
      <c r="BO38" s="134">
        <v>10</v>
      </c>
      <c r="BP38" s="134">
        <v>15</v>
      </c>
      <c r="BQ38" s="79">
        <v>19</v>
      </c>
      <c r="BR38" s="79">
        <v>23</v>
      </c>
      <c r="BS38" s="164" t="s">
        <v>131</v>
      </c>
      <c r="BT38" s="79">
        <v>28</v>
      </c>
      <c r="BU38" s="79">
        <v>34</v>
      </c>
      <c r="BW38" s="136">
        <v>6</v>
      </c>
      <c r="BX38" s="136">
        <v>10</v>
      </c>
      <c r="BY38" s="79">
        <v>150</v>
      </c>
      <c r="BZ38" s="79">
        <v>80</v>
      </c>
      <c r="CA38" s="79">
        <v>80</v>
      </c>
      <c r="CB38" s="79">
        <v>40</v>
      </c>
      <c r="CC38" s="79">
        <v>40</v>
      </c>
      <c r="CD38" s="79">
        <v>40</v>
      </c>
      <c r="CE38" s="79">
        <v>25</v>
      </c>
      <c r="CF38" s="79">
        <v>25</v>
      </c>
      <c r="CG38" s="134">
        <v>25</v>
      </c>
      <c r="CH38" s="134">
        <v>13</v>
      </c>
      <c r="CI38" s="134">
        <v>13</v>
      </c>
      <c r="CJ38" s="134">
        <v>13</v>
      </c>
      <c r="CK38" s="134">
        <v>5</v>
      </c>
      <c r="CL38" s="134">
        <v>5</v>
      </c>
      <c r="CM38" s="134">
        <v>0</v>
      </c>
      <c r="CN38" s="134">
        <v>0</v>
      </c>
      <c r="CO38" s="134">
        <v>0</v>
      </c>
      <c r="CP38" s="134">
        <v>0</v>
      </c>
      <c r="CQ38" s="134">
        <v>0</v>
      </c>
      <c r="CR38" s="134">
        <v>-4.5</v>
      </c>
      <c r="CS38" s="134">
        <v>-7</v>
      </c>
      <c r="CT38" s="134">
        <v>-7</v>
      </c>
      <c r="CU38" s="134">
        <v>-10</v>
      </c>
      <c r="CV38" s="134">
        <v>-12</v>
      </c>
      <c r="CW38" s="134">
        <v>-15</v>
      </c>
      <c r="CX38" s="134">
        <v>-16</v>
      </c>
      <c r="CY38" s="134">
        <v>-19</v>
      </c>
      <c r="CZ38" s="79">
        <v>-21</v>
      </c>
      <c r="DA38" s="79">
        <v>-24</v>
      </c>
      <c r="DB38" s="79">
        <v>-28</v>
      </c>
      <c r="DC38" s="79">
        <v>-32</v>
      </c>
      <c r="DD38" s="163" t="s">
        <v>180</v>
      </c>
      <c r="DE38" s="79">
        <v>-37</v>
      </c>
      <c r="DF38" s="79">
        <v>-43</v>
      </c>
      <c r="DH38" s="150"/>
      <c r="DI38" s="150"/>
      <c r="DJ38" s="150"/>
    </row>
    <row r="39" spans="2:114">
      <c r="Z39" s="161"/>
      <c r="AA39" s="161"/>
      <c r="AB39" s="161"/>
      <c r="AC39" s="161"/>
      <c r="AD39" s="161"/>
      <c r="AE39" s="161"/>
      <c r="AF39" s="161"/>
      <c r="AG39" s="161"/>
      <c r="AH39" s="161"/>
      <c r="AI39" s="161"/>
      <c r="AJ39" s="161"/>
      <c r="AK39" s="161"/>
      <c r="AL39" s="161"/>
      <c r="AM39" s="161"/>
      <c r="AO39" s="137">
        <v>10</v>
      </c>
      <c r="AP39" s="137">
        <v>14</v>
      </c>
      <c r="AQ39">
        <v>-138</v>
      </c>
      <c r="AR39">
        <v>-138</v>
      </c>
      <c r="AS39">
        <v>-77</v>
      </c>
      <c r="AT39">
        <v>-93</v>
      </c>
      <c r="AU39">
        <v>-50</v>
      </c>
      <c r="AV39">
        <v>-59</v>
      </c>
      <c r="AW39" s="147">
        <v>-75</v>
      </c>
      <c r="AX39" s="134">
        <v>-27</v>
      </c>
      <c r="AY39" s="134">
        <v>-34</v>
      </c>
      <c r="AZ39" s="134">
        <v>-43</v>
      </c>
      <c r="BA39" s="134">
        <v>-14</v>
      </c>
      <c r="BB39" s="134">
        <v>-17</v>
      </c>
      <c r="BC39" s="134">
        <v>-8</v>
      </c>
      <c r="BD39" s="134">
        <v>-11</v>
      </c>
      <c r="BE39" s="134">
        <v>-18</v>
      </c>
      <c r="BF39" s="134">
        <v>-27</v>
      </c>
      <c r="BG39" s="134">
        <v>-43</v>
      </c>
      <c r="BH39" s="134">
        <v>-1</v>
      </c>
      <c r="BI39" s="134">
        <v>-5.5</v>
      </c>
      <c r="BJ39" s="134">
        <v>-9</v>
      </c>
      <c r="BK39" s="134">
        <v>1</v>
      </c>
      <c r="BL39" s="134">
        <v>1</v>
      </c>
      <c r="BM39" s="157">
        <v>7</v>
      </c>
      <c r="BN39" s="134">
        <v>7</v>
      </c>
      <c r="BO39" s="134">
        <v>12</v>
      </c>
      <c r="BP39" s="134">
        <v>18</v>
      </c>
      <c r="BQ39" s="79">
        <v>23</v>
      </c>
      <c r="BR39" s="79">
        <v>28</v>
      </c>
      <c r="BS39" s="164" t="s">
        <v>131</v>
      </c>
      <c r="BT39" s="79">
        <v>33</v>
      </c>
      <c r="BU39" s="79">
        <v>40</v>
      </c>
      <c r="BW39" s="137">
        <v>10</v>
      </c>
      <c r="BX39" s="137">
        <v>14</v>
      </c>
      <c r="BY39" s="79">
        <v>150</v>
      </c>
      <c r="BZ39" s="79">
        <v>95</v>
      </c>
      <c r="CA39" s="79">
        <v>95</v>
      </c>
      <c r="CB39" s="79">
        <v>50</v>
      </c>
      <c r="CC39" s="79">
        <v>50</v>
      </c>
      <c r="CD39" s="79">
        <v>50</v>
      </c>
      <c r="CE39" s="79">
        <v>32</v>
      </c>
      <c r="CF39" s="79">
        <v>32</v>
      </c>
      <c r="CG39" s="134">
        <v>32</v>
      </c>
      <c r="CH39" s="134">
        <v>16</v>
      </c>
      <c r="CI39" s="134">
        <v>16</v>
      </c>
      <c r="CJ39" s="134">
        <v>16</v>
      </c>
      <c r="CK39" s="134">
        <v>6</v>
      </c>
      <c r="CL39" s="134">
        <v>6</v>
      </c>
      <c r="CM39" s="134">
        <v>0</v>
      </c>
      <c r="CN39" s="134">
        <v>0</v>
      </c>
      <c r="CO39" s="134">
        <v>0</v>
      </c>
      <c r="CP39" s="134">
        <v>0</v>
      </c>
      <c r="CQ39" s="134">
        <v>0</v>
      </c>
      <c r="CR39" s="134">
        <v>-5.5</v>
      </c>
      <c r="CS39" s="134">
        <v>-9</v>
      </c>
      <c r="CT39" s="134">
        <v>-9</v>
      </c>
      <c r="CU39" s="134">
        <v>-12</v>
      </c>
      <c r="CV39" s="134">
        <v>-15</v>
      </c>
      <c r="CW39" s="134">
        <v>-18</v>
      </c>
      <c r="CX39" s="134">
        <v>-20</v>
      </c>
      <c r="CY39" s="134">
        <v>-23</v>
      </c>
      <c r="CZ39" s="79">
        <v>-26</v>
      </c>
      <c r="DA39" s="79">
        <v>-29</v>
      </c>
      <c r="DB39" s="79">
        <v>-34</v>
      </c>
      <c r="DC39" s="79">
        <v>-39</v>
      </c>
      <c r="DD39" s="163" t="s">
        <v>180</v>
      </c>
      <c r="DE39" s="79">
        <v>-44</v>
      </c>
      <c r="DF39" s="79">
        <v>-51</v>
      </c>
    </row>
    <row r="40" spans="2:114">
      <c r="Z40" s="161"/>
      <c r="AA40" s="161"/>
      <c r="AB40" s="161"/>
      <c r="AC40" s="161"/>
      <c r="AD40" s="161"/>
      <c r="AE40" s="161"/>
      <c r="AF40" s="161"/>
      <c r="AG40" s="161"/>
      <c r="AH40" s="161"/>
      <c r="AI40" s="161"/>
      <c r="AJ40" s="161"/>
      <c r="AK40" s="161"/>
      <c r="AL40" s="161"/>
      <c r="AM40" s="161"/>
      <c r="AO40" s="137">
        <v>14</v>
      </c>
      <c r="AP40" s="137">
        <v>18</v>
      </c>
      <c r="AQ40">
        <v>-138</v>
      </c>
      <c r="AR40">
        <v>-138</v>
      </c>
      <c r="AS40">
        <v>-77</v>
      </c>
      <c r="AT40">
        <v>-93</v>
      </c>
      <c r="AU40">
        <v>-50</v>
      </c>
      <c r="AV40">
        <v>-59</v>
      </c>
      <c r="AW40" s="147">
        <v>-75</v>
      </c>
      <c r="AX40" s="134">
        <v>-27</v>
      </c>
      <c r="AY40" s="134">
        <v>-34</v>
      </c>
      <c r="AZ40" s="134">
        <v>-43</v>
      </c>
      <c r="BA40" s="134">
        <v>-14</v>
      </c>
      <c r="BB40" s="134">
        <v>-17</v>
      </c>
      <c r="BC40" s="134">
        <v>-8</v>
      </c>
      <c r="BD40" s="134">
        <v>-11</v>
      </c>
      <c r="BE40" s="134">
        <v>-18</v>
      </c>
      <c r="BF40" s="134">
        <v>-27</v>
      </c>
      <c r="BG40" s="134">
        <v>-43</v>
      </c>
      <c r="BH40" s="134">
        <v>-1</v>
      </c>
      <c r="BI40" s="134">
        <v>-5.5</v>
      </c>
      <c r="BJ40" s="134">
        <v>-9</v>
      </c>
      <c r="BK40" s="134">
        <v>1</v>
      </c>
      <c r="BL40" s="134">
        <v>1</v>
      </c>
      <c r="BM40" s="157">
        <v>7</v>
      </c>
      <c r="BN40" s="134">
        <v>7</v>
      </c>
      <c r="BO40" s="134">
        <v>12</v>
      </c>
      <c r="BP40" s="134">
        <v>18</v>
      </c>
      <c r="BQ40" s="79">
        <v>23</v>
      </c>
      <c r="BR40" s="79">
        <v>28</v>
      </c>
      <c r="BS40" s="164" t="s">
        <v>131</v>
      </c>
      <c r="BT40" s="79">
        <v>33</v>
      </c>
      <c r="BU40" s="79">
        <v>45</v>
      </c>
      <c r="BW40" s="137">
        <v>14</v>
      </c>
      <c r="BX40" s="137">
        <v>18</v>
      </c>
      <c r="BY40" s="79">
        <v>150</v>
      </c>
      <c r="BZ40" s="79">
        <v>95</v>
      </c>
      <c r="CA40" s="79">
        <v>95</v>
      </c>
      <c r="CB40" s="79">
        <v>50</v>
      </c>
      <c r="CC40" s="79">
        <v>50</v>
      </c>
      <c r="CD40" s="79">
        <v>50</v>
      </c>
      <c r="CE40" s="79">
        <v>32</v>
      </c>
      <c r="CF40" s="79">
        <v>32</v>
      </c>
      <c r="CG40" s="134">
        <v>32</v>
      </c>
      <c r="CH40" s="134">
        <v>16</v>
      </c>
      <c r="CI40" s="134">
        <v>16</v>
      </c>
      <c r="CJ40" s="134">
        <v>16</v>
      </c>
      <c r="CK40" s="134">
        <v>6</v>
      </c>
      <c r="CL40" s="134">
        <v>6</v>
      </c>
      <c r="CM40" s="134">
        <v>0</v>
      </c>
      <c r="CN40" s="134">
        <v>0</v>
      </c>
      <c r="CO40" s="134">
        <v>0</v>
      </c>
      <c r="CP40" s="134">
        <v>0</v>
      </c>
      <c r="CQ40" s="134">
        <v>0</v>
      </c>
      <c r="CR40" s="134">
        <v>-5.5</v>
      </c>
      <c r="CS40" s="134">
        <v>-9</v>
      </c>
      <c r="CT40" s="134">
        <v>-9</v>
      </c>
      <c r="CU40" s="134">
        <v>-12</v>
      </c>
      <c r="CV40" s="134">
        <v>-15</v>
      </c>
      <c r="CW40" s="134">
        <v>-18</v>
      </c>
      <c r="CX40" s="134">
        <v>-20</v>
      </c>
      <c r="CY40" s="134">
        <v>-23</v>
      </c>
      <c r="CZ40" s="79">
        <v>-26</v>
      </c>
      <c r="DA40" s="79">
        <v>-29</v>
      </c>
      <c r="DB40" s="79">
        <v>-34</v>
      </c>
      <c r="DC40" s="79">
        <v>-39</v>
      </c>
      <c r="DD40" s="163" t="s">
        <v>180</v>
      </c>
      <c r="DE40" s="79">
        <v>-44</v>
      </c>
      <c r="DF40" s="79">
        <v>-56</v>
      </c>
    </row>
    <row r="41" spans="2:114">
      <c r="M41" t="e" cm="1">
        <f t="array" ref="M41">iserr</f>
        <v>#NAME?</v>
      </c>
      <c r="AO41" s="137">
        <v>18</v>
      </c>
      <c r="AP41" s="137">
        <v>24</v>
      </c>
      <c r="AQ41">
        <v>-212</v>
      </c>
      <c r="AR41">
        <v>-162</v>
      </c>
      <c r="AS41">
        <v>-98</v>
      </c>
      <c r="AT41">
        <v>-117</v>
      </c>
      <c r="AU41">
        <v>-61</v>
      </c>
      <c r="AV41">
        <v>-73</v>
      </c>
      <c r="AW41" s="147">
        <v>-92</v>
      </c>
      <c r="AX41" s="134">
        <v>-33</v>
      </c>
      <c r="AY41" s="134">
        <v>-41</v>
      </c>
      <c r="AZ41" s="134">
        <v>-53</v>
      </c>
      <c r="BA41" s="134">
        <v>-16</v>
      </c>
      <c r="BB41" s="134">
        <v>-20</v>
      </c>
      <c r="BC41" s="134">
        <v>-9</v>
      </c>
      <c r="BD41" s="134">
        <v>-13</v>
      </c>
      <c r="BE41" s="134">
        <v>-21</v>
      </c>
      <c r="BF41" s="134">
        <v>-33</v>
      </c>
      <c r="BG41" s="134">
        <v>-52</v>
      </c>
      <c r="BH41" s="134">
        <v>-4.5</v>
      </c>
      <c r="BI41" s="134">
        <v>-6.5</v>
      </c>
      <c r="BJ41" s="134">
        <v>-10</v>
      </c>
      <c r="BK41" s="134">
        <v>2</v>
      </c>
      <c r="BL41" s="134">
        <v>2</v>
      </c>
      <c r="BM41" s="157">
        <v>8</v>
      </c>
      <c r="BN41" s="134">
        <v>8</v>
      </c>
      <c r="BO41" s="134">
        <v>15</v>
      </c>
      <c r="BP41" s="134">
        <v>22</v>
      </c>
      <c r="BQ41" s="79">
        <v>28</v>
      </c>
      <c r="BR41" s="79">
        <v>35</v>
      </c>
      <c r="BS41" s="164" t="s">
        <v>131</v>
      </c>
      <c r="BT41" s="79">
        <v>41</v>
      </c>
      <c r="BU41" s="79">
        <v>54</v>
      </c>
      <c r="BW41" s="137">
        <v>18</v>
      </c>
      <c r="BX41" s="137">
        <v>24</v>
      </c>
      <c r="BY41" s="79">
        <v>160</v>
      </c>
      <c r="BZ41" s="79">
        <v>110</v>
      </c>
      <c r="CA41" s="79">
        <v>110</v>
      </c>
      <c r="CB41" s="79">
        <v>65</v>
      </c>
      <c r="CC41" s="79">
        <v>65</v>
      </c>
      <c r="CD41" s="79">
        <v>65</v>
      </c>
      <c r="CE41" s="79">
        <v>40</v>
      </c>
      <c r="CF41" s="79">
        <v>40</v>
      </c>
      <c r="CG41" s="134">
        <v>40</v>
      </c>
      <c r="CH41" s="134">
        <v>20</v>
      </c>
      <c r="CI41" s="134">
        <v>20</v>
      </c>
      <c r="CJ41" s="134">
        <v>20</v>
      </c>
      <c r="CK41" s="134">
        <v>7</v>
      </c>
      <c r="CL41" s="134">
        <v>7</v>
      </c>
      <c r="CM41" s="134">
        <v>0</v>
      </c>
      <c r="CN41" s="134">
        <v>0</v>
      </c>
      <c r="CO41" s="134">
        <v>0</v>
      </c>
      <c r="CP41" s="134">
        <v>0</v>
      </c>
      <c r="CQ41" s="134">
        <v>0</v>
      </c>
      <c r="CR41" s="134">
        <v>-6.5</v>
      </c>
      <c r="CS41" s="134">
        <v>-10</v>
      </c>
      <c r="CT41" s="134">
        <v>-11</v>
      </c>
      <c r="CU41" s="134">
        <v>-15</v>
      </c>
      <c r="CV41" s="134">
        <v>-17</v>
      </c>
      <c r="CW41" s="134">
        <v>-21</v>
      </c>
      <c r="CX41" s="134">
        <v>-24</v>
      </c>
      <c r="CY41" s="134">
        <v>-28</v>
      </c>
      <c r="CZ41" s="79">
        <v>-31</v>
      </c>
      <c r="DA41" s="79">
        <v>-35</v>
      </c>
      <c r="DB41" s="79">
        <v>-41</v>
      </c>
      <c r="DC41" s="79">
        <v>-48</v>
      </c>
      <c r="DD41" s="163" t="s">
        <v>180</v>
      </c>
      <c r="DE41" s="79">
        <v>-54</v>
      </c>
      <c r="DF41" s="79">
        <v>-67</v>
      </c>
    </row>
    <row r="42" spans="2:114">
      <c r="AO42" s="137">
        <v>24</v>
      </c>
      <c r="AP42" s="137">
        <v>30</v>
      </c>
      <c r="AQ42">
        <v>-212</v>
      </c>
      <c r="AR42">
        <v>-162</v>
      </c>
      <c r="AS42">
        <v>-98</v>
      </c>
      <c r="AT42">
        <v>-117</v>
      </c>
      <c r="AU42">
        <v>-61</v>
      </c>
      <c r="AV42">
        <v>-73</v>
      </c>
      <c r="AW42" s="147">
        <v>-92</v>
      </c>
      <c r="AX42" s="134">
        <v>-33</v>
      </c>
      <c r="AY42" s="134">
        <v>-41</v>
      </c>
      <c r="AZ42" s="134">
        <v>-53</v>
      </c>
      <c r="BA42" s="134">
        <v>-16</v>
      </c>
      <c r="BB42" s="134">
        <v>-20</v>
      </c>
      <c r="BC42" s="134">
        <v>-9</v>
      </c>
      <c r="BD42" s="134">
        <v>-13</v>
      </c>
      <c r="BE42" s="134">
        <v>-21</v>
      </c>
      <c r="BF42" s="134">
        <v>-33</v>
      </c>
      <c r="BG42" s="134">
        <v>-52</v>
      </c>
      <c r="BH42" s="134">
        <v>-4.5</v>
      </c>
      <c r="BI42" s="134">
        <v>-6.5</v>
      </c>
      <c r="BJ42" s="134">
        <v>-10</v>
      </c>
      <c r="BK42" s="134">
        <v>2</v>
      </c>
      <c r="BL42" s="134">
        <v>2</v>
      </c>
      <c r="BM42" s="157">
        <v>8</v>
      </c>
      <c r="BN42" s="134">
        <v>8</v>
      </c>
      <c r="BO42" s="134">
        <v>15</v>
      </c>
      <c r="BP42" s="134">
        <v>22</v>
      </c>
      <c r="BQ42" s="79">
        <v>28</v>
      </c>
      <c r="BR42" s="79">
        <v>35</v>
      </c>
      <c r="BS42" s="79">
        <v>41</v>
      </c>
      <c r="BT42" s="79">
        <v>48</v>
      </c>
      <c r="BU42" s="79">
        <v>64</v>
      </c>
      <c r="BW42" s="137">
        <v>24</v>
      </c>
      <c r="BX42" s="137">
        <v>30</v>
      </c>
      <c r="BY42" s="79">
        <v>160</v>
      </c>
      <c r="BZ42" s="79">
        <v>110</v>
      </c>
      <c r="CA42" s="79">
        <v>110</v>
      </c>
      <c r="CB42" s="79">
        <v>65</v>
      </c>
      <c r="CC42" s="79">
        <v>65</v>
      </c>
      <c r="CD42" s="79">
        <v>65</v>
      </c>
      <c r="CE42" s="79">
        <v>40</v>
      </c>
      <c r="CF42" s="79">
        <v>40</v>
      </c>
      <c r="CG42" s="134">
        <v>40</v>
      </c>
      <c r="CH42" s="134">
        <v>20</v>
      </c>
      <c r="CI42" s="134">
        <v>20</v>
      </c>
      <c r="CJ42" s="134">
        <v>20</v>
      </c>
      <c r="CK42" s="134">
        <v>7</v>
      </c>
      <c r="CL42" s="134">
        <v>7</v>
      </c>
      <c r="CM42" s="134">
        <v>0</v>
      </c>
      <c r="CN42" s="134">
        <v>0</v>
      </c>
      <c r="CO42" s="134">
        <v>0</v>
      </c>
      <c r="CP42" s="134">
        <v>0</v>
      </c>
      <c r="CQ42" s="134">
        <v>0</v>
      </c>
      <c r="CR42" s="134">
        <v>-6.5</v>
      </c>
      <c r="CS42" s="134">
        <v>-10</v>
      </c>
      <c r="CT42" s="134">
        <v>-11</v>
      </c>
      <c r="CU42" s="134">
        <v>-15</v>
      </c>
      <c r="CV42" s="134">
        <v>-17</v>
      </c>
      <c r="CW42" s="134">
        <v>-21</v>
      </c>
      <c r="CX42" s="134">
        <v>-24</v>
      </c>
      <c r="CY42" s="134">
        <v>-28</v>
      </c>
      <c r="CZ42" s="79">
        <v>-31</v>
      </c>
      <c r="DA42" s="79">
        <v>-35</v>
      </c>
      <c r="DB42" s="79">
        <v>-41</v>
      </c>
      <c r="DC42" s="79">
        <v>-48</v>
      </c>
      <c r="DD42" s="79">
        <v>-54</v>
      </c>
      <c r="DE42" s="79">
        <v>-61</v>
      </c>
      <c r="DF42" s="79">
        <v>-77</v>
      </c>
    </row>
    <row r="43" spans="2:114">
      <c r="AO43" s="137">
        <v>30</v>
      </c>
      <c r="AP43" s="137">
        <v>40</v>
      </c>
      <c r="AQ43">
        <v>-232</v>
      </c>
      <c r="AR43">
        <v>-182</v>
      </c>
      <c r="AS43">
        <v>-119</v>
      </c>
      <c r="AT43">
        <v>-142</v>
      </c>
      <c r="AU43">
        <v>-75</v>
      </c>
      <c r="AV43">
        <v>-89</v>
      </c>
      <c r="AW43" s="147">
        <v>-112</v>
      </c>
      <c r="AX43" s="134">
        <v>-41</v>
      </c>
      <c r="AY43" s="134">
        <v>-50</v>
      </c>
      <c r="AZ43" s="134">
        <v>-64</v>
      </c>
      <c r="BA43" s="134">
        <v>-20</v>
      </c>
      <c r="BB43" s="134">
        <v>-25</v>
      </c>
      <c r="BC43" s="134">
        <v>-11</v>
      </c>
      <c r="BD43" s="134">
        <v>-16</v>
      </c>
      <c r="BE43" s="134">
        <v>-25</v>
      </c>
      <c r="BF43" s="134">
        <v>-39</v>
      </c>
      <c r="BG43" s="134">
        <v>-62</v>
      </c>
      <c r="BH43" s="134">
        <v>-5.5</v>
      </c>
      <c r="BI43" s="134">
        <v>-8</v>
      </c>
      <c r="BJ43" s="134">
        <v>-12</v>
      </c>
      <c r="BK43" s="134">
        <v>2</v>
      </c>
      <c r="BL43" s="134">
        <v>2</v>
      </c>
      <c r="BM43" s="157">
        <v>9</v>
      </c>
      <c r="BN43" s="134">
        <v>9</v>
      </c>
      <c r="BO43" s="134">
        <v>17</v>
      </c>
      <c r="BP43" s="134">
        <v>26</v>
      </c>
      <c r="BQ43" s="79">
        <v>34</v>
      </c>
      <c r="BR43" s="79">
        <v>43</v>
      </c>
      <c r="BS43" s="79">
        <v>48</v>
      </c>
      <c r="BT43" s="79">
        <v>60</v>
      </c>
      <c r="BU43" s="164" t="s">
        <v>131</v>
      </c>
      <c r="BW43" s="137">
        <v>30</v>
      </c>
      <c r="BX43" s="137">
        <v>40</v>
      </c>
      <c r="BY43" s="79">
        <v>170</v>
      </c>
      <c r="BZ43" s="79">
        <v>120</v>
      </c>
      <c r="CA43" s="79">
        <v>120</v>
      </c>
      <c r="CB43" s="79">
        <v>80</v>
      </c>
      <c r="CC43" s="79">
        <v>80</v>
      </c>
      <c r="CD43" s="79">
        <v>80</v>
      </c>
      <c r="CE43" s="79">
        <v>50</v>
      </c>
      <c r="CF43" s="79">
        <v>50</v>
      </c>
      <c r="CG43" s="134">
        <v>50</v>
      </c>
      <c r="CH43" s="134">
        <v>25</v>
      </c>
      <c r="CI43" s="134">
        <v>25</v>
      </c>
      <c r="CJ43" s="134">
        <v>25</v>
      </c>
      <c r="CK43" s="134">
        <v>9</v>
      </c>
      <c r="CL43" s="134">
        <v>9</v>
      </c>
      <c r="CM43" s="134">
        <v>0</v>
      </c>
      <c r="CN43" s="134">
        <v>0</v>
      </c>
      <c r="CO43" s="134">
        <v>0</v>
      </c>
      <c r="CP43" s="134">
        <v>0</v>
      </c>
      <c r="CQ43" s="134">
        <v>0</v>
      </c>
      <c r="CR43" s="134">
        <v>-8</v>
      </c>
      <c r="CS43" s="134">
        <v>-12</v>
      </c>
      <c r="CT43" s="134">
        <v>-13</v>
      </c>
      <c r="CU43" s="134">
        <v>-18</v>
      </c>
      <c r="CV43" s="134">
        <v>-20</v>
      </c>
      <c r="CW43" s="134">
        <v>-25</v>
      </c>
      <c r="CX43" s="134">
        <v>-28</v>
      </c>
      <c r="CY43" s="134">
        <v>-33</v>
      </c>
      <c r="CZ43" s="79">
        <v>-37</v>
      </c>
      <c r="DA43" s="79">
        <v>-42</v>
      </c>
      <c r="DB43" s="79">
        <v>-50</v>
      </c>
      <c r="DC43" s="79">
        <v>-59</v>
      </c>
      <c r="DD43" s="79">
        <v>-64</v>
      </c>
      <c r="DE43" s="79">
        <v>-76</v>
      </c>
      <c r="DF43" s="163" t="s">
        <v>180</v>
      </c>
    </row>
    <row r="44" spans="2:114">
      <c r="AO44" s="137">
        <v>40</v>
      </c>
      <c r="AP44" s="137">
        <v>50</v>
      </c>
      <c r="AQ44">
        <v>-242</v>
      </c>
      <c r="AR44">
        <v>-192</v>
      </c>
      <c r="AS44">
        <v>-119</v>
      </c>
      <c r="AT44">
        <v>-142</v>
      </c>
      <c r="AU44">
        <v>-75</v>
      </c>
      <c r="AV44">
        <v>-89</v>
      </c>
      <c r="AW44" s="147">
        <v>-112</v>
      </c>
      <c r="AX44" s="134">
        <v>-41</v>
      </c>
      <c r="AY44" s="134">
        <v>-50</v>
      </c>
      <c r="AZ44" s="134">
        <v>-64</v>
      </c>
      <c r="BA44" s="134">
        <v>-20</v>
      </c>
      <c r="BB44" s="134">
        <v>-25</v>
      </c>
      <c r="BC44" s="134">
        <v>-11</v>
      </c>
      <c r="BD44" s="134">
        <v>-16</v>
      </c>
      <c r="BE44" s="134">
        <v>-25</v>
      </c>
      <c r="BF44" s="134">
        <v>-39</v>
      </c>
      <c r="BG44" s="134">
        <v>-62</v>
      </c>
      <c r="BH44" s="134">
        <v>-5.5</v>
      </c>
      <c r="BI44" s="134">
        <v>-8</v>
      </c>
      <c r="BJ44" s="134">
        <v>-12</v>
      </c>
      <c r="BK44" s="134">
        <v>2</v>
      </c>
      <c r="BL44" s="134">
        <v>2</v>
      </c>
      <c r="BM44" s="157">
        <v>9</v>
      </c>
      <c r="BN44" s="134">
        <v>9</v>
      </c>
      <c r="BO44" s="134">
        <v>17</v>
      </c>
      <c r="BP44" s="134">
        <v>26</v>
      </c>
      <c r="BQ44" s="79">
        <v>34</v>
      </c>
      <c r="BR44" s="79">
        <v>43</v>
      </c>
      <c r="BS44" s="79">
        <v>54</v>
      </c>
      <c r="BT44" s="79">
        <v>70</v>
      </c>
      <c r="BU44" s="164" t="s">
        <v>131</v>
      </c>
      <c r="BW44" s="137">
        <v>40</v>
      </c>
      <c r="BX44" s="137">
        <v>50</v>
      </c>
      <c r="BY44" s="79">
        <v>180</v>
      </c>
      <c r="BZ44" s="79">
        <v>130</v>
      </c>
      <c r="CA44" s="79">
        <v>130</v>
      </c>
      <c r="CB44" s="79">
        <v>80</v>
      </c>
      <c r="CC44" s="79">
        <v>80</v>
      </c>
      <c r="CD44" s="79">
        <v>80</v>
      </c>
      <c r="CE44" s="79">
        <v>50</v>
      </c>
      <c r="CF44" s="79">
        <v>50</v>
      </c>
      <c r="CG44" s="134">
        <v>50</v>
      </c>
      <c r="CH44" s="134">
        <v>25</v>
      </c>
      <c r="CI44" s="134">
        <v>25</v>
      </c>
      <c r="CJ44" s="134">
        <v>25</v>
      </c>
      <c r="CK44" s="134">
        <v>9</v>
      </c>
      <c r="CL44" s="134">
        <v>9</v>
      </c>
      <c r="CM44" s="134">
        <v>0</v>
      </c>
      <c r="CN44" s="134">
        <v>0</v>
      </c>
      <c r="CO44" s="134">
        <v>0</v>
      </c>
      <c r="CP44" s="134">
        <v>0</v>
      </c>
      <c r="CQ44" s="134">
        <v>0</v>
      </c>
      <c r="CR44" s="134">
        <v>-8</v>
      </c>
      <c r="CS44" s="134">
        <v>-12</v>
      </c>
      <c r="CT44" s="134">
        <v>-13</v>
      </c>
      <c r="CU44" s="134">
        <v>-18</v>
      </c>
      <c r="CV44" s="134">
        <v>-20</v>
      </c>
      <c r="CW44" s="134">
        <v>-25</v>
      </c>
      <c r="CX44" s="134">
        <v>-28</v>
      </c>
      <c r="CY44" s="134">
        <v>-33</v>
      </c>
      <c r="CZ44" s="79">
        <v>-37</v>
      </c>
      <c r="DA44" s="79">
        <v>-42</v>
      </c>
      <c r="DB44" s="79">
        <v>-50</v>
      </c>
      <c r="DC44" s="79">
        <v>-59</v>
      </c>
      <c r="DD44" s="79">
        <v>-70</v>
      </c>
      <c r="DE44" s="79">
        <v>-86</v>
      </c>
      <c r="DF44" s="163" t="s">
        <v>180</v>
      </c>
    </row>
    <row r="45" spans="2:114">
      <c r="AO45" s="137">
        <v>50</v>
      </c>
      <c r="AP45" s="137">
        <v>65</v>
      </c>
      <c r="AQ45">
        <v>-264</v>
      </c>
      <c r="AR45">
        <v>-214</v>
      </c>
      <c r="AS45">
        <v>-146</v>
      </c>
      <c r="AT45">
        <v>-174</v>
      </c>
      <c r="AU45">
        <v>-90</v>
      </c>
      <c r="AV45">
        <v>-106</v>
      </c>
      <c r="AW45" s="147">
        <v>-134</v>
      </c>
      <c r="AX45" s="134">
        <v>-49</v>
      </c>
      <c r="AY45" s="134">
        <v>-60</v>
      </c>
      <c r="AZ45" s="134">
        <v>-76</v>
      </c>
      <c r="BA45" s="134">
        <v>-23</v>
      </c>
      <c r="BB45" s="134">
        <v>-29</v>
      </c>
      <c r="BC45" s="134">
        <v>-13</v>
      </c>
      <c r="BD45" s="134">
        <v>-19</v>
      </c>
      <c r="BE45" s="134">
        <v>-30</v>
      </c>
      <c r="BF45" s="134">
        <v>-46</v>
      </c>
      <c r="BG45" s="134">
        <v>-74</v>
      </c>
      <c r="BH45" s="134">
        <v>-6.5</v>
      </c>
      <c r="BI45" s="134">
        <v>-9.5</v>
      </c>
      <c r="BJ45" s="134">
        <v>-15</v>
      </c>
      <c r="BK45" s="134">
        <v>2</v>
      </c>
      <c r="BL45" s="134">
        <v>2</v>
      </c>
      <c r="BM45" s="157">
        <v>11</v>
      </c>
      <c r="BN45" s="134">
        <v>11</v>
      </c>
      <c r="BO45" s="134">
        <v>20</v>
      </c>
      <c r="BP45" s="134">
        <v>32</v>
      </c>
      <c r="BQ45" s="79">
        <v>41</v>
      </c>
      <c r="BR45" s="79">
        <v>53</v>
      </c>
      <c r="BS45" s="79">
        <v>66</v>
      </c>
      <c r="BT45" s="79">
        <v>87</v>
      </c>
      <c r="BU45" s="164" t="s">
        <v>131</v>
      </c>
      <c r="BW45" s="137">
        <v>50</v>
      </c>
      <c r="BX45" s="137">
        <v>65</v>
      </c>
      <c r="BY45" s="79">
        <v>190</v>
      </c>
      <c r="BZ45" s="79">
        <v>140</v>
      </c>
      <c r="CA45" s="79">
        <v>140</v>
      </c>
      <c r="CB45" s="79">
        <v>100</v>
      </c>
      <c r="CC45" s="79">
        <v>100</v>
      </c>
      <c r="CD45" s="79">
        <v>100</v>
      </c>
      <c r="CE45" s="79">
        <v>60</v>
      </c>
      <c r="CF45" s="79">
        <v>60</v>
      </c>
      <c r="CG45" s="134">
        <v>60</v>
      </c>
      <c r="CH45" s="134">
        <v>30</v>
      </c>
      <c r="CI45" s="134">
        <v>30</v>
      </c>
      <c r="CJ45" s="134">
        <v>30</v>
      </c>
      <c r="CK45" s="134">
        <v>10</v>
      </c>
      <c r="CL45" s="134">
        <v>10</v>
      </c>
      <c r="CM45" s="134">
        <v>0</v>
      </c>
      <c r="CN45" s="134">
        <v>0</v>
      </c>
      <c r="CO45" s="134">
        <v>0</v>
      </c>
      <c r="CP45" s="134">
        <v>0</v>
      </c>
      <c r="CQ45" s="134">
        <v>0</v>
      </c>
      <c r="CR45" s="134">
        <v>-9.5</v>
      </c>
      <c r="CS45" s="134">
        <v>-15</v>
      </c>
      <c r="CT45" s="134">
        <v>-15</v>
      </c>
      <c r="CU45" s="134">
        <v>-21</v>
      </c>
      <c r="CV45" s="134">
        <v>-24</v>
      </c>
      <c r="CW45" s="134">
        <v>-30</v>
      </c>
      <c r="CX45" s="134">
        <v>-33</v>
      </c>
      <c r="CY45" s="134">
        <v>-39</v>
      </c>
      <c r="CZ45" s="79">
        <v>-45</v>
      </c>
      <c r="DA45" s="79">
        <v>-51</v>
      </c>
      <c r="DB45" s="79">
        <v>-60</v>
      </c>
      <c r="DC45" s="79">
        <v>-72</v>
      </c>
      <c r="DD45" s="79">
        <v>-85</v>
      </c>
      <c r="DE45" s="79">
        <v>-106</v>
      </c>
      <c r="DF45" s="163" t="s">
        <v>180</v>
      </c>
    </row>
    <row r="46" spans="2:114">
      <c r="AO46" s="137">
        <v>65</v>
      </c>
      <c r="AP46" s="137">
        <v>80</v>
      </c>
      <c r="AQ46">
        <v>-274</v>
      </c>
      <c r="AR46">
        <v>-224</v>
      </c>
      <c r="AS46">
        <v>-146</v>
      </c>
      <c r="AT46">
        <v>-174</v>
      </c>
      <c r="AU46">
        <v>-90</v>
      </c>
      <c r="AV46">
        <v>-106</v>
      </c>
      <c r="AW46" s="147">
        <v>-134</v>
      </c>
      <c r="AX46" s="134">
        <v>-49</v>
      </c>
      <c r="AY46" s="134">
        <v>-60</v>
      </c>
      <c r="AZ46" s="134">
        <v>-76</v>
      </c>
      <c r="BA46" s="134">
        <v>-23</v>
      </c>
      <c r="BB46" s="134">
        <v>-29</v>
      </c>
      <c r="BC46" s="134">
        <v>-13</v>
      </c>
      <c r="BD46" s="134">
        <v>-19</v>
      </c>
      <c r="BE46" s="134">
        <v>-30</v>
      </c>
      <c r="BF46" s="134">
        <v>-46</v>
      </c>
      <c r="BG46" s="134">
        <v>-74</v>
      </c>
      <c r="BH46" s="134">
        <v>-6.5</v>
      </c>
      <c r="BI46" s="134">
        <v>-9.5</v>
      </c>
      <c r="BJ46" s="134">
        <v>-15</v>
      </c>
      <c r="BK46" s="134">
        <v>2</v>
      </c>
      <c r="BL46" s="134">
        <v>2</v>
      </c>
      <c r="BM46" s="157">
        <v>11</v>
      </c>
      <c r="BN46" s="134">
        <v>11</v>
      </c>
      <c r="BO46" s="134">
        <v>20</v>
      </c>
      <c r="BP46" s="134">
        <v>32</v>
      </c>
      <c r="BQ46" s="79">
        <v>43</v>
      </c>
      <c r="BR46" s="79">
        <v>59</v>
      </c>
      <c r="BS46" s="79">
        <v>75</v>
      </c>
      <c r="BT46" s="79">
        <v>102</v>
      </c>
      <c r="BU46" s="164" t="s">
        <v>131</v>
      </c>
      <c r="BW46" s="137">
        <v>65</v>
      </c>
      <c r="BX46" s="137">
        <v>80</v>
      </c>
      <c r="BY46" s="79">
        <v>200</v>
      </c>
      <c r="BZ46" s="79">
        <v>150</v>
      </c>
      <c r="CA46" s="79">
        <v>150</v>
      </c>
      <c r="CB46" s="79">
        <v>100</v>
      </c>
      <c r="CC46" s="79">
        <v>100</v>
      </c>
      <c r="CD46" s="79">
        <v>100</v>
      </c>
      <c r="CE46" s="79">
        <v>60</v>
      </c>
      <c r="CF46" s="79">
        <v>60</v>
      </c>
      <c r="CG46" s="134">
        <v>60</v>
      </c>
      <c r="CH46" s="134">
        <v>30</v>
      </c>
      <c r="CI46" s="134">
        <v>30</v>
      </c>
      <c r="CJ46" s="134">
        <v>30</v>
      </c>
      <c r="CK46" s="134">
        <v>10</v>
      </c>
      <c r="CL46" s="134">
        <v>10</v>
      </c>
      <c r="CM46" s="134">
        <v>0</v>
      </c>
      <c r="CN46" s="134">
        <v>0</v>
      </c>
      <c r="CO46" s="134">
        <v>0</v>
      </c>
      <c r="CP46" s="134">
        <v>0</v>
      </c>
      <c r="CQ46" s="134">
        <v>0</v>
      </c>
      <c r="CR46" s="134">
        <v>-9.5</v>
      </c>
      <c r="CS46" s="134">
        <v>-15</v>
      </c>
      <c r="CT46" s="134">
        <v>-15</v>
      </c>
      <c r="CU46" s="134">
        <v>-21</v>
      </c>
      <c r="CV46" s="134">
        <v>-24</v>
      </c>
      <c r="CW46" s="134">
        <v>-30</v>
      </c>
      <c r="CX46" s="134">
        <v>-33</v>
      </c>
      <c r="CY46" s="134">
        <v>-39</v>
      </c>
      <c r="CZ46" s="79">
        <v>-45</v>
      </c>
      <c r="DA46" s="79">
        <v>-51</v>
      </c>
      <c r="DB46" s="79">
        <v>-62</v>
      </c>
      <c r="DC46" s="79">
        <v>-78</v>
      </c>
      <c r="DD46" s="79">
        <v>-94</v>
      </c>
      <c r="DE46" s="79">
        <v>-121</v>
      </c>
      <c r="DF46" s="163" t="s">
        <v>180</v>
      </c>
    </row>
    <row r="47" spans="2:114">
      <c r="AO47" s="137">
        <v>80</v>
      </c>
      <c r="AP47" s="137">
        <v>100</v>
      </c>
      <c r="AQ47">
        <v>-307</v>
      </c>
      <c r="AR47">
        <v>-257</v>
      </c>
      <c r="AS47">
        <v>-174</v>
      </c>
      <c r="AT47">
        <v>-207</v>
      </c>
      <c r="AU47">
        <v>-107</v>
      </c>
      <c r="AV47">
        <v>-107</v>
      </c>
      <c r="AW47" s="147">
        <v>-159</v>
      </c>
      <c r="AX47" s="134">
        <v>-58</v>
      </c>
      <c r="AY47" s="134">
        <v>-71</v>
      </c>
      <c r="AZ47" s="134">
        <v>-90</v>
      </c>
      <c r="BA47" s="134">
        <v>-27</v>
      </c>
      <c r="BB47" s="134">
        <v>-34</v>
      </c>
      <c r="BC47" s="134">
        <v>-15</v>
      </c>
      <c r="BD47" s="134">
        <v>-22</v>
      </c>
      <c r="BE47" s="134">
        <v>-35</v>
      </c>
      <c r="BF47" s="134">
        <v>-54</v>
      </c>
      <c r="BG47" s="134">
        <v>-87</v>
      </c>
      <c r="BH47" s="134">
        <v>-7.5</v>
      </c>
      <c r="BI47" s="134">
        <v>-11</v>
      </c>
      <c r="BJ47" s="134">
        <v>-17</v>
      </c>
      <c r="BK47" s="134">
        <v>3</v>
      </c>
      <c r="BL47" s="134">
        <v>3</v>
      </c>
      <c r="BM47" s="157">
        <v>13</v>
      </c>
      <c r="BN47" s="134">
        <v>13</v>
      </c>
      <c r="BO47" s="134">
        <v>23</v>
      </c>
      <c r="BP47" s="134">
        <v>37</v>
      </c>
      <c r="BQ47" s="79">
        <v>51</v>
      </c>
      <c r="BR47" s="79">
        <v>71</v>
      </c>
      <c r="BS47" s="79">
        <v>91</v>
      </c>
      <c r="BT47" s="79">
        <v>124</v>
      </c>
      <c r="BU47" s="164" t="s">
        <v>131</v>
      </c>
      <c r="BW47" s="137">
        <v>80</v>
      </c>
      <c r="BX47" s="137">
        <v>100</v>
      </c>
      <c r="BY47" s="79">
        <v>220</v>
      </c>
      <c r="BZ47" s="79">
        <v>170</v>
      </c>
      <c r="CA47" s="79">
        <v>170</v>
      </c>
      <c r="CB47" s="79">
        <v>120</v>
      </c>
      <c r="CC47" s="79">
        <v>120</v>
      </c>
      <c r="CD47" s="79">
        <v>120</v>
      </c>
      <c r="CE47" s="79">
        <v>72</v>
      </c>
      <c r="CF47" s="79">
        <v>72</v>
      </c>
      <c r="CG47" s="134">
        <v>72</v>
      </c>
      <c r="CH47" s="134">
        <v>36</v>
      </c>
      <c r="CI47" s="134">
        <v>36</v>
      </c>
      <c r="CJ47" s="134">
        <v>36</v>
      </c>
      <c r="CK47" s="134">
        <v>12</v>
      </c>
      <c r="CL47" s="134">
        <v>12</v>
      </c>
      <c r="CM47" s="134">
        <v>0</v>
      </c>
      <c r="CN47" s="134">
        <v>0</v>
      </c>
      <c r="CO47" s="134">
        <v>0</v>
      </c>
      <c r="CP47" s="134">
        <v>0</v>
      </c>
      <c r="CQ47" s="134">
        <v>0</v>
      </c>
      <c r="CR47" s="134">
        <v>-11</v>
      </c>
      <c r="CS47" s="134">
        <v>-17</v>
      </c>
      <c r="CT47" s="134">
        <v>-18</v>
      </c>
      <c r="CU47" s="134">
        <v>-25</v>
      </c>
      <c r="CV47" s="134">
        <v>-28</v>
      </c>
      <c r="CW47" s="134">
        <v>-35</v>
      </c>
      <c r="CX47" s="134">
        <v>-38</v>
      </c>
      <c r="CY47" s="134">
        <v>-45</v>
      </c>
      <c r="CZ47" s="79">
        <v>-52</v>
      </c>
      <c r="DA47" s="79">
        <v>-59</v>
      </c>
      <c r="DB47" s="79">
        <v>-73</v>
      </c>
      <c r="DC47" s="79">
        <v>-93</v>
      </c>
      <c r="DD47" s="79">
        <v>-113</v>
      </c>
      <c r="DE47" s="79">
        <v>-146</v>
      </c>
      <c r="DF47" s="163" t="s">
        <v>180</v>
      </c>
    </row>
    <row r="48" spans="2:114">
      <c r="AO48" s="137">
        <v>100</v>
      </c>
      <c r="AP48" s="137">
        <v>120</v>
      </c>
      <c r="AQ48">
        <v>-327</v>
      </c>
      <c r="AR48">
        <v>-267</v>
      </c>
      <c r="AS48">
        <v>-174</v>
      </c>
      <c r="AT48">
        <v>-207</v>
      </c>
      <c r="AU48">
        <v>-107</v>
      </c>
      <c r="AV48">
        <v>-107</v>
      </c>
      <c r="AW48" s="147">
        <v>-159</v>
      </c>
      <c r="AX48" s="134">
        <v>-58</v>
      </c>
      <c r="AY48" s="134">
        <v>-71</v>
      </c>
      <c r="AZ48" s="134">
        <v>-90</v>
      </c>
      <c r="BA48" s="134">
        <v>-27</v>
      </c>
      <c r="BB48" s="134">
        <v>-34</v>
      </c>
      <c r="BC48" s="134">
        <v>-15</v>
      </c>
      <c r="BD48" s="134">
        <v>-22</v>
      </c>
      <c r="BE48" s="134">
        <v>-35</v>
      </c>
      <c r="BF48" s="134">
        <v>-54</v>
      </c>
      <c r="BG48" s="134">
        <v>-87</v>
      </c>
      <c r="BH48" s="134">
        <v>-7.5</v>
      </c>
      <c r="BI48" s="134">
        <v>-11</v>
      </c>
      <c r="BJ48" s="134">
        <v>-17</v>
      </c>
      <c r="BK48" s="134">
        <v>3</v>
      </c>
      <c r="BL48" s="134">
        <v>3</v>
      </c>
      <c r="BM48" s="157">
        <v>13</v>
      </c>
      <c r="BN48" s="134">
        <v>13</v>
      </c>
      <c r="BO48" s="134">
        <v>23</v>
      </c>
      <c r="BP48" s="134">
        <v>37</v>
      </c>
      <c r="BQ48" s="79">
        <v>54</v>
      </c>
      <c r="BR48" s="79">
        <v>79</v>
      </c>
      <c r="BS48" s="79">
        <v>104</v>
      </c>
      <c r="BT48" s="79">
        <v>144</v>
      </c>
      <c r="BU48" s="164" t="s">
        <v>131</v>
      </c>
      <c r="BW48" s="137">
        <v>100</v>
      </c>
      <c r="BX48" s="137">
        <v>120</v>
      </c>
      <c r="BY48" s="79">
        <v>240</v>
      </c>
      <c r="BZ48" s="79">
        <v>180</v>
      </c>
      <c r="CA48" s="79">
        <v>180</v>
      </c>
      <c r="CB48" s="79">
        <v>120</v>
      </c>
      <c r="CC48" s="79">
        <v>120</v>
      </c>
      <c r="CD48" s="79">
        <v>120</v>
      </c>
      <c r="CE48" s="79">
        <v>72</v>
      </c>
      <c r="CF48" s="79">
        <v>72</v>
      </c>
      <c r="CG48" s="134">
        <v>72</v>
      </c>
      <c r="CH48" s="134">
        <v>36</v>
      </c>
      <c r="CI48" s="134">
        <v>36</v>
      </c>
      <c r="CJ48" s="134">
        <v>36</v>
      </c>
      <c r="CK48" s="134">
        <v>12</v>
      </c>
      <c r="CL48" s="134">
        <v>12</v>
      </c>
      <c r="CM48" s="134">
        <v>0</v>
      </c>
      <c r="CN48" s="134">
        <v>0</v>
      </c>
      <c r="CO48" s="134">
        <v>0</v>
      </c>
      <c r="CP48" s="134">
        <v>0</v>
      </c>
      <c r="CQ48" s="134">
        <v>0</v>
      </c>
      <c r="CR48" s="134">
        <v>-11</v>
      </c>
      <c r="CS48" s="134">
        <v>-17</v>
      </c>
      <c r="CT48" s="134">
        <v>-18</v>
      </c>
      <c r="CU48" s="134">
        <v>-25</v>
      </c>
      <c r="CV48" s="134">
        <v>-28</v>
      </c>
      <c r="CW48" s="134">
        <v>-35</v>
      </c>
      <c r="CX48" s="134">
        <v>-38</v>
      </c>
      <c r="CY48" s="134">
        <v>-45</v>
      </c>
      <c r="CZ48" s="79">
        <v>-52</v>
      </c>
      <c r="DA48" s="79">
        <v>-59</v>
      </c>
      <c r="DB48" s="79">
        <v>-76</v>
      </c>
      <c r="DC48" s="79">
        <v>-101</v>
      </c>
      <c r="DD48" s="79">
        <v>-126</v>
      </c>
      <c r="DE48" s="79">
        <v>-166</v>
      </c>
      <c r="DF48" s="163" t="s">
        <v>180</v>
      </c>
    </row>
    <row r="49" spans="41:110">
      <c r="AO49" s="137">
        <v>120</v>
      </c>
      <c r="AP49" s="137">
        <v>140</v>
      </c>
      <c r="AQ49">
        <v>-360</v>
      </c>
      <c r="AR49">
        <v>-300</v>
      </c>
      <c r="AS49">
        <v>-208</v>
      </c>
      <c r="AT49">
        <v>-245</v>
      </c>
      <c r="AU49">
        <v>-125</v>
      </c>
      <c r="AV49">
        <v>-148</v>
      </c>
      <c r="AW49" s="147">
        <v>-185</v>
      </c>
      <c r="AX49" s="134">
        <v>-68</v>
      </c>
      <c r="AY49" s="134">
        <v>-83</v>
      </c>
      <c r="AZ49" s="134">
        <v>-106</v>
      </c>
      <c r="BA49" s="134">
        <v>-32</v>
      </c>
      <c r="BB49" s="134">
        <v>-39</v>
      </c>
      <c r="BC49" s="134">
        <v>-18</v>
      </c>
      <c r="BD49" s="134">
        <v>-25</v>
      </c>
      <c r="BE49" s="134">
        <v>-40</v>
      </c>
      <c r="BF49" s="134">
        <v>-63</v>
      </c>
      <c r="BG49" s="134">
        <v>-100</v>
      </c>
      <c r="BH49" s="134">
        <v>-9</v>
      </c>
      <c r="BI49" s="134">
        <v>-12.5</v>
      </c>
      <c r="BJ49" s="134">
        <v>-20</v>
      </c>
      <c r="BK49" s="134">
        <v>3</v>
      </c>
      <c r="BL49" s="134">
        <v>3</v>
      </c>
      <c r="BM49" s="157">
        <v>15</v>
      </c>
      <c r="BN49" s="134">
        <v>15</v>
      </c>
      <c r="BO49" s="134">
        <v>27</v>
      </c>
      <c r="BP49" s="134">
        <v>43</v>
      </c>
      <c r="BQ49" s="79">
        <v>63</v>
      </c>
      <c r="BR49" s="79">
        <v>92</v>
      </c>
      <c r="BS49" s="79">
        <v>122</v>
      </c>
      <c r="BT49" s="164" t="s">
        <v>131</v>
      </c>
      <c r="BU49" s="164" t="s">
        <v>131</v>
      </c>
      <c r="BW49" s="137">
        <v>120</v>
      </c>
      <c r="BX49" s="137">
        <v>140</v>
      </c>
      <c r="BY49" s="79">
        <v>260</v>
      </c>
      <c r="BZ49" s="79">
        <v>200</v>
      </c>
      <c r="CA49" s="79">
        <v>200</v>
      </c>
      <c r="CB49" s="79">
        <v>145</v>
      </c>
      <c r="CC49" s="79">
        <v>145</v>
      </c>
      <c r="CD49" s="79">
        <v>145</v>
      </c>
      <c r="CE49" s="79">
        <v>85</v>
      </c>
      <c r="CF49" s="79">
        <v>85</v>
      </c>
      <c r="CG49" s="134">
        <v>85</v>
      </c>
      <c r="CH49" s="134">
        <v>43</v>
      </c>
      <c r="CI49" s="134">
        <v>43</v>
      </c>
      <c r="CJ49" s="134">
        <v>43</v>
      </c>
      <c r="CK49" s="134">
        <v>14</v>
      </c>
      <c r="CL49" s="134">
        <v>14</v>
      </c>
      <c r="CM49" s="134">
        <v>0</v>
      </c>
      <c r="CN49" s="134">
        <v>0</v>
      </c>
      <c r="CO49" s="134">
        <v>0</v>
      </c>
      <c r="CP49" s="134">
        <v>0</v>
      </c>
      <c r="CQ49" s="134">
        <v>0</v>
      </c>
      <c r="CR49" s="134">
        <v>-12.5</v>
      </c>
      <c r="CS49" s="134">
        <v>-20</v>
      </c>
      <c r="CT49" s="134">
        <v>-21</v>
      </c>
      <c r="CU49" s="134">
        <v>-28</v>
      </c>
      <c r="CV49" s="134">
        <v>-33</v>
      </c>
      <c r="CW49" s="134">
        <v>-40</v>
      </c>
      <c r="CX49" s="134">
        <v>-45</v>
      </c>
      <c r="CY49" s="134">
        <v>-52</v>
      </c>
      <c r="CZ49" s="79">
        <v>-61</v>
      </c>
      <c r="DA49" s="79">
        <v>-68</v>
      </c>
      <c r="DB49" s="79">
        <v>-88</v>
      </c>
      <c r="DC49" s="79">
        <v>-117</v>
      </c>
      <c r="DD49" s="79">
        <v>-147</v>
      </c>
      <c r="DE49" s="163" t="s">
        <v>180</v>
      </c>
      <c r="DF49" s="163" t="s">
        <v>180</v>
      </c>
    </row>
    <row r="50" spans="41:110">
      <c r="AO50" s="151">
        <v>140</v>
      </c>
      <c r="AP50" s="151">
        <v>160</v>
      </c>
      <c r="AQ50">
        <v>-380</v>
      </c>
      <c r="AR50">
        <v>-310</v>
      </c>
      <c r="AS50">
        <v>-208</v>
      </c>
      <c r="AT50">
        <v>-245</v>
      </c>
      <c r="AU50">
        <v>-125</v>
      </c>
      <c r="AV50">
        <v>-148</v>
      </c>
      <c r="AW50" s="147">
        <v>-185</v>
      </c>
      <c r="AX50" s="134">
        <v>-68</v>
      </c>
      <c r="AY50" s="134">
        <v>-83</v>
      </c>
      <c r="AZ50" s="134">
        <v>-106</v>
      </c>
      <c r="BA50" s="134">
        <v>-32</v>
      </c>
      <c r="BB50" s="134">
        <v>-39</v>
      </c>
      <c r="BC50" s="134">
        <v>-18</v>
      </c>
      <c r="BD50" s="134">
        <v>-25</v>
      </c>
      <c r="BE50" s="134">
        <v>-40</v>
      </c>
      <c r="BF50" s="134">
        <v>-63</v>
      </c>
      <c r="BG50" s="134">
        <v>-100</v>
      </c>
      <c r="BH50" s="134">
        <v>-9</v>
      </c>
      <c r="BI50" s="134">
        <v>-12.5</v>
      </c>
      <c r="BJ50" s="134">
        <v>-20</v>
      </c>
      <c r="BK50" s="134">
        <v>3</v>
      </c>
      <c r="BL50" s="134">
        <v>3</v>
      </c>
      <c r="BM50" s="157">
        <v>15</v>
      </c>
      <c r="BN50" s="134">
        <v>15</v>
      </c>
      <c r="BO50" s="134">
        <v>27</v>
      </c>
      <c r="BP50" s="134">
        <v>43</v>
      </c>
      <c r="BQ50" s="79">
        <v>65</v>
      </c>
      <c r="BR50" s="79">
        <v>100</v>
      </c>
      <c r="BS50" s="79">
        <v>134</v>
      </c>
      <c r="BT50" s="164" t="s">
        <v>131</v>
      </c>
      <c r="BU50" s="164" t="s">
        <v>131</v>
      </c>
      <c r="BW50" s="151">
        <v>140</v>
      </c>
      <c r="BX50" s="151">
        <v>160</v>
      </c>
      <c r="BY50" s="79">
        <v>280</v>
      </c>
      <c r="BZ50" s="79">
        <v>210</v>
      </c>
      <c r="CA50" s="79">
        <v>210</v>
      </c>
      <c r="CB50" s="79">
        <v>145</v>
      </c>
      <c r="CC50" s="79">
        <v>145</v>
      </c>
      <c r="CD50" s="79">
        <v>145</v>
      </c>
      <c r="CE50" s="79">
        <v>85</v>
      </c>
      <c r="CF50" s="79">
        <v>85</v>
      </c>
      <c r="CG50" s="134">
        <v>85</v>
      </c>
      <c r="CH50" s="134">
        <v>43</v>
      </c>
      <c r="CI50" s="134">
        <v>43</v>
      </c>
      <c r="CJ50" s="134">
        <v>43</v>
      </c>
      <c r="CK50" s="134">
        <v>14</v>
      </c>
      <c r="CL50" s="134">
        <v>14</v>
      </c>
      <c r="CM50" s="134">
        <v>0</v>
      </c>
      <c r="CN50" s="134">
        <v>0</v>
      </c>
      <c r="CO50" s="134">
        <v>0</v>
      </c>
      <c r="CP50" s="134">
        <v>0</v>
      </c>
      <c r="CQ50" s="134">
        <v>0</v>
      </c>
      <c r="CR50" s="134">
        <v>-12.5</v>
      </c>
      <c r="CS50" s="134">
        <v>-20</v>
      </c>
      <c r="CT50" s="134">
        <v>-21</v>
      </c>
      <c r="CU50" s="134">
        <v>-28</v>
      </c>
      <c r="CV50" s="134">
        <v>-33</v>
      </c>
      <c r="CW50" s="134">
        <v>-40</v>
      </c>
      <c r="CX50" s="134">
        <v>-45</v>
      </c>
      <c r="CY50" s="134">
        <v>-52</v>
      </c>
      <c r="CZ50" s="79">
        <v>-61</v>
      </c>
      <c r="DA50" s="79">
        <v>-68</v>
      </c>
      <c r="DB50" s="79">
        <v>-90</v>
      </c>
      <c r="DC50" s="79">
        <v>-125</v>
      </c>
      <c r="DD50" s="79">
        <v>-159</v>
      </c>
      <c r="DE50" s="163" t="s">
        <v>180</v>
      </c>
      <c r="DF50" s="163" t="s">
        <v>180</v>
      </c>
    </row>
    <row r="51" spans="41:110">
      <c r="AO51" s="137">
        <v>160</v>
      </c>
      <c r="AP51" s="137">
        <v>180</v>
      </c>
      <c r="AQ51">
        <v>-410</v>
      </c>
      <c r="AR51">
        <v>-330</v>
      </c>
      <c r="AS51">
        <v>-208</v>
      </c>
      <c r="AT51">
        <v>-245</v>
      </c>
      <c r="AU51">
        <v>-125</v>
      </c>
      <c r="AV51">
        <v>-148</v>
      </c>
      <c r="AW51" s="147">
        <v>-185</v>
      </c>
      <c r="AX51" s="134">
        <v>-68</v>
      </c>
      <c r="AY51" s="134">
        <v>-83</v>
      </c>
      <c r="AZ51" s="134">
        <v>-106</v>
      </c>
      <c r="BA51" s="134">
        <v>-32</v>
      </c>
      <c r="BB51" s="134">
        <v>-39</v>
      </c>
      <c r="BC51" s="134">
        <v>-18</v>
      </c>
      <c r="BD51" s="134">
        <v>-25</v>
      </c>
      <c r="BE51" s="134">
        <v>-40</v>
      </c>
      <c r="BF51" s="134">
        <v>-63</v>
      </c>
      <c r="BG51" s="134">
        <v>-100</v>
      </c>
      <c r="BH51" s="134">
        <v>-9</v>
      </c>
      <c r="BI51" s="134">
        <v>-12.5</v>
      </c>
      <c r="BJ51" s="134">
        <v>-20</v>
      </c>
      <c r="BK51" s="134">
        <v>3</v>
      </c>
      <c r="BL51" s="134">
        <v>3</v>
      </c>
      <c r="BM51" s="157">
        <v>15</v>
      </c>
      <c r="BN51" s="134">
        <v>15</v>
      </c>
      <c r="BO51" s="134">
        <v>27</v>
      </c>
      <c r="BP51" s="134">
        <v>43</v>
      </c>
      <c r="BQ51" s="79">
        <v>68</v>
      </c>
      <c r="BR51" s="79">
        <v>108</v>
      </c>
      <c r="BS51" s="79">
        <v>146</v>
      </c>
      <c r="BT51" s="164" t="s">
        <v>131</v>
      </c>
      <c r="BU51" s="164" t="s">
        <v>131</v>
      </c>
      <c r="BW51" s="137">
        <v>160</v>
      </c>
      <c r="BX51" s="137">
        <v>180</v>
      </c>
      <c r="BY51" s="79">
        <v>310</v>
      </c>
      <c r="BZ51" s="79">
        <v>230</v>
      </c>
      <c r="CA51" s="79">
        <v>230</v>
      </c>
      <c r="CB51" s="79">
        <v>145</v>
      </c>
      <c r="CC51" s="79">
        <v>145</v>
      </c>
      <c r="CD51" s="79">
        <v>145</v>
      </c>
      <c r="CE51" s="79">
        <v>85</v>
      </c>
      <c r="CF51" s="79">
        <v>85</v>
      </c>
      <c r="CG51" s="134">
        <v>85</v>
      </c>
      <c r="CH51" s="134">
        <v>43</v>
      </c>
      <c r="CI51" s="134">
        <v>43</v>
      </c>
      <c r="CJ51" s="134">
        <v>43</v>
      </c>
      <c r="CK51" s="134">
        <v>14</v>
      </c>
      <c r="CL51" s="134">
        <v>14</v>
      </c>
      <c r="CM51" s="134">
        <v>0</v>
      </c>
      <c r="CN51" s="134">
        <v>0</v>
      </c>
      <c r="CO51" s="134">
        <v>0</v>
      </c>
      <c r="CP51" s="134">
        <v>0</v>
      </c>
      <c r="CQ51" s="134">
        <v>0</v>
      </c>
      <c r="CR51" s="134">
        <v>-12.5</v>
      </c>
      <c r="CS51" s="134">
        <v>-20</v>
      </c>
      <c r="CT51" s="134">
        <v>-21</v>
      </c>
      <c r="CU51" s="134">
        <v>-28</v>
      </c>
      <c r="CV51" s="134">
        <v>-33</v>
      </c>
      <c r="CW51" s="134">
        <v>-40</v>
      </c>
      <c r="CX51" s="134">
        <v>-45</v>
      </c>
      <c r="CY51" s="134">
        <v>-52</v>
      </c>
      <c r="CZ51" s="79">
        <v>-61</v>
      </c>
      <c r="DA51" s="79">
        <v>-68</v>
      </c>
      <c r="DB51" s="79">
        <v>-93</v>
      </c>
      <c r="DC51" s="79">
        <v>-133</v>
      </c>
      <c r="DD51" s="79">
        <v>-171</v>
      </c>
      <c r="DE51" s="163" t="s">
        <v>180</v>
      </c>
      <c r="DF51" s="163" t="s">
        <v>180</v>
      </c>
    </row>
    <row r="52" spans="41:110">
      <c r="AO52" s="137">
        <v>180</v>
      </c>
      <c r="AP52" s="137">
        <v>200</v>
      </c>
      <c r="AQ52">
        <v>-455</v>
      </c>
      <c r="AR52">
        <v>-355</v>
      </c>
      <c r="AS52">
        <v>-242</v>
      </c>
      <c r="AT52">
        <v>-285</v>
      </c>
      <c r="AU52">
        <v>-146</v>
      </c>
      <c r="AV52">
        <v>-172</v>
      </c>
      <c r="AW52" s="147">
        <v>-215</v>
      </c>
      <c r="AX52" s="134">
        <v>-79</v>
      </c>
      <c r="AY52" s="134">
        <v>-96</v>
      </c>
      <c r="AZ52" s="134">
        <v>-122</v>
      </c>
      <c r="BA52" s="134">
        <v>-35</v>
      </c>
      <c r="BB52" s="134">
        <v>-44</v>
      </c>
      <c r="BC52" s="134">
        <v>-20</v>
      </c>
      <c r="BD52" s="134">
        <v>-29</v>
      </c>
      <c r="BE52" s="134">
        <v>-46</v>
      </c>
      <c r="BF52" s="134">
        <v>-72</v>
      </c>
      <c r="BG52" s="134">
        <v>-115</v>
      </c>
      <c r="BH52" s="134">
        <v>-10</v>
      </c>
      <c r="BI52" s="134">
        <v>-14.5</v>
      </c>
      <c r="BJ52" s="134">
        <v>-23</v>
      </c>
      <c r="BK52" s="134">
        <v>4</v>
      </c>
      <c r="BL52" s="134">
        <v>4</v>
      </c>
      <c r="BM52" s="157">
        <v>17</v>
      </c>
      <c r="BN52" s="134">
        <v>17</v>
      </c>
      <c r="BO52" s="134">
        <v>31</v>
      </c>
      <c r="BP52" s="134">
        <v>50</v>
      </c>
      <c r="BQ52" s="79">
        <v>77</v>
      </c>
      <c r="BR52" s="79">
        <v>122</v>
      </c>
      <c r="BS52" s="164" t="s">
        <v>131</v>
      </c>
      <c r="BT52" s="164" t="s">
        <v>131</v>
      </c>
      <c r="BU52" s="164" t="s">
        <v>131</v>
      </c>
      <c r="BW52" s="137">
        <v>180</v>
      </c>
      <c r="BX52" s="137">
        <v>200</v>
      </c>
      <c r="BY52" s="79">
        <v>340</v>
      </c>
      <c r="BZ52" s="79">
        <v>240</v>
      </c>
      <c r="CA52" s="79">
        <v>240</v>
      </c>
      <c r="CB52" s="79">
        <v>170</v>
      </c>
      <c r="CC52" s="79">
        <v>170</v>
      </c>
      <c r="CD52" s="79">
        <v>170</v>
      </c>
      <c r="CE52" s="79">
        <v>100</v>
      </c>
      <c r="CF52" s="79">
        <v>100</v>
      </c>
      <c r="CG52" s="134">
        <v>100</v>
      </c>
      <c r="CH52" s="134">
        <v>50</v>
      </c>
      <c r="CI52" s="134">
        <v>50</v>
      </c>
      <c r="CJ52" s="134">
        <v>50</v>
      </c>
      <c r="CK52" s="134">
        <v>15</v>
      </c>
      <c r="CL52" s="134">
        <v>15</v>
      </c>
      <c r="CM52" s="134">
        <v>0</v>
      </c>
      <c r="CN52" s="134">
        <v>0</v>
      </c>
      <c r="CO52" s="134">
        <v>0</v>
      </c>
      <c r="CP52" s="134">
        <v>0</v>
      </c>
      <c r="CQ52" s="134">
        <v>0</v>
      </c>
      <c r="CR52" s="134">
        <v>-14.5</v>
      </c>
      <c r="CS52" s="134">
        <v>-23</v>
      </c>
      <c r="CT52" s="134">
        <v>-24</v>
      </c>
      <c r="CU52" s="134">
        <v>-33</v>
      </c>
      <c r="CV52" s="134">
        <v>-37</v>
      </c>
      <c r="CW52" s="134">
        <v>-46</v>
      </c>
      <c r="CX52" s="134">
        <v>-51</v>
      </c>
      <c r="CY52" s="134">
        <v>-60</v>
      </c>
      <c r="CZ52" s="79">
        <v>-70</v>
      </c>
      <c r="DA52" s="79">
        <v>-79</v>
      </c>
      <c r="DB52" s="79">
        <v>-106</v>
      </c>
      <c r="DC52" s="79">
        <v>-151</v>
      </c>
      <c r="DD52" s="163" t="s">
        <v>180</v>
      </c>
      <c r="DE52" s="163" t="s">
        <v>180</v>
      </c>
      <c r="DF52" s="163" t="s">
        <v>180</v>
      </c>
    </row>
    <row r="53" spans="41:110">
      <c r="AO53" s="137">
        <v>200</v>
      </c>
      <c r="AP53" s="137">
        <v>225</v>
      </c>
      <c r="AQ53">
        <v>-495</v>
      </c>
      <c r="AR53">
        <v>-375</v>
      </c>
      <c r="AS53">
        <v>-242</v>
      </c>
      <c r="AT53">
        <v>-285</v>
      </c>
      <c r="AU53">
        <v>-146</v>
      </c>
      <c r="AV53">
        <v>-172</v>
      </c>
      <c r="AW53" s="147">
        <v>-215</v>
      </c>
      <c r="AX53" s="134">
        <v>-79</v>
      </c>
      <c r="AY53" s="134">
        <v>-96</v>
      </c>
      <c r="AZ53" s="134">
        <v>-122</v>
      </c>
      <c r="BA53" s="134">
        <v>-35</v>
      </c>
      <c r="BB53" s="134">
        <v>-44</v>
      </c>
      <c r="BC53" s="134">
        <v>-20</v>
      </c>
      <c r="BD53" s="134">
        <v>-29</v>
      </c>
      <c r="BE53" s="134">
        <v>-46</v>
      </c>
      <c r="BF53" s="134">
        <v>-72</v>
      </c>
      <c r="BG53" s="134">
        <v>-115</v>
      </c>
      <c r="BH53" s="134">
        <v>-10</v>
      </c>
      <c r="BI53" s="134">
        <v>-14.5</v>
      </c>
      <c r="BJ53" s="134">
        <v>-23</v>
      </c>
      <c r="BK53" s="134">
        <v>4</v>
      </c>
      <c r="BL53" s="134">
        <v>4</v>
      </c>
      <c r="BM53" s="157">
        <v>17</v>
      </c>
      <c r="BN53" s="134">
        <v>17</v>
      </c>
      <c r="BO53" s="134">
        <v>31</v>
      </c>
      <c r="BP53" s="134">
        <v>50</v>
      </c>
      <c r="BQ53" s="79">
        <v>80</v>
      </c>
      <c r="BR53" s="79">
        <v>130</v>
      </c>
      <c r="BS53" s="164" t="s">
        <v>131</v>
      </c>
      <c r="BT53" s="164" t="s">
        <v>131</v>
      </c>
      <c r="BU53" s="164" t="s">
        <v>131</v>
      </c>
      <c r="BW53" s="137">
        <v>200</v>
      </c>
      <c r="BX53" s="137">
        <v>225</v>
      </c>
      <c r="BY53" s="79">
        <v>380</v>
      </c>
      <c r="BZ53" s="79">
        <v>260</v>
      </c>
      <c r="CA53" s="79">
        <v>260</v>
      </c>
      <c r="CB53" s="79">
        <v>170</v>
      </c>
      <c r="CC53" s="79">
        <v>170</v>
      </c>
      <c r="CD53" s="79">
        <v>170</v>
      </c>
      <c r="CE53" s="79">
        <v>100</v>
      </c>
      <c r="CF53" s="79">
        <v>100</v>
      </c>
      <c r="CG53" s="134">
        <v>100</v>
      </c>
      <c r="CH53" s="134">
        <v>50</v>
      </c>
      <c r="CI53" s="134">
        <v>50</v>
      </c>
      <c r="CJ53" s="134">
        <v>50</v>
      </c>
      <c r="CK53" s="134">
        <v>15</v>
      </c>
      <c r="CL53" s="134">
        <v>15</v>
      </c>
      <c r="CM53" s="134">
        <v>0</v>
      </c>
      <c r="CN53" s="134">
        <v>0</v>
      </c>
      <c r="CO53" s="134">
        <v>0</v>
      </c>
      <c r="CP53" s="134">
        <v>0</v>
      </c>
      <c r="CQ53" s="134">
        <v>0</v>
      </c>
      <c r="CR53" s="134">
        <v>-14.5</v>
      </c>
      <c r="CS53" s="134">
        <v>-23</v>
      </c>
      <c r="CT53" s="134">
        <v>-24</v>
      </c>
      <c r="CU53" s="134">
        <v>-33</v>
      </c>
      <c r="CV53" s="134">
        <v>-37</v>
      </c>
      <c r="CW53" s="134">
        <v>-46</v>
      </c>
      <c r="CX53" s="134">
        <v>-51</v>
      </c>
      <c r="CY53" s="134">
        <v>-60</v>
      </c>
      <c r="CZ53" s="79">
        <v>-70</v>
      </c>
      <c r="DA53" s="79">
        <v>-79</v>
      </c>
      <c r="DB53" s="79">
        <v>-109</v>
      </c>
      <c r="DC53" s="79">
        <v>-159</v>
      </c>
      <c r="DD53" s="163" t="s">
        <v>180</v>
      </c>
      <c r="DE53" s="163" t="s">
        <v>180</v>
      </c>
      <c r="DF53" s="163" t="s">
        <v>180</v>
      </c>
    </row>
    <row r="54" spans="41:110">
      <c r="AO54" s="137">
        <v>225</v>
      </c>
      <c r="AP54" s="137">
        <v>250</v>
      </c>
      <c r="AQ54">
        <v>-535</v>
      </c>
      <c r="AR54">
        <v>-395</v>
      </c>
      <c r="AS54">
        <v>-242</v>
      </c>
      <c r="AT54">
        <v>-285</v>
      </c>
      <c r="AU54">
        <v>-146</v>
      </c>
      <c r="AV54">
        <v>-172</v>
      </c>
      <c r="AW54" s="147">
        <v>-215</v>
      </c>
      <c r="AX54" s="134">
        <v>-79</v>
      </c>
      <c r="AY54" s="134">
        <v>-96</v>
      </c>
      <c r="AZ54" s="134">
        <v>-122</v>
      </c>
      <c r="BA54" s="134">
        <v>-35</v>
      </c>
      <c r="BB54" s="134">
        <v>-44</v>
      </c>
      <c r="BC54" s="134">
        <v>-20</v>
      </c>
      <c r="BD54" s="134">
        <v>-29</v>
      </c>
      <c r="BE54" s="134">
        <v>-46</v>
      </c>
      <c r="BF54" s="134">
        <v>-72</v>
      </c>
      <c r="BG54" s="134">
        <v>-115</v>
      </c>
      <c r="BH54" s="134">
        <v>-10</v>
      </c>
      <c r="BI54" s="134">
        <v>-14.5</v>
      </c>
      <c r="BJ54" s="134">
        <v>-23</v>
      </c>
      <c r="BK54" s="134">
        <v>4</v>
      </c>
      <c r="BL54" s="134">
        <v>4</v>
      </c>
      <c r="BM54" s="157">
        <v>17</v>
      </c>
      <c r="BN54" s="134">
        <v>17</v>
      </c>
      <c r="BO54" s="134">
        <v>31</v>
      </c>
      <c r="BP54" s="134">
        <v>50</v>
      </c>
      <c r="BQ54" s="79">
        <v>84</v>
      </c>
      <c r="BR54" s="79">
        <v>140</v>
      </c>
      <c r="BS54" s="164" t="s">
        <v>131</v>
      </c>
      <c r="BT54" s="164" t="s">
        <v>131</v>
      </c>
      <c r="BU54" s="164" t="s">
        <v>131</v>
      </c>
      <c r="BW54" s="137">
        <v>225</v>
      </c>
      <c r="BX54" s="137">
        <v>250</v>
      </c>
      <c r="BY54" s="79">
        <v>420</v>
      </c>
      <c r="BZ54" s="79">
        <v>280</v>
      </c>
      <c r="CA54" s="79">
        <v>280</v>
      </c>
      <c r="CB54" s="79">
        <v>170</v>
      </c>
      <c r="CC54" s="79">
        <v>170</v>
      </c>
      <c r="CD54" s="79">
        <v>170</v>
      </c>
      <c r="CE54" s="79">
        <v>100</v>
      </c>
      <c r="CF54" s="79">
        <v>100</v>
      </c>
      <c r="CG54" s="134">
        <v>100</v>
      </c>
      <c r="CH54" s="134">
        <v>50</v>
      </c>
      <c r="CI54" s="134">
        <v>50</v>
      </c>
      <c r="CJ54" s="134">
        <v>50</v>
      </c>
      <c r="CK54" s="134">
        <v>15</v>
      </c>
      <c r="CL54" s="134">
        <v>15</v>
      </c>
      <c r="CM54" s="134">
        <v>0</v>
      </c>
      <c r="CN54" s="134">
        <v>0</v>
      </c>
      <c r="CO54" s="134">
        <v>0</v>
      </c>
      <c r="CP54" s="134">
        <v>0</v>
      </c>
      <c r="CQ54" s="134">
        <v>0</v>
      </c>
      <c r="CR54" s="134">
        <v>-14.5</v>
      </c>
      <c r="CS54" s="134">
        <v>-23</v>
      </c>
      <c r="CT54" s="134">
        <v>-24</v>
      </c>
      <c r="CU54" s="134">
        <v>-33</v>
      </c>
      <c r="CV54" s="134">
        <v>-37</v>
      </c>
      <c r="CW54" s="134">
        <v>-46</v>
      </c>
      <c r="CX54" s="134">
        <v>-51</v>
      </c>
      <c r="CY54" s="134">
        <v>-60</v>
      </c>
      <c r="CZ54" s="79">
        <v>-70</v>
      </c>
      <c r="DA54" s="79">
        <v>-79</v>
      </c>
      <c r="DB54" s="79">
        <v>-113</v>
      </c>
      <c r="DC54" s="79">
        <v>-169</v>
      </c>
      <c r="DD54" s="163" t="s">
        <v>180</v>
      </c>
      <c r="DE54" s="163" t="s">
        <v>180</v>
      </c>
      <c r="DF54" s="163" t="s">
        <v>180</v>
      </c>
    </row>
    <row r="55" spans="41:110">
      <c r="AO55" s="137">
        <v>250</v>
      </c>
      <c r="AP55" s="137">
        <v>280</v>
      </c>
      <c r="AQ55">
        <v>-610</v>
      </c>
      <c r="AR55">
        <v>-610</v>
      </c>
      <c r="AS55">
        <v>-271</v>
      </c>
      <c r="AT55">
        <v>-320</v>
      </c>
      <c r="AU55">
        <v>-162</v>
      </c>
      <c r="AV55">
        <v>-191</v>
      </c>
      <c r="AW55" s="147">
        <v>-240</v>
      </c>
      <c r="AX55" s="134">
        <v>-88</v>
      </c>
      <c r="AY55" s="134">
        <v>-108</v>
      </c>
      <c r="AZ55" s="134">
        <v>-137</v>
      </c>
      <c r="BA55" s="134">
        <v>-40</v>
      </c>
      <c r="BB55" s="134">
        <v>-49</v>
      </c>
      <c r="BC55" s="134">
        <v>-23</v>
      </c>
      <c r="BD55" s="134">
        <v>-32</v>
      </c>
      <c r="BE55" s="134">
        <v>-52</v>
      </c>
      <c r="BF55" s="134">
        <v>-81</v>
      </c>
      <c r="BG55" s="134">
        <v>-130</v>
      </c>
      <c r="BH55" s="134">
        <v>-11.5</v>
      </c>
      <c r="BI55" s="134">
        <v>-16</v>
      </c>
      <c r="BJ55" s="134">
        <v>-26</v>
      </c>
      <c r="BK55" s="134">
        <v>4</v>
      </c>
      <c r="BL55" s="134">
        <v>4</v>
      </c>
      <c r="BM55" s="157">
        <v>20</v>
      </c>
      <c r="BN55" s="134">
        <v>20</v>
      </c>
      <c r="BO55" s="134">
        <v>34</v>
      </c>
      <c r="BP55" s="134">
        <v>56</v>
      </c>
      <c r="BQ55" s="79">
        <v>94</v>
      </c>
      <c r="BR55" s="164" t="s">
        <v>131</v>
      </c>
      <c r="BS55" s="164" t="s">
        <v>131</v>
      </c>
      <c r="BT55" s="164" t="s">
        <v>131</v>
      </c>
      <c r="BU55" s="164" t="s">
        <v>131</v>
      </c>
      <c r="BW55" s="137">
        <v>250</v>
      </c>
      <c r="BX55" s="137">
        <v>280</v>
      </c>
      <c r="BY55" s="79">
        <v>480</v>
      </c>
      <c r="BZ55" s="79">
        <v>300</v>
      </c>
      <c r="CA55" s="79">
        <v>300</v>
      </c>
      <c r="CB55" s="79">
        <v>190</v>
      </c>
      <c r="CC55" s="79">
        <v>190</v>
      </c>
      <c r="CD55" s="79">
        <v>190</v>
      </c>
      <c r="CE55" s="79">
        <v>110</v>
      </c>
      <c r="CF55" s="79">
        <v>110</v>
      </c>
      <c r="CG55" s="134">
        <v>110</v>
      </c>
      <c r="CH55" s="134">
        <v>56</v>
      </c>
      <c r="CI55" s="134">
        <v>56</v>
      </c>
      <c r="CJ55" s="134">
        <v>56</v>
      </c>
      <c r="CK55" s="134">
        <v>17</v>
      </c>
      <c r="CL55" s="134">
        <v>17</v>
      </c>
      <c r="CM55" s="134">
        <v>0</v>
      </c>
      <c r="CN55" s="134">
        <v>0</v>
      </c>
      <c r="CO55" s="134">
        <v>0</v>
      </c>
      <c r="CP55" s="134">
        <v>0</v>
      </c>
      <c r="CQ55" s="134">
        <v>0</v>
      </c>
      <c r="CR55" s="134">
        <v>-16</v>
      </c>
      <c r="CS55" s="134">
        <v>-26</v>
      </c>
      <c r="CT55" s="134">
        <v>-27</v>
      </c>
      <c r="CU55" s="134">
        <v>-36</v>
      </c>
      <c r="CV55" s="134">
        <v>-41</v>
      </c>
      <c r="CW55" s="134">
        <v>-52</v>
      </c>
      <c r="CX55" s="134">
        <v>-57</v>
      </c>
      <c r="CY55" s="134">
        <v>-66</v>
      </c>
      <c r="CZ55" s="79">
        <v>-79</v>
      </c>
      <c r="DA55" s="79">
        <v>-88</v>
      </c>
      <c r="DB55" s="79">
        <v>-126</v>
      </c>
      <c r="DC55" s="163" t="s">
        <v>180</v>
      </c>
      <c r="DD55" s="163" t="s">
        <v>180</v>
      </c>
      <c r="DE55" s="163" t="s">
        <v>180</v>
      </c>
      <c r="DF55" s="163" t="s">
        <v>180</v>
      </c>
    </row>
    <row r="56" spans="41:110">
      <c r="AO56" s="137">
        <v>280</v>
      </c>
      <c r="AP56" s="137">
        <v>315</v>
      </c>
      <c r="AQ56">
        <v>-670</v>
      </c>
      <c r="AR56">
        <v>-460</v>
      </c>
      <c r="AS56">
        <v>-271</v>
      </c>
      <c r="AT56">
        <v>-320</v>
      </c>
      <c r="AU56">
        <v>-162</v>
      </c>
      <c r="AV56">
        <v>-191</v>
      </c>
      <c r="AW56" s="147">
        <v>-240</v>
      </c>
      <c r="AX56" s="134">
        <v>-88</v>
      </c>
      <c r="AY56" s="134">
        <v>-108</v>
      </c>
      <c r="AZ56" s="134">
        <v>-137</v>
      </c>
      <c r="BA56" s="134">
        <v>-40</v>
      </c>
      <c r="BB56" s="134">
        <v>-49</v>
      </c>
      <c r="BC56" s="134">
        <v>-23</v>
      </c>
      <c r="BD56" s="134">
        <v>-32</v>
      </c>
      <c r="BE56" s="134">
        <v>-52</v>
      </c>
      <c r="BF56" s="134">
        <v>-81</v>
      </c>
      <c r="BG56" s="134">
        <v>-130</v>
      </c>
      <c r="BH56" s="134">
        <v>-11.5</v>
      </c>
      <c r="BI56" s="134">
        <v>-16</v>
      </c>
      <c r="BJ56" s="134">
        <v>-26</v>
      </c>
      <c r="BK56" s="134">
        <v>4</v>
      </c>
      <c r="BL56" s="134">
        <v>4</v>
      </c>
      <c r="BM56" s="157">
        <v>20</v>
      </c>
      <c r="BN56" s="134">
        <v>20</v>
      </c>
      <c r="BO56" s="134">
        <v>34</v>
      </c>
      <c r="BP56" s="134">
        <v>56</v>
      </c>
      <c r="BQ56" s="79">
        <v>98</v>
      </c>
      <c r="BR56" s="164" t="s">
        <v>131</v>
      </c>
      <c r="BS56" s="164" t="s">
        <v>131</v>
      </c>
      <c r="BT56" s="164" t="s">
        <v>131</v>
      </c>
      <c r="BU56" s="164" t="s">
        <v>131</v>
      </c>
      <c r="BW56" s="137">
        <v>280</v>
      </c>
      <c r="BX56" s="137">
        <v>315</v>
      </c>
      <c r="BY56" s="79">
        <v>540</v>
      </c>
      <c r="BZ56" s="79">
        <v>330</v>
      </c>
      <c r="CA56" s="79">
        <v>330</v>
      </c>
      <c r="CB56" s="79">
        <v>190</v>
      </c>
      <c r="CC56" s="79">
        <v>190</v>
      </c>
      <c r="CD56" s="79">
        <v>190</v>
      </c>
      <c r="CE56" s="79">
        <v>110</v>
      </c>
      <c r="CF56" s="79">
        <v>110</v>
      </c>
      <c r="CG56" s="134">
        <v>110</v>
      </c>
      <c r="CH56" s="134">
        <v>56</v>
      </c>
      <c r="CI56" s="134">
        <v>56</v>
      </c>
      <c r="CJ56" s="134">
        <v>56</v>
      </c>
      <c r="CK56" s="134">
        <v>17</v>
      </c>
      <c r="CL56" s="134">
        <v>17</v>
      </c>
      <c r="CM56" s="134">
        <v>0</v>
      </c>
      <c r="CN56" s="134">
        <v>0</v>
      </c>
      <c r="CO56" s="134">
        <v>0</v>
      </c>
      <c r="CP56" s="134">
        <v>0</v>
      </c>
      <c r="CQ56" s="134">
        <v>0</v>
      </c>
      <c r="CR56" s="134">
        <v>-16</v>
      </c>
      <c r="CS56" s="134">
        <v>-26</v>
      </c>
      <c r="CT56" s="134">
        <v>-27</v>
      </c>
      <c r="CU56" s="134">
        <v>-36</v>
      </c>
      <c r="CV56" s="134">
        <v>-41</v>
      </c>
      <c r="CW56" s="134">
        <v>-52</v>
      </c>
      <c r="CX56" s="134">
        <v>-57</v>
      </c>
      <c r="CY56" s="134">
        <v>-66</v>
      </c>
      <c r="CZ56" s="79">
        <v>-79</v>
      </c>
      <c r="DA56" s="79">
        <v>-88</v>
      </c>
      <c r="DB56" s="79">
        <v>-130</v>
      </c>
      <c r="DC56" s="163" t="s">
        <v>180</v>
      </c>
      <c r="DD56" s="163" t="s">
        <v>180</v>
      </c>
      <c r="DE56" s="163" t="s">
        <v>180</v>
      </c>
      <c r="DF56" s="163" t="s">
        <v>180</v>
      </c>
    </row>
    <row r="57" spans="41:110">
      <c r="AO57" s="137">
        <v>315</v>
      </c>
      <c r="AP57" s="137">
        <v>355</v>
      </c>
      <c r="AQ57">
        <v>-740</v>
      </c>
      <c r="AR57">
        <v>-500</v>
      </c>
      <c r="AS57">
        <v>-299</v>
      </c>
      <c r="AT57">
        <v>-350</v>
      </c>
      <c r="AU57">
        <v>-182</v>
      </c>
      <c r="AV57">
        <v>-214</v>
      </c>
      <c r="AW57" s="147">
        <v>-265</v>
      </c>
      <c r="AX57" s="134">
        <v>-98</v>
      </c>
      <c r="AY57" s="134">
        <v>-119</v>
      </c>
      <c r="AZ57" s="134">
        <v>-151</v>
      </c>
      <c r="BA57" s="134">
        <v>-43</v>
      </c>
      <c r="BB57" s="134">
        <v>-54</v>
      </c>
      <c r="BC57" s="134">
        <v>-25</v>
      </c>
      <c r="BD57" s="134">
        <v>-36</v>
      </c>
      <c r="BE57" s="134">
        <v>-57</v>
      </c>
      <c r="BF57" s="134">
        <v>-89</v>
      </c>
      <c r="BG57" s="134">
        <v>-140</v>
      </c>
      <c r="BH57" s="134">
        <v>-12.5</v>
      </c>
      <c r="BI57" s="134">
        <v>-18</v>
      </c>
      <c r="BJ57" s="134">
        <v>-28</v>
      </c>
      <c r="BK57" s="134">
        <v>4</v>
      </c>
      <c r="BL57" s="134">
        <v>4</v>
      </c>
      <c r="BM57" s="157">
        <v>21</v>
      </c>
      <c r="BN57" s="134">
        <v>21</v>
      </c>
      <c r="BO57" s="134">
        <v>37</v>
      </c>
      <c r="BP57" s="134">
        <v>62</v>
      </c>
      <c r="BQ57" s="79">
        <v>108</v>
      </c>
      <c r="BR57" s="164" t="s">
        <v>131</v>
      </c>
      <c r="BS57" s="164" t="s">
        <v>131</v>
      </c>
      <c r="BT57" s="164" t="s">
        <v>131</v>
      </c>
      <c r="BU57" s="164" t="s">
        <v>131</v>
      </c>
      <c r="BW57" s="137">
        <v>315</v>
      </c>
      <c r="BX57" s="137">
        <v>355</v>
      </c>
      <c r="BY57" s="79">
        <v>600</v>
      </c>
      <c r="BZ57" s="79">
        <v>360</v>
      </c>
      <c r="CA57" s="79">
        <v>360</v>
      </c>
      <c r="CB57" s="79">
        <v>210</v>
      </c>
      <c r="CC57" s="79">
        <v>210</v>
      </c>
      <c r="CD57" s="79">
        <v>210</v>
      </c>
      <c r="CE57" s="79">
        <v>125</v>
      </c>
      <c r="CF57" s="79">
        <v>125</v>
      </c>
      <c r="CG57" s="134">
        <v>125</v>
      </c>
      <c r="CH57" s="134">
        <v>62</v>
      </c>
      <c r="CI57" s="134">
        <v>62</v>
      </c>
      <c r="CJ57" s="134">
        <v>62</v>
      </c>
      <c r="CK57" s="134">
        <v>18</v>
      </c>
      <c r="CL57" s="134">
        <v>18</v>
      </c>
      <c r="CM57" s="134">
        <v>0</v>
      </c>
      <c r="CN57" s="134">
        <v>0</v>
      </c>
      <c r="CO57" s="134">
        <v>0</v>
      </c>
      <c r="CP57" s="134">
        <v>0</v>
      </c>
      <c r="CQ57" s="134">
        <v>0</v>
      </c>
      <c r="CR57" s="134">
        <v>-18</v>
      </c>
      <c r="CS57" s="134">
        <v>-28</v>
      </c>
      <c r="CT57" s="134">
        <v>-29</v>
      </c>
      <c r="CU57" s="134">
        <v>-40</v>
      </c>
      <c r="CV57" s="134">
        <v>-46</v>
      </c>
      <c r="CW57" s="134">
        <v>-57</v>
      </c>
      <c r="CX57" s="134">
        <v>-62</v>
      </c>
      <c r="CY57" s="134">
        <v>-73</v>
      </c>
      <c r="CZ57" s="79">
        <v>-87</v>
      </c>
      <c r="DA57" s="79">
        <v>-98</v>
      </c>
      <c r="DB57" s="79">
        <v>-144</v>
      </c>
      <c r="DC57" s="163" t="s">
        <v>180</v>
      </c>
      <c r="DD57" s="163" t="s">
        <v>180</v>
      </c>
      <c r="DE57" s="163" t="s">
        <v>180</v>
      </c>
      <c r="DF57" s="163" t="s">
        <v>180</v>
      </c>
    </row>
    <row r="58" spans="41:110">
      <c r="AO58" s="137">
        <v>355</v>
      </c>
      <c r="AP58" s="137">
        <v>400</v>
      </c>
      <c r="AQ58">
        <v>-820</v>
      </c>
      <c r="AR58">
        <v>-540</v>
      </c>
      <c r="AS58">
        <v>-299</v>
      </c>
      <c r="AT58">
        <v>-350</v>
      </c>
      <c r="AU58">
        <v>-182</v>
      </c>
      <c r="AV58">
        <v>-214</v>
      </c>
      <c r="AW58" s="147">
        <v>-265</v>
      </c>
      <c r="AX58" s="134">
        <v>-98</v>
      </c>
      <c r="AY58" s="134">
        <v>-119</v>
      </c>
      <c r="AZ58" s="134">
        <v>-151</v>
      </c>
      <c r="BA58" s="134">
        <v>-43</v>
      </c>
      <c r="BB58" s="134">
        <v>-54</v>
      </c>
      <c r="BC58" s="134">
        <v>-25</v>
      </c>
      <c r="BD58" s="134">
        <v>-36</v>
      </c>
      <c r="BE58" s="134">
        <v>-57</v>
      </c>
      <c r="BF58" s="134">
        <v>-89</v>
      </c>
      <c r="BG58" s="134">
        <v>-140</v>
      </c>
      <c r="BH58" s="134">
        <v>-12.5</v>
      </c>
      <c r="BI58" s="134">
        <v>-18</v>
      </c>
      <c r="BJ58" s="134">
        <v>-28</v>
      </c>
      <c r="BK58" s="134">
        <v>4</v>
      </c>
      <c r="BL58" s="134">
        <v>4</v>
      </c>
      <c r="BM58" s="157">
        <v>21</v>
      </c>
      <c r="BN58" s="134">
        <v>21</v>
      </c>
      <c r="BO58" s="134">
        <v>37</v>
      </c>
      <c r="BP58" s="134">
        <v>62</v>
      </c>
      <c r="BQ58" s="79">
        <v>144</v>
      </c>
      <c r="BR58" s="164" t="s">
        <v>131</v>
      </c>
      <c r="BS58" s="164" t="s">
        <v>131</v>
      </c>
      <c r="BT58" s="164" t="s">
        <v>131</v>
      </c>
      <c r="BU58" s="164" t="s">
        <v>131</v>
      </c>
      <c r="BW58" s="137">
        <v>355</v>
      </c>
      <c r="BX58" s="137">
        <v>400</v>
      </c>
      <c r="BY58" s="79">
        <v>680</v>
      </c>
      <c r="BZ58" s="79">
        <v>400</v>
      </c>
      <c r="CA58" s="79">
        <v>400</v>
      </c>
      <c r="CB58" s="79">
        <v>210</v>
      </c>
      <c r="CC58" s="79">
        <v>210</v>
      </c>
      <c r="CD58" s="79">
        <v>210</v>
      </c>
      <c r="CE58" s="79">
        <v>125</v>
      </c>
      <c r="CF58" s="79">
        <v>125</v>
      </c>
      <c r="CG58" s="134">
        <v>125</v>
      </c>
      <c r="CH58" s="134">
        <v>62</v>
      </c>
      <c r="CI58" s="134">
        <v>62</v>
      </c>
      <c r="CJ58" s="134">
        <v>62</v>
      </c>
      <c r="CK58" s="134">
        <v>18</v>
      </c>
      <c r="CL58" s="134">
        <v>18</v>
      </c>
      <c r="CM58" s="134">
        <v>0</v>
      </c>
      <c r="CN58" s="134">
        <v>0</v>
      </c>
      <c r="CO58" s="134">
        <v>0</v>
      </c>
      <c r="CP58" s="134">
        <v>0</v>
      </c>
      <c r="CQ58" s="134">
        <v>0</v>
      </c>
      <c r="CR58" s="134">
        <v>-18</v>
      </c>
      <c r="CS58" s="134">
        <v>-28</v>
      </c>
      <c r="CT58" s="134">
        <v>-29</v>
      </c>
      <c r="CU58" s="134">
        <v>-40</v>
      </c>
      <c r="CV58" s="134">
        <v>-46</v>
      </c>
      <c r="CW58" s="134">
        <v>-57</v>
      </c>
      <c r="CX58" s="134">
        <v>-62</v>
      </c>
      <c r="CY58" s="134">
        <v>-73</v>
      </c>
      <c r="CZ58" s="79">
        <v>-87</v>
      </c>
      <c r="DA58" s="79">
        <v>-98</v>
      </c>
      <c r="DB58" s="79">
        <v>-150</v>
      </c>
      <c r="DC58" s="163" t="s">
        <v>180</v>
      </c>
      <c r="DD58" s="163" t="s">
        <v>180</v>
      </c>
      <c r="DE58" s="163" t="s">
        <v>180</v>
      </c>
      <c r="DF58" s="163" t="s">
        <v>180</v>
      </c>
    </row>
    <row r="59" spans="41:110">
      <c r="AO59" s="137">
        <v>400</v>
      </c>
      <c r="AP59" s="137">
        <v>450</v>
      </c>
      <c r="AQ59">
        <v>-915</v>
      </c>
      <c r="AR59">
        <v>-595</v>
      </c>
      <c r="AS59">
        <v>-327</v>
      </c>
      <c r="AT59">
        <v>-385</v>
      </c>
      <c r="AU59">
        <v>-198</v>
      </c>
      <c r="AV59">
        <v>-232</v>
      </c>
      <c r="AW59" s="147">
        <v>-290</v>
      </c>
      <c r="AX59" s="134">
        <v>-108</v>
      </c>
      <c r="AY59" s="134">
        <v>-131</v>
      </c>
      <c r="AZ59" s="134">
        <v>-165</v>
      </c>
      <c r="BA59" s="134">
        <v>-47</v>
      </c>
      <c r="BB59" s="134">
        <v>-60</v>
      </c>
      <c r="BC59" s="134">
        <v>-27</v>
      </c>
      <c r="BD59" s="134">
        <v>-40</v>
      </c>
      <c r="BE59" s="134">
        <v>-63</v>
      </c>
      <c r="BF59" s="134">
        <v>-97</v>
      </c>
      <c r="BG59" s="134">
        <v>-155</v>
      </c>
      <c r="BH59" s="134">
        <v>-13.5</v>
      </c>
      <c r="BI59" s="134">
        <v>-20</v>
      </c>
      <c r="BJ59" s="134">
        <v>-31</v>
      </c>
      <c r="BK59" s="134">
        <v>5</v>
      </c>
      <c r="BL59" s="134">
        <v>5</v>
      </c>
      <c r="BM59" s="157">
        <v>23</v>
      </c>
      <c r="BN59" s="134">
        <v>23</v>
      </c>
      <c r="BO59" s="134">
        <v>40</v>
      </c>
      <c r="BP59" s="134">
        <v>68</v>
      </c>
      <c r="BQ59" s="79">
        <v>126</v>
      </c>
      <c r="BR59" s="164" t="s">
        <v>131</v>
      </c>
      <c r="BS59" s="164" t="s">
        <v>131</v>
      </c>
      <c r="BT59" s="164" t="s">
        <v>131</v>
      </c>
      <c r="BU59" s="164" t="s">
        <v>131</v>
      </c>
      <c r="BW59" s="137">
        <v>400</v>
      </c>
      <c r="BX59" s="137">
        <v>450</v>
      </c>
      <c r="BY59" s="79">
        <v>760</v>
      </c>
      <c r="BZ59" s="79">
        <v>440</v>
      </c>
      <c r="CA59" s="79">
        <v>440</v>
      </c>
      <c r="CB59" s="79">
        <v>230</v>
      </c>
      <c r="CC59" s="79">
        <v>230</v>
      </c>
      <c r="CD59" s="79">
        <v>230</v>
      </c>
      <c r="CE59" s="79">
        <v>135</v>
      </c>
      <c r="CF59" s="79">
        <v>135</v>
      </c>
      <c r="CG59" s="134">
        <v>135</v>
      </c>
      <c r="CH59" s="134">
        <v>68</v>
      </c>
      <c r="CI59" s="134">
        <v>68</v>
      </c>
      <c r="CJ59" s="134">
        <v>68</v>
      </c>
      <c r="CK59" s="134">
        <v>20</v>
      </c>
      <c r="CL59" s="134">
        <v>20</v>
      </c>
      <c r="CM59" s="134">
        <v>0</v>
      </c>
      <c r="CN59" s="134">
        <v>0</v>
      </c>
      <c r="CO59" s="134">
        <v>0</v>
      </c>
      <c r="CP59" s="134">
        <v>0</v>
      </c>
      <c r="CQ59" s="134">
        <v>0</v>
      </c>
      <c r="CR59" s="134">
        <v>-20</v>
      </c>
      <c r="CS59" s="134">
        <v>-31</v>
      </c>
      <c r="CT59" s="134">
        <v>-32</v>
      </c>
      <c r="CU59" s="134">
        <v>-45</v>
      </c>
      <c r="CV59" s="134">
        <v>-50</v>
      </c>
      <c r="CW59" s="134">
        <v>-63</v>
      </c>
      <c r="CX59" s="134">
        <v>-67</v>
      </c>
      <c r="CY59" s="134">
        <v>-80</v>
      </c>
      <c r="CZ59" s="79">
        <v>-95</v>
      </c>
      <c r="DA59" s="79">
        <v>-108</v>
      </c>
      <c r="DB59" s="79">
        <v>-166</v>
      </c>
      <c r="DC59" s="163" t="s">
        <v>180</v>
      </c>
      <c r="DD59" s="163" t="s">
        <v>180</v>
      </c>
      <c r="DE59" s="163" t="s">
        <v>180</v>
      </c>
      <c r="DF59" s="163" t="s">
        <v>180</v>
      </c>
    </row>
    <row r="60" spans="41:110">
      <c r="AO60" s="137">
        <v>450</v>
      </c>
      <c r="AP60" s="137">
        <v>500</v>
      </c>
      <c r="AQ60">
        <v>-995</v>
      </c>
      <c r="AR60">
        <v>-635</v>
      </c>
      <c r="AS60">
        <v>-327</v>
      </c>
      <c r="AT60">
        <v>-385</v>
      </c>
      <c r="AU60">
        <v>-198</v>
      </c>
      <c r="AV60">
        <v>-232</v>
      </c>
      <c r="AW60" s="147">
        <v>-290</v>
      </c>
      <c r="AX60" s="134">
        <v>-108</v>
      </c>
      <c r="AY60" s="134">
        <v>-131</v>
      </c>
      <c r="AZ60" s="134">
        <v>-165</v>
      </c>
      <c r="BA60" s="134">
        <v>-47</v>
      </c>
      <c r="BB60" s="134">
        <v>-60</v>
      </c>
      <c r="BC60" s="134">
        <v>-27</v>
      </c>
      <c r="BD60" s="134">
        <v>-40</v>
      </c>
      <c r="BE60" s="134">
        <v>-63</v>
      </c>
      <c r="BF60" s="134">
        <v>-97</v>
      </c>
      <c r="BG60" s="134">
        <v>-155</v>
      </c>
      <c r="BH60" s="134">
        <v>-13.5</v>
      </c>
      <c r="BI60" s="134">
        <v>-20</v>
      </c>
      <c r="BJ60" s="134">
        <v>-31</v>
      </c>
      <c r="BK60" s="134">
        <v>5</v>
      </c>
      <c r="BL60" s="134">
        <v>5</v>
      </c>
      <c r="BM60" s="157">
        <v>23</v>
      </c>
      <c r="BN60" s="134">
        <v>23</v>
      </c>
      <c r="BO60" s="134">
        <v>40</v>
      </c>
      <c r="BP60" s="134">
        <v>68</v>
      </c>
      <c r="BQ60" s="79">
        <v>132</v>
      </c>
      <c r="BR60" s="164" t="s">
        <v>131</v>
      </c>
      <c r="BS60" s="164" t="s">
        <v>131</v>
      </c>
      <c r="BT60" s="164" t="s">
        <v>131</v>
      </c>
      <c r="BU60" s="164" t="s">
        <v>131</v>
      </c>
      <c r="BW60" s="137">
        <v>450</v>
      </c>
      <c r="BX60" s="137">
        <v>500</v>
      </c>
      <c r="BY60" s="79">
        <v>840</v>
      </c>
      <c r="BZ60" s="79">
        <v>480</v>
      </c>
      <c r="CA60" s="79">
        <v>480</v>
      </c>
      <c r="CB60" s="79">
        <v>230</v>
      </c>
      <c r="CC60" s="79">
        <v>230</v>
      </c>
      <c r="CD60" s="79">
        <v>230</v>
      </c>
      <c r="CE60" s="79">
        <v>135</v>
      </c>
      <c r="CF60" s="79">
        <v>135</v>
      </c>
      <c r="CG60" s="134">
        <v>135</v>
      </c>
      <c r="CH60" s="134">
        <v>68</v>
      </c>
      <c r="CI60" s="134">
        <v>68</v>
      </c>
      <c r="CJ60" s="134">
        <v>68</v>
      </c>
      <c r="CK60" s="134">
        <v>20</v>
      </c>
      <c r="CL60" s="134">
        <v>20</v>
      </c>
      <c r="CM60" s="134">
        <v>0</v>
      </c>
      <c r="CN60" s="134">
        <v>0</v>
      </c>
      <c r="CO60" s="134">
        <v>0</v>
      </c>
      <c r="CP60" s="134">
        <v>0</v>
      </c>
      <c r="CQ60" s="134">
        <v>0</v>
      </c>
      <c r="CR60" s="134">
        <v>-20</v>
      </c>
      <c r="CS60" s="134">
        <v>-31</v>
      </c>
      <c r="CT60" s="134">
        <v>-32</v>
      </c>
      <c r="CU60" s="134">
        <v>-45</v>
      </c>
      <c r="CV60" s="134">
        <v>-50</v>
      </c>
      <c r="CW60" s="134">
        <v>-63</v>
      </c>
      <c r="CX60" s="134">
        <v>-67</v>
      </c>
      <c r="CY60" s="134">
        <v>-80</v>
      </c>
      <c r="CZ60" s="79">
        <v>-95</v>
      </c>
      <c r="DA60" s="79">
        <v>-108</v>
      </c>
      <c r="DB60" s="79">
        <v>-172</v>
      </c>
      <c r="DC60" s="163" t="s">
        <v>180</v>
      </c>
      <c r="DD60" s="163" t="s">
        <v>180</v>
      </c>
      <c r="DE60" s="163" t="s">
        <v>180</v>
      </c>
      <c r="DF60" s="163" t="s">
        <v>180</v>
      </c>
    </row>
  </sheetData>
  <mergeCells count="2">
    <mergeCell ref="B8:B38"/>
    <mergeCell ref="B7:C7"/>
  </mergeCells>
  <phoneticPr fontId="1"/>
  <conditionalFormatting sqref="D8:AK38">
    <cfRule type="expression" dxfId="74" priority="1">
      <formula>ISERROR(D8)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59537-509E-44B0-B188-05658F65FB73}">
  <dimension ref="A1:L49"/>
  <sheetViews>
    <sheetView topLeftCell="A11" workbookViewId="0">
      <selection activeCell="H26" sqref="H26"/>
    </sheetView>
  </sheetViews>
  <sheetFormatPr defaultRowHeight="17.649999999999999"/>
  <sheetData>
    <row r="1" spans="1:12">
      <c r="A1" t="s">
        <v>247</v>
      </c>
      <c r="C1" t="s">
        <v>250</v>
      </c>
    </row>
    <row r="2" spans="1:12">
      <c r="A2" t="s">
        <v>248</v>
      </c>
    </row>
    <row r="3" spans="1:12">
      <c r="A3" t="s">
        <v>249</v>
      </c>
      <c r="B3" t="s">
        <v>184</v>
      </c>
      <c r="C3" t="s">
        <v>235</v>
      </c>
      <c r="D3" t="s">
        <v>237</v>
      </c>
      <c r="E3" t="s">
        <v>239</v>
      </c>
      <c r="F3" t="s">
        <v>241</v>
      </c>
      <c r="G3" t="s">
        <v>243</v>
      </c>
      <c r="H3" t="s">
        <v>245</v>
      </c>
      <c r="I3" t="s">
        <v>185</v>
      </c>
      <c r="J3" t="s">
        <v>186</v>
      </c>
      <c r="K3" t="s">
        <v>187</v>
      </c>
      <c r="L3" t="s">
        <v>188</v>
      </c>
    </row>
    <row r="4" spans="1:12">
      <c r="A4" t="s">
        <v>180</v>
      </c>
      <c r="B4">
        <v>3</v>
      </c>
      <c r="C4">
        <v>-140</v>
      </c>
      <c r="D4">
        <v>-60</v>
      </c>
      <c r="E4">
        <v>-20</v>
      </c>
      <c r="F4">
        <v>-20</v>
      </c>
      <c r="G4">
        <v>-14</v>
      </c>
      <c r="H4">
        <v>-14</v>
      </c>
      <c r="I4">
        <v>-14</v>
      </c>
      <c r="J4">
        <v>-6</v>
      </c>
      <c r="K4">
        <v>-6</v>
      </c>
      <c r="L4">
        <v>-6</v>
      </c>
    </row>
    <row r="5" spans="1:12">
      <c r="C5">
        <v>-165</v>
      </c>
      <c r="D5">
        <v>-85</v>
      </c>
      <c r="E5">
        <v>-34</v>
      </c>
      <c r="F5">
        <v>-45</v>
      </c>
      <c r="G5">
        <v>-24</v>
      </c>
      <c r="H5">
        <v>-28</v>
      </c>
      <c r="I5">
        <v>-39</v>
      </c>
      <c r="J5">
        <v>-12</v>
      </c>
      <c r="K5">
        <v>-16</v>
      </c>
      <c r="L5">
        <v>-20</v>
      </c>
    </row>
    <row r="6" spans="1:12">
      <c r="A6">
        <v>3</v>
      </c>
      <c r="B6">
        <v>6</v>
      </c>
      <c r="C6">
        <v>-140</v>
      </c>
      <c r="D6">
        <v>-70</v>
      </c>
      <c r="E6">
        <v>-30</v>
      </c>
      <c r="F6">
        <v>-30</v>
      </c>
      <c r="G6">
        <v>-20</v>
      </c>
      <c r="H6">
        <v>-20</v>
      </c>
      <c r="I6">
        <v>-20</v>
      </c>
      <c r="J6">
        <v>-10</v>
      </c>
      <c r="K6">
        <v>-10</v>
      </c>
      <c r="L6">
        <v>-10</v>
      </c>
    </row>
    <row r="7" spans="1:12">
      <c r="C7">
        <v>-170</v>
      </c>
      <c r="D7">
        <v>-100</v>
      </c>
      <c r="E7">
        <v>-48</v>
      </c>
      <c r="F7">
        <v>-60</v>
      </c>
      <c r="G7">
        <v>-32</v>
      </c>
      <c r="H7">
        <v>-38</v>
      </c>
      <c r="I7">
        <v>-50</v>
      </c>
      <c r="J7">
        <v>-18</v>
      </c>
      <c r="K7">
        <v>-22</v>
      </c>
      <c r="L7">
        <v>-28</v>
      </c>
    </row>
    <row r="8" spans="1:12">
      <c r="A8">
        <v>6</v>
      </c>
      <c r="B8">
        <v>10</v>
      </c>
      <c r="C8">
        <v>-150</v>
      </c>
      <c r="D8">
        <v>-80</v>
      </c>
      <c r="E8">
        <v>-40</v>
      </c>
      <c r="F8">
        <v>-40</v>
      </c>
      <c r="G8">
        <v>-25</v>
      </c>
      <c r="H8">
        <v>-25</v>
      </c>
      <c r="I8">
        <v>-25</v>
      </c>
      <c r="J8">
        <v>-13</v>
      </c>
      <c r="K8">
        <v>-13</v>
      </c>
      <c r="L8">
        <v>-13</v>
      </c>
    </row>
    <row r="9" spans="1:12">
      <c r="C9">
        <v>-186</v>
      </c>
      <c r="D9">
        <v>-116</v>
      </c>
      <c r="E9">
        <v>-62</v>
      </c>
      <c r="F9">
        <v>-76</v>
      </c>
      <c r="G9">
        <v>-40</v>
      </c>
      <c r="H9">
        <v>-47</v>
      </c>
      <c r="I9">
        <v>-61</v>
      </c>
      <c r="J9">
        <v>-22</v>
      </c>
      <c r="K9">
        <v>-28</v>
      </c>
      <c r="L9">
        <v>-35</v>
      </c>
    </row>
    <row r="10" spans="1:12">
      <c r="A10">
        <v>10</v>
      </c>
      <c r="B10">
        <v>14</v>
      </c>
      <c r="C10">
        <v>-150</v>
      </c>
      <c r="D10">
        <v>-95</v>
      </c>
      <c r="E10">
        <v>-50</v>
      </c>
      <c r="F10">
        <v>-50</v>
      </c>
      <c r="G10">
        <v>-32</v>
      </c>
      <c r="H10">
        <v>-32</v>
      </c>
      <c r="I10">
        <v>-32</v>
      </c>
      <c r="J10">
        <v>-16</v>
      </c>
      <c r="K10">
        <v>-16</v>
      </c>
      <c r="L10">
        <v>-16</v>
      </c>
    </row>
    <row r="11" spans="1:12">
      <c r="A11">
        <v>14</v>
      </c>
      <c r="B11">
        <v>18</v>
      </c>
      <c r="C11">
        <v>-193</v>
      </c>
      <c r="D11">
        <v>-138</v>
      </c>
      <c r="E11">
        <v>-77</v>
      </c>
      <c r="F11">
        <v>-93</v>
      </c>
      <c r="G11">
        <v>-50</v>
      </c>
      <c r="H11">
        <v>-59</v>
      </c>
      <c r="I11">
        <v>-75</v>
      </c>
      <c r="J11">
        <v>-27</v>
      </c>
      <c r="K11">
        <v>-34</v>
      </c>
      <c r="L11">
        <v>-43</v>
      </c>
    </row>
    <row r="12" spans="1:12">
      <c r="A12">
        <v>18</v>
      </c>
      <c r="B12">
        <v>24</v>
      </c>
      <c r="C12">
        <v>-160</v>
      </c>
      <c r="D12">
        <v>-110</v>
      </c>
      <c r="E12">
        <v>-65</v>
      </c>
      <c r="F12">
        <v>-65</v>
      </c>
      <c r="G12">
        <v>-40</v>
      </c>
      <c r="H12">
        <v>-40</v>
      </c>
      <c r="I12">
        <v>-40</v>
      </c>
      <c r="J12">
        <v>-20</v>
      </c>
      <c r="K12">
        <v>-20</v>
      </c>
      <c r="L12">
        <v>-20</v>
      </c>
    </row>
    <row r="13" spans="1:12">
      <c r="A13">
        <v>24</v>
      </c>
      <c r="B13">
        <v>30</v>
      </c>
      <c r="C13">
        <v>-212</v>
      </c>
      <c r="D13">
        <v>-162</v>
      </c>
      <c r="E13">
        <v>-98</v>
      </c>
      <c r="F13">
        <v>-117</v>
      </c>
      <c r="G13">
        <v>-61</v>
      </c>
      <c r="H13">
        <v>-73</v>
      </c>
      <c r="I13">
        <v>-92</v>
      </c>
      <c r="J13">
        <v>-33</v>
      </c>
      <c r="K13">
        <v>-41</v>
      </c>
      <c r="L13">
        <v>-53</v>
      </c>
    </row>
    <row r="14" spans="1:12">
      <c r="A14">
        <v>30</v>
      </c>
      <c r="B14">
        <v>40</v>
      </c>
      <c r="C14">
        <v>-170</v>
      </c>
      <c r="D14">
        <v>-120</v>
      </c>
      <c r="E14">
        <v>-80</v>
      </c>
      <c r="F14">
        <v>-80</v>
      </c>
      <c r="G14">
        <v>-50</v>
      </c>
      <c r="H14">
        <v>-50</v>
      </c>
      <c r="I14">
        <v>-50</v>
      </c>
      <c r="J14">
        <v>-25</v>
      </c>
      <c r="K14">
        <v>-25</v>
      </c>
      <c r="L14">
        <v>-25</v>
      </c>
    </row>
    <row r="15" spans="1:12">
      <c r="C15">
        <v>-232</v>
      </c>
      <c r="D15">
        <v>-182</v>
      </c>
      <c r="E15">
        <v>-119</v>
      </c>
      <c r="F15">
        <v>-142</v>
      </c>
      <c r="G15">
        <v>-75</v>
      </c>
      <c r="H15">
        <v>-89</v>
      </c>
      <c r="I15">
        <v>-112</v>
      </c>
      <c r="J15">
        <v>-41</v>
      </c>
      <c r="K15">
        <v>-50</v>
      </c>
      <c r="L15">
        <v>-64</v>
      </c>
    </row>
    <row r="16" spans="1:12">
      <c r="A16">
        <v>40</v>
      </c>
      <c r="B16">
        <v>50</v>
      </c>
      <c r="C16">
        <v>-180</v>
      </c>
      <c r="D16">
        <v>-130</v>
      </c>
    </row>
    <row r="17" spans="1:12">
      <c r="C17">
        <v>-242</v>
      </c>
      <c r="D17">
        <v>-192</v>
      </c>
    </row>
    <row r="18" spans="1:12">
      <c r="A18">
        <v>50</v>
      </c>
      <c r="B18">
        <v>65</v>
      </c>
      <c r="C18">
        <v>-190</v>
      </c>
      <c r="D18">
        <v>-140</v>
      </c>
      <c r="E18">
        <v>-100</v>
      </c>
      <c r="F18">
        <v>-100</v>
      </c>
      <c r="G18">
        <v>-60</v>
      </c>
      <c r="H18">
        <v>-60</v>
      </c>
      <c r="I18">
        <v>-60</v>
      </c>
      <c r="J18">
        <v>-30</v>
      </c>
      <c r="K18">
        <v>-30</v>
      </c>
      <c r="L18">
        <v>-30</v>
      </c>
    </row>
    <row r="19" spans="1:12">
      <c r="C19">
        <v>-264</v>
      </c>
      <c r="D19">
        <v>-214</v>
      </c>
      <c r="E19">
        <v>-146</v>
      </c>
      <c r="F19">
        <v>-174</v>
      </c>
      <c r="G19">
        <v>-90</v>
      </c>
      <c r="H19">
        <v>-106</v>
      </c>
      <c r="I19">
        <v>-134</v>
      </c>
      <c r="J19">
        <v>-49</v>
      </c>
      <c r="K19">
        <v>-60</v>
      </c>
      <c r="L19">
        <v>-76</v>
      </c>
    </row>
    <row r="20" spans="1:12">
      <c r="A20">
        <v>65</v>
      </c>
      <c r="B20">
        <v>80</v>
      </c>
      <c r="C20">
        <v>-200</v>
      </c>
      <c r="D20">
        <v>-150</v>
      </c>
    </row>
    <row r="21" spans="1:12">
      <c r="C21">
        <v>-274</v>
      </c>
      <c r="D21">
        <v>-224</v>
      </c>
    </row>
    <row r="22" spans="1:12">
      <c r="A22">
        <v>80</v>
      </c>
      <c r="B22">
        <v>100</v>
      </c>
      <c r="C22">
        <v>-220</v>
      </c>
      <c r="D22">
        <v>-170</v>
      </c>
      <c r="E22">
        <v>-120</v>
      </c>
      <c r="F22">
        <v>-120</v>
      </c>
      <c r="G22">
        <v>-72</v>
      </c>
      <c r="H22">
        <v>-72</v>
      </c>
      <c r="I22">
        <v>-72</v>
      </c>
      <c r="J22">
        <v>-36</v>
      </c>
      <c r="K22">
        <v>-36</v>
      </c>
      <c r="L22">
        <v>-36</v>
      </c>
    </row>
    <row r="23" spans="1:12">
      <c r="C23">
        <v>-307</v>
      </c>
      <c r="D23">
        <v>-257</v>
      </c>
      <c r="E23">
        <v>-174</v>
      </c>
      <c r="F23">
        <v>-207</v>
      </c>
      <c r="G23">
        <v>-107</v>
      </c>
      <c r="H23">
        <v>-126</v>
      </c>
      <c r="I23">
        <v>-159</v>
      </c>
      <c r="J23">
        <v>-58</v>
      </c>
      <c r="K23">
        <v>-71</v>
      </c>
      <c r="L23">
        <v>-90</v>
      </c>
    </row>
    <row r="24" spans="1:12">
      <c r="A24">
        <v>100</v>
      </c>
      <c r="B24">
        <v>120</v>
      </c>
      <c r="C24">
        <v>-240</v>
      </c>
      <c r="D24">
        <v>-180</v>
      </c>
    </row>
    <row r="25" spans="1:12">
      <c r="C25">
        <v>-327</v>
      </c>
      <c r="D25">
        <v>-267</v>
      </c>
    </row>
    <row r="26" spans="1:12">
      <c r="A26">
        <v>120</v>
      </c>
      <c r="B26">
        <v>140</v>
      </c>
      <c r="C26">
        <v>-260</v>
      </c>
      <c r="D26">
        <v>-200</v>
      </c>
      <c r="E26">
        <v>-145</v>
      </c>
      <c r="F26">
        <v>-145</v>
      </c>
      <c r="G26">
        <v>-85</v>
      </c>
      <c r="H26">
        <v>-85</v>
      </c>
      <c r="I26">
        <v>-85</v>
      </c>
      <c r="J26">
        <v>-43</v>
      </c>
      <c r="K26">
        <v>-43</v>
      </c>
      <c r="L26">
        <v>-43</v>
      </c>
    </row>
    <row r="27" spans="1:12">
      <c r="C27">
        <v>-360</v>
      </c>
      <c r="D27">
        <v>-300</v>
      </c>
      <c r="E27">
        <v>-208</v>
      </c>
      <c r="F27">
        <v>-245</v>
      </c>
      <c r="G27">
        <v>-125</v>
      </c>
      <c r="H27">
        <v>-148</v>
      </c>
      <c r="I27">
        <v>-185</v>
      </c>
      <c r="J27">
        <v>-68</v>
      </c>
      <c r="K27">
        <v>-83</v>
      </c>
      <c r="L27">
        <v>-106</v>
      </c>
    </row>
    <row r="28" spans="1:12">
      <c r="A28">
        <v>140</v>
      </c>
      <c r="B28">
        <v>160</v>
      </c>
      <c r="C28">
        <v>-280</v>
      </c>
      <c r="D28">
        <v>-210</v>
      </c>
    </row>
    <row r="29" spans="1:12">
      <c r="C29">
        <v>-380</v>
      </c>
      <c r="D29">
        <v>-310</v>
      </c>
    </row>
    <row r="30" spans="1:12">
      <c r="A30">
        <v>160</v>
      </c>
      <c r="B30">
        <v>180</v>
      </c>
      <c r="C30">
        <v>-310</v>
      </c>
      <c r="D30">
        <v>-230</v>
      </c>
    </row>
    <row r="31" spans="1:12">
      <c r="C31">
        <v>-410</v>
      </c>
      <c r="D31">
        <v>-330</v>
      </c>
    </row>
    <row r="32" spans="1:12">
      <c r="A32">
        <v>180</v>
      </c>
      <c r="B32">
        <v>200</v>
      </c>
      <c r="C32">
        <v>-340</v>
      </c>
      <c r="D32">
        <v>-240</v>
      </c>
      <c r="F32">
        <v>-170</v>
      </c>
      <c r="G32">
        <v>-100</v>
      </c>
      <c r="H32">
        <v>-100</v>
      </c>
      <c r="I32">
        <v>-100</v>
      </c>
      <c r="J32">
        <v>-50</v>
      </c>
      <c r="K32">
        <v>-50</v>
      </c>
      <c r="L32">
        <v>-50</v>
      </c>
    </row>
    <row r="33" spans="1:12">
      <c r="C33">
        <v>-455</v>
      </c>
      <c r="D33">
        <v>-355</v>
      </c>
      <c r="E33">
        <v>-170</v>
      </c>
      <c r="F33">
        <v>-285</v>
      </c>
      <c r="G33">
        <v>-146</v>
      </c>
      <c r="H33">
        <v>-172</v>
      </c>
      <c r="I33">
        <v>-215</v>
      </c>
      <c r="J33">
        <v>-79</v>
      </c>
      <c r="K33">
        <v>-96</v>
      </c>
      <c r="L33">
        <v>-122</v>
      </c>
    </row>
    <row r="34" spans="1:12">
      <c r="A34">
        <v>200</v>
      </c>
      <c r="B34">
        <v>225</v>
      </c>
      <c r="C34">
        <v>-380</v>
      </c>
      <c r="D34">
        <v>-260</v>
      </c>
      <c r="E34">
        <v>-242</v>
      </c>
    </row>
    <row r="35" spans="1:12">
      <c r="C35">
        <v>-495</v>
      </c>
      <c r="D35">
        <v>-375</v>
      </c>
    </row>
    <row r="36" spans="1:12">
      <c r="A36">
        <v>225</v>
      </c>
      <c r="B36">
        <v>250</v>
      </c>
      <c r="C36">
        <v>-420</v>
      </c>
      <c r="D36">
        <v>-280</v>
      </c>
    </row>
    <row r="37" spans="1:12">
      <c r="C37">
        <v>-535</v>
      </c>
      <c r="D37">
        <v>-395</v>
      </c>
    </row>
    <row r="38" spans="1:12">
      <c r="A38">
        <v>250</v>
      </c>
      <c r="B38">
        <v>280</v>
      </c>
      <c r="C38">
        <v>-480</v>
      </c>
      <c r="D38">
        <v>-300</v>
      </c>
      <c r="E38">
        <v>-190</v>
      </c>
      <c r="F38">
        <v>-190</v>
      </c>
      <c r="G38">
        <v>-110</v>
      </c>
      <c r="H38">
        <v>-110</v>
      </c>
      <c r="I38">
        <v>-110</v>
      </c>
      <c r="J38">
        <v>-56</v>
      </c>
      <c r="K38">
        <v>-56</v>
      </c>
      <c r="L38">
        <v>-56</v>
      </c>
    </row>
    <row r="39" spans="1:12">
      <c r="C39">
        <v>-610</v>
      </c>
      <c r="D39">
        <v>-430</v>
      </c>
      <c r="E39">
        <v>-271</v>
      </c>
      <c r="F39">
        <v>-320</v>
      </c>
      <c r="G39">
        <v>-162</v>
      </c>
      <c r="H39">
        <v>-191</v>
      </c>
      <c r="I39">
        <v>-240</v>
      </c>
      <c r="J39">
        <v>-88</v>
      </c>
      <c r="K39">
        <v>-108</v>
      </c>
      <c r="L39">
        <v>-137</v>
      </c>
    </row>
    <row r="40" spans="1:12">
      <c r="A40">
        <v>280</v>
      </c>
      <c r="B40">
        <v>315</v>
      </c>
      <c r="C40">
        <v>-540</v>
      </c>
      <c r="D40">
        <v>-330</v>
      </c>
    </row>
    <row r="41" spans="1:12">
      <c r="C41">
        <v>-670</v>
      </c>
      <c r="D41">
        <v>-460</v>
      </c>
    </row>
    <row r="42" spans="1:12">
      <c r="A42">
        <v>315</v>
      </c>
      <c r="B42">
        <v>355</v>
      </c>
      <c r="C42">
        <v>-600</v>
      </c>
      <c r="D42">
        <v>-360</v>
      </c>
      <c r="E42">
        <v>-210</v>
      </c>
      <c r="F42">
        <v>-210</v>
      </c>
      <c r="G42">
        <v>-125</v>
      </c>
      <c r="H42">
        <v>-125</v>
      </c>
      <c r="I42">
        <v>-125</v>
      </c>
      <c r="J42">
        <v>-62</v>
      </c>
      <c r="K42">
        <v>-62</v>
      </c>
      <c r="L42">
        <v>-62</v>
      </c>
    </row>
    <row r="43" spans="1:12">
      <c r="C43">
        <v>-740</v>
      </c>
      <c r="D43">
        <v>-500</v>
      </c>
      <c r="E43">
        <v>-299</v>
      </c>
      <c r="F43">
        <v>-350</v>
      </c>
      <c r="G43">
        <v>-182</v>
      </c>
      <c r="H43">
        <v>-214</v>
      </c>
      <c r="I43">
        <v>-265</v>
      </c>
      <c r="J43">
        <v>-98</v>
      </c>
      <c r="K43">
        <v>-119</v>
      </c>
      <c r="L43">
        <v>-151</v>
      </c>
    </row>
    <row r="44" spans="1:12">
      <c r="A44">
        <v>355</v>
      </c>
      <c r="B44">
        <v>400</v>
      </c>
      <c r="C44">
        <v>-680</v>
      </c>
      <c r="D44">
        <v>-400</v>
      </c>
    </row>
    <row r="45" spans="1:12">
      <c r="C45">
        <v>-820</v>
      </c>
      <c r="D45">
        <v>-540</v>
      </c>
    </row>
    <row r="46" spans="1:12">
      <c r="A46">
        <v>400</v>
      </c>
      <c r="B46">
        <v>450</v>
      </c>
      <c r="C46">
        <v>-760</v>
      </c>
      <c r="D46">
        <v>-440</v>
      </c>
      <c r="E46">
        <v>-230</v>
      </c>
      <c r="F46">
        <v>-230</v>
      </c>
      <c r="G46">
        <v>-135</v>
      </c>
      <c r="H46">
        <v>-135</v>
      </c>
      <c r="I46">
        <v>-135</v>
      </c>
      <c r="J46">
        <v>-68</v>
      </c>
      <c r="K46">
        <v>-68</v>
      </c>
      <c r="L46">
        <v>-68</v>
      </c>
    </row>
    <row r="47" spans="1:12">
      <c r="C47">
        <v>-915</v>
      </c>
      <c r="D47">
        <v>-595</v>
      </c>
      <c r="E47">
        <v>-327</v>
      </c>
      <c r="F47">
        <v>-385</v>
      </c>
      <c r="G47">
        <v>-198</v>
      </c>
      <c r="H47">
        <v>-232</v>
      </c>
      <c r="I47">
        <v>-290</v>
      </c>
      <c r="J47">
        <v>-108</v>
      </c>
      <c r="K47">
        <v>-131</v>
      </c>
      <c r="L47">
        <v>-165</v>
      </c>
    </row>
    <row r="48" spans="1:12">
      <c r="A48">
        <v>450</v>
      </c>
      <c r="B48">
        <v>500</v>
      </c>
      <c r="C48">
        <v>-840</v>
      </c>
      <c r="D48">
        <v>-480</v>
      </c>
    </row>
    <row r="49" spans="3:4">
      <c r="C49">
        <v>-995</v>
      </c>
      <c r="D49">
        <v>-635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6FF4B-9277-4337-9CD9-5AC833517C14}">
  <dimension ref="A1:J7"/>
  <sheetViews>
    <sheetView zoomScale="30" zoomScaleNormal="30" workbookViewId="0">
      <selection activeCell="A3" sqref="A3"/>
    </sheetView>
  </sheetViews>
  <sheetFormatPr defaultRowHeight="409.5" customHeight="1"/>
  <cols>
    <col min="1" max="1" width="46.0625" style="80" bestFit="1" customWidth="1"/>
    <col min="2" max="2" width="35.0625" style="81" customWidth="1"/>
    <col min="3" max="3" width="90.4375" style="81" customWidth="1"/>
    <col min="4" max="4" width="15.3125" style="81" customWidth="1"/>
    <col min="5" max="5" width="94.5625" style="81" customWidth="1"/>
    <col min="6" max="6" width="20.6875" style="81" bestFit="1" customWidth="1"/>
    <col min="7" max="10" width="90.4375" style="81" customWidth="1"/>
    <col min="11" max="42" width="94.5625" style="81" customWidth="1"/>
    <col min="43" max="16384" width="9" style="81"/>
  </cols>
  <sheetData>
    <row r="1" spans="1:10" ht="57.75">
      <c r="B1" s="81" t="s">
        <v>92</v>
      </c>
      <c r="C1" s="81" t="s">
        <v>80</v>
      </c>
      <c r="E1" s="81" t="s">
        <v>81</v>
      </c>
      <c r="G1" s="80" t="s">
        <v>89</v>
      </c>
      <c r="H1" s="80" t="s">
        <v>90</v>
      </c>
      <c r="I1" s="80" t="s">
        <v>87</v>
      </c>
      <c r="J1" s="80" t="s">
        <v>88</v>
      </c>
    </row>
    <row r="2" spans="1:10" ht="409.5" customHeight="1">
      <c r="A2" s="80" t="s">
        <v>82</v>
      </c>
      <c r="D2" s="81">
        <v>1</v>
      </c>
      <c r="F2" s="81" t="s">
        <v>97</v>
      </c>
    </row>
    <row r="3" spans="1:10" ht="409.5" customHeight="1">
      <c r="A3" s="80" t="s">
        <v>91</v>
      </c>
      <c r="D3" s="81">
        <v>2</v>
      </c>
      <c r="F3" s="81" t="s">
        <v>99</v>
      </c>
    </row>
    <row r="4" spans="1:10" ht="409.5" customHeight="1">
      <c r="A4" s="80" t="s">
        <v>83</v>
      </c>
      <c r="B4" s="81" t="s">
        <v>96</v>
      </c>
      <c r="F4" s="81" t="s">
        <v>100</v>
      </c>
    </row>
    <row r="5" spans="1:10" ht="409.5" customHeight="1">
      <c r="A5" s="80" t="s">
        <v>84</v>
      </c>
      <c r="B5" s="81" t="s">
        <v>98</v>
      </c>
      <c r="F5" s="81" t="s">
        <v>101</v>
      </c>
    </row>
    <row r="6" spans="1:10" ht="409.5" customHeight="1">
      <c r="A6" s="80" t="s">
        <v>85</v>
      </c>
      <c r="B6" s="81" t="s">
        <v>96</v>
      </c>
    </row>
    <row r="7" spans="1:10" ht="409.5" customHeight="1">
      <c r="A7" s="80" t="s">
        <v>86</v>
      </c>
      <c r="B7" s="81" t="s">
        <v>98</v>
      </c>
    </row>
  </sheetData>
  <phoneticPr fontId="1"/>
  <dataValidations disablePrompts="1" count="2">
    <dataValidation type="list" allowBlank="1" showInputMessage="1" showErrorMessage="1" sqref="B4 B6" xr:uid="{DF38456B-C87E-4407-87BA-B021B3637B4F}">
      <formula1>"Type1,Type2"</formula1>
    </dataValidation>
    <dataValidation type="list" allowBlank="1" showInputMessage="1" showErrorMessage="1" sqref="B5 B7" xr:uid="{616BAE5B-0E58-491C-8056-BD8F00DEBED9}">
      <formula1>"Type1,Type2,Type3,Type4"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パッケージャー シェル オブジェクト" shapeId="6245" r:id="rId4">
          <objectPr defaultSize="0" autoPict="0" r:id="rId5">
            <anchor moveWithCells="1">
              <from>
                <xdr:col>0</xdr:col>
                <xdr:colOff>3509963</xdr:colOff>
                <xdr:row>1</xdr:row>
                <xdr:rowOff>0</xdr:rowOff>
              </from>
              <to>
                <xdr:col>1</xdr:col>
                <xdr:colOff>2366963</xdr:colOff>
                <xdr:row>1</xdr:row>
                <xdr:rowOff>2833688</xdr:rowOff>
              </to>
            </anchor>
          </objectPr>
        </oleObject>
      </mc:Choice>
      <mc:Fallback>
        <oleObject progId="パッケージャー シェル オブジェクト" shapeId="6245" r:id="rId4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D76D9-B9B8-4334-A644-D3997CD0E01E}">
  <dimension ref="A1:E6"/>
  <sheetViews>
    <sheetView workbookViewId="0">
      <selection activeCell="B3" sqref="B3:B7"/>
    </sheetView>
  </sheetViews>
  <sheetFormatPr defaultRowHeight="17.649999999999999"/>
  <cols>
    <col min="1" max="1" width="16.4375" bestFit="1" customWidth="1"/>
    <col min="2" max="2" width="24.125" bestFit="1" customWidth="1"/>
    <col min="3" max="3" width="19.125" bestFit="1" customWidth="1"/>
    <col min="4" max="4" width="38.5" bestFit="1" customWidth="1"/>
    <col min="5" max="5" width="18.6875" bestFit="1" customWidth="1"/>
  </cols>
  <sheetData>
    <row r="1" spans="1:5">
      <c r="A1" t="s">
        <v>78</v>
      </c>
      <c r="B1" t="s">
        <v>18</v>
      </c>
      <c r="C1" t="s">
        <v>0</v>
      </c>
      <c r="D1" t="s">
        <v>7</v>
      </c>
      <c r="E1" t="s">
        <v>73</v>
      </c>
    </row>
    <row r="2" spans="1:5">
      <c r="A2" t="s">
        <v>75</v>
      </c>
      <c r="B2" t="s">
        <v>102</v>
      </c>
      <c r="C2" t="s">
        <v>76</v>
      </c>
      <c r="D2" t="s">
        <v>77</v>
      </c>
      <c r="E2" t="s">
        <v>79</v>
      </c>
    </row>
    <row r="3" spans="1:5">
      <c r="A3" t="s">
        <v>109</v>
      </c>
      <c r="B3">
        <v>208000</v>
      </c>
      <c r="C3" s="102">
        <v>0.3</v>
      </c>
      <c r="D3">
        <v>12.5</v>
      </c>
      <c r="E3">
        <v>785</v>
      </c>
    </row>
    <row r="4" spans="1:5">
      <c r="A4" t="s">
        <v>95</v>
      </c>
      <c r="B4">
        <v>205000</v>
      </c>
      <c r="C4" s="102">
        <v>0.3</v>
      </c>
      <c r="D4">
        <v>11.9</v>
      </c>
      <c r="E4">
        <v>345</v>
      </c>
    </row>
    <row r="5" spans="1:5">
      <c r="A5" t="s">
        <v>118</v>
      </c>
      <c r="B5">
        <v>118000</v>
      </c>
      <c r="C5">
        <v>0.33</v>
      </c>
      <c r="D5">
        <v>17.7</v>
      </c>
      <c r="E5">
        <v>200</v>
      </c>
    </row>
    <row r="6" spans="1:5">
      <c r="A6" t="s">
        <v>72</v>
      </c>
      <c r="B6">
        <v>71000</v>
      </c>
      <c r="C6">
        <v>0.33</v>
      </c>
      <c r="D6" s="101">
        <v>21</v>
      </c>
      <c r="E6">
        <v>150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"/>
  <sheetViews>
    <sheetView topLeftCell="G1" workbookViewId="0">
      <selection activeCell="U5" sqref="U5"/>
    </sheetView>
  </sheetViews>
  <sheetFormatPr defaultColWidth="8.75" defaultRowHeight="17.649999999999999"/>
  <cols>
    <col min="1" max="1" width="12.375" style="30" bestFit="1" customWidth="1"/>
    <col min="2" max="2" width="12.375" style="31" bestFit="1" customWidth="1"/>
    <col min="3" max="3" width="8.75" style="31" bestFit="1" customWidth="1"/>
    <col min="4" max="5" width="10.375" style="31" bestFit="1" customWidth="1"/>
    <col min="6" max="6" width="8.625" style="31" bestFit="1" customWidth="1"/>
    <col min="7" max="7" width="12.375" style="30" bestFit="1" customWidth="1"/>
    <col min="8" max="8" width="12.375" style="31" bestFit="1" customWidth="1"/>
    <col min="9" max="9" width="8.75" style="31" bestFit="1" customWidth="1"/>
    <col min="10" max="11" width="10.375" style="31" bestFit="1" customWidth="1"/>
    <col min="12" max="12" width="8.625" style="32" bestFit="1" customWidth="1"/>
    <col min="13" max="13" width="10.375" style="3" bestFit="1" customWidth="1"/>
    <col min="14" max="14" width="7.25" style="3" bestFit="1" customWidth="1"/>
    <col min="15" max="15" width="8.625" style="3" bestFit="1" customWidth="1"/>
    <col min="16" max="16" width="18.875" style="3" bestFit="1" customWidth="1"/>
    <col min="17" max="17" width="15.125" style="3" bestFit="1" customWidth="1"/>
    <col min="18" max="20" width="12.375" style="3" bestFit="1" customWidth="1"/>
    <col min="21" max="21" width="9.25" style="3" bestFit="1" customWidth="1"/>
    <col min="22" max="22" width="6.75" style="3" bestFit="1" customWidth="1"/>
    <col min="23" max="23" width="10.375" style="3" bestFit="1" customWidth="1"/>
    <col min="24" max="16384" width="8.75" style="3"/>
  </cols>
  <sheetData>
    <row r="1" spans="1:23">
      <c r="A1" s="16" t="s">
        <v>36</v>
      </c>
      <c r="B1" s="17" t="s">
        <v>36</v>
      </c>
      <c r="C1" s="17" t="s">
        <v>36</v>
      </c>
      <c r="D1" s="17" t="s">
        <v>36</v>
      </c>
      <c r="E1" s="17" t="s">
        <v>36</v>
      </c>
      <c r="F1" s="34" t="s">
        <v>36</v>
      </c>
      <c r="G1" s="22" t="s">
        <v>38</v>
      </c>
      <c r="H1" s="23" t="s">
        <v>38</v>
      </c>
      <c r="I1" s="23" t="s">
        <v>38</v>
      </c>
      <c r="J1" s="23" t="s">
        <v>38</v>
      </c>
      <c r="K1" s="23" t="s">
        <v>38</v>
      </c>
      <c r="L1" s="24" t="s">
        <v>38</v>
      </c>
      <c r="M1" s="15" t="s">
        <v>39</v>
      </c>
      <c r="N1" s="9" t="s">
        <v>39</v>
      </c>
      <c r="O1" s="9" t="s">
        <v>39</v>
      </c>
      <c r="P1" s="9" t="s">
        <v>39</v>
      </c>
      <c r="Q1" s="9" t="s">
        <v>39</v>
      </c>
      <c r="R1" s="9" t="s">
        <v>39</v>
      </c>
      <c r="S1" s="9" t="s">
        <v>39</v>
      </c>
      <c r="T1" s="9" t="s">
        <v>39</v>
      </c>
      <c r="U1" s="9" t="s">
        <v>39</v>
      </c>
      <c r="V1" s="9" t="s">
        <v>39</v>
      </c>
      <c r="W1" s="9" t="s">
        <v>39</v>
      </c>
    </row>
    <row r="2" spans="1:23">
      <c r="A2" s="19" t="s">
        <v>6</v>
      </c>
      <c r="B2" s="10" t="s">
        <v>8</v>
      </c>
      <c r="C2" s="9" t="s">
        <v>5</v>
      </c>
      <c r="D2" s="9" t="s">
        <v>0</v>
      </c>
      <c r="E2" s="9" t="s">
        <v>7</v>
      </c>
      <c r="F2" s="33" t="s">
        <v>12</v>
      </c>
      <c r="G2" s="19" t="s">
        <v>6</v>
      </c>
      <c r="H2" s="10" t="s">
        <v>8</v>
      </c>
      <c r="I2" s="9" t="s">
        <v>5</v>
      </c>
      <c r="J2" s="9" t="s">
        <v>0</v>
      </c>
      <c r="K2" s="9" t="s">
        <v>7</v>
      </c>
      <c r="L2" s="27" t="s">
        <v>12</v>
      </c>
      <c r="M2" s="15" t="s">
        <v>37</v>
      </c>
      <c r="N2" s="9" t="s">
        <v>1</v>
      </c>
      <c r="O2" s="9" t="s">
        <v>3</v>
      </c>
      <c r="P2" s="9" t="s">
        <v>40</v>
      </c>
      <c r="Q2" s="9" t="s">
        <v>13</v>
      </c>
      <c r="R2" s="9" t="s">
        <v>11</v>
      </c>
      <c r="S2" s="9" t="s">
        <v>15</v>
      </c>
      <c r="T2" s="9" t="s">
        <v>10</v>
      </c>
      <c r="U2" s="9" t="s">
        <v>2</v>
      </c>
      <c r="V2" s="9" t="s">
        <v>9</v>
      </c>
      <c r="W2" s="9" t="s">
        <v>16</v>
      </c>
    </row>
    <row r="3" spans="1:23">
      <c r="A3" s="19" t="s">
        <v>41</v>
      </c>
      <c r="B3" s="10" t="s">
        <v>42</v>
      </c>
      <c r="C3" s="9" t="s">
        <v>50</v>
      </c>
      <c r="D3" s="9" t="s">
        <v>51</v>
      </c>
      <c r="E3" s="9" t="s">
        <v>46</v>
      </c>
      <c r="F3" s="27" t="s">
        <v>45</v>
      </c>
      <c r="G3" s="19" t="s">
        <v>41</v>
      </c>
      <c r="H3" s="10" t="s">
        <v>47</v>
      </c>
      <c r="I3" s="9" t="s">
        <v>52</v>
      </c>
      <c r="J3" s="9" t="s">
        <v>53</v>
      </c>
      <c r="K3" s="9" t="s">
        <v>46</v>
      </c>
      <c r="L3" s="27" t="s">
        <v>45</v>
      </c>
      <c r="M3" s="15" t="s">
        <v>48</v>
      </c>
      <c r="N3" s="9" t="s">
        <v>49</v>
      </c>
      <c r="O3" s="9" t="s">
        <v>4</v>
      </c>
      <c r="P3" s="9" t="s">
        <v>44</v>
      </c>
      <c r="Q3" s="9" t="s">
        <v>41</v>
      </c>
      <c r="R3" s="9" t="s">
        <v>41</v>
      </c>
      <c r="S3" s="9" t="s">
        <v>54</v>
      </c>
      <c r="T3" s="28" t="s">
        <v>55</v>
      </c>
      <c r="U3" s="9" t="s">
        <v>56</v>
      </c>
      <c r="V3" s="9" t="s">
        <v>57</v>
      </c>
      <c r="W3" s="9"/>
    </row>
    <row r="4" spans="1:23">
      <c r="A4" s="20">
        <v>44.988</v>
      </c>
      <c r="B4" s="12">
        <v>59.45</v>
      </c>
      <c r="C4" s="1">
        <v>208000</v>
      </c>
      <c r="D4" s="6">
        <v>0.3</v>
      </c>
      <c r="E4" s="1">
        <v>12.5</v>
      </c>
      <c r="F4" s="26">
        <v>20</v>
      </c>
      <c r="G4" s="25">
        <v>45.064</v>
      </c>
      <c r="H4" s="11">
        <v>31</v>
      </c>
      <c r="I4" s="1">
        <v>208000</v>
      </c>
      <c r="J4" s="6">
        <v>0.3</v>
      </c>
      <c r="K4" s="1">
        <v>12.8</v>
      </c>
      <c r="L4" s="21">
        <v>20</v>
      </c>
      <c r="M4" s="29">
        <v>45</v>
      </c>
      <c r="N4" s="6">
        <v>16.899999999999999</v>
      </c>
      <c r="O4" s="6">
        <v>0.12</v>
      </c>
      <c r="P4" s="6" t="s">
        <v>43</v>
      </c>
      <c r="Q4" s="4">
        <f>G4-A4</f>
        <v>7.6000000000000512E-2</v>
      </c>
      <c r="R4" s="7">
        <f>MAX(0,IF(P4="s",3/(M4+3)*Q4,IF(P4="k",2/(M4+2)*Q4,0)))</f>
        <v>0</v>
      </c>
      <c r="S4" s="4">
        <f>Q4-R4</f>
        <v>7.6000000000000512E-2</v>
      </c>
      <c r="T4" s="5">
        <f>N4*2*PI()*M4/2</f>
        <v>2389.1812130550375</v>
      </c>
      <c r="U4" s="2">
        <f>(S4/M4)*
(1/((M4^2+H4^2)/(M4^2-H4^2)*(1/C4)
+(B4^2+M4^2)/(B4^2-M4^2)*(1/I4)
-(D4/C4)+(J4/I4)))</f>
        <v>54.12980563883395</v>
      </c>
      <c r="V4" s="5">
        <f>U4*T4*O4</f>
        <v>15519.109763834724</v>
      </c>
      <c r="W4" s="7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37"/>
  <sheetViews>
    <sheetView zoomScaleNormal="100" workbookViewId="0">
      <selection activeCell="E9" sqref="E9"/>
    </sheetView>
  </sheetViews>
  <sheetFormatPr defaultColWidth="8.75" defaultRowHeight="17.649999999999999"/>
  <cols>
    <col min="1" max="1" width="19.875" bestFit="1" customWidth="1"/>
    <col min="2" max="3" width="17.25" bestFit="1" customWidth="1"/>
    <col min="4" max="4" width="13" bestFit="1" customWidth="1"/>
    <col min="5" max="6" width="15.125" bestFit="1" customWidth="1"/>
    <col min="7" max="7" width="13" bestFit="1" customWidth="1"/>
    <col min="8" max="9" width="17.25" bestFit="1" customWidth="1"/>
    <col min="10" max="10" width="13" bestFit="1" customWidth="1"/>
    <col min="11" max="12" width="15.125" bestFit="1" customWidth="1"/>
    <col min="13" max="13" width="13" bestFit="1" customWidth="1"/>
    <col min="14" max="14" width="11.375" bestFit="1" customWidth="1"/>
    <col min="15" max="15" width="13.5" bestFit="1" customWidth="1"/>
    <col min="16" max="16" width="19.875" bestFit="1" customWidth="1"/>
    <col min="17" max="17" width="15.5" bestFit="1" customWidth="1"/>
    <col min="18" max="18" width="20.5" bestFit="1" customWidth="1"/>
    <col min="19" max="21" width="17.625" bestFit="1" customWidth="1"/>
    <col min="22" max="22" width="12.75" bestFit="1" customWidth="1"/>
    <col min="23" max="23" width="11.625" bestFit="1" customWidth="1"/>
  </cols>
  <sheetData>
    <row r="1" spans="1:24" s="3" customFormat="1">
      <c r="A1" s="40"/>
      <c r="B1" s="16" t="s">
        <v>36</v>
      </c>
      <c r="C1" s="17" t="s">
        <v>36</v>
      </c>
      <c r="D1" s="17" t="s">
        <v>36</v>
      </c>
      <c r="E1" s="17" t="s">
        <v>36</v>
      </c>
      <c r="F1" s="17" t="s">
        <v>36</v>
      </c>
      <c r="G1" s="18" t="s">
        <v>36</v>
      </c>
      <c r="H1" s="22" t="s">
        <v>38</v>
      </c>
      <c r="I1" s="23" t="s">
        <v>38</v>
      </c>
      <c r="J1" s="23" t="s">
        <v>38</v>
      </c>
      <c r="K1" s="23" t="s">
        <v>38</v>
      </c>
      <c r="L1" s="23" t="s">
        <v>38</v>
      </c>
      <c r="M1" s="24" t="s">
        <v>38</v>
      </c>
      <c r="N1" s="36" t="s">
        <v>39</v>
      </c>
      <c r="O1" s="17" t="s">
        <v>39</v>
      </c>
      <c r="P1" s="17" t="s">
        <v>39</v>
      </c>
      <c r="Q1" s="36" t="s">
        <v>39</v>
      </c>
      <c r="R1" s="17" t="s">
        <v>39</v>
      </c>
      <c r="S1" s="17" t="s">
        <v>39</v>
      </c>
      <c r="T1" s="17" t="s">
        <v>39</v>
      </c>
      <c r="U1" s="17" t="s">
        <v>39</v>
      </c>
      <c r="V1" s="17" t="s">
        <v>39</v>
      </c>
      <c r="W1" s="18" t="s">
        <v>39</v>
      </c>
    </row>
    <row r="2" spans="1:24" s="3" customFormat="1">
      <c r="A2" s="30"/>
      <c r="B2" s="19" t="s">
        <v>6</v>
      </c>
      <c r="C2" s="10" t="s">
        <v>8</v>
      </c>
      <c r="D2" s="9" t="s">
        <v>5</v>
      </c>
      <c r="E2" s="9" t="s">
        <v>0</v>
      </c>
      <c r="F2" s="9" t="s">
        <v>7</v>
      </c>
      <c r="G2" s="27" t="s">
        <v>12</v>
      </c>
      <c r="H2" s="19" t="s">
        <v>6</v>
      </c>
      <c r="I2" s="10" t="s">
        <v>8</v>
      </c>
      <c r="J2" s="9" t="s">
        <v>5</v>
      </c>
      <c r="K2" s="9" t="s">
        <v>0</v>
      </c>
      <c r="L2" s="9" t="s">
        <v>7</v>
      </c>
      <c r="M2" s="27" t="s">
        <v>12</v>
      </c>
      <c r="N2" s="15" t="s">
        <v>1</v>
      </c>
      <c r="O2" s="9" t="s">
        <v>3</v>
      </c>
      <c r="P2" s="9" t="s">
        <v>40</v>
      </c>
      <c r="Q2" s="15" t="s">
        <v>37</v>
      </c>
      <c r="R2" s="9" t="s">
        <v>13</v>
      </c>
      <c r="S2" s="9" t="s">
        <v>11</v>
      </c>
      <c r="T2" s="9" t="s">
        <v>15</v>
      </c>
      <c r="U2" s="9" t="s">
        <v>10</v>
      </c>
      <c r="V2" s="9" t="s">
        <v>2</v>
      </c>
      <c r="W2" s="27" t="s">
        <v>9</v>
      </c>
    </row>
    <row r="3" spans="1:24" s="3" customFormat="1">
      <c r="A3" s="30"/>
      <c r="B3" s="19" t="s">
        <v>41</v>
      </c>
      <c r="C3" s="10" t="s">
        <v>47</v>
      </c>
      <c r="D3" s="9" t="s">
        <v>52</v>
      </c>
      <c r="E3" s="9" t="s">
        <v>53</v>
      </c>
      <c r="F3" s="9" t="s">
        <v>46</v>
      </c>
      <c r="G3" s="27" t="s">
        <v>45</v>
      </c>
      <c r="H3" s="19" t="s">
        <v>41</v>
      </c>
      <c r="I3" s="10" t="s">
        <v>42</v>
      </c>
      <c r="J3" s="9" t="s">
        <v>50</v>
      </c>
      <c r="K3" s="9" t="s">
        <v>51</v>
      </c>
      <c r="L3" s="9" t="s">
        <v>46</v>
      </c>
      <c r="M3" s="27" t="s">
        <v>45</v>
      </c>
      <c r="N3" s="15" t="s">
        <v>49</v>
      </c>
      <c r="O3" s="9" t="s">
        <v>4</v>
      </c>
      <c r="P3" s="9" t="s">
        <v>44</v>
      </c>
      <c r="Q3" s="15" t="s">
        <v>48</v>
      </c>
      <c r="R3" s="9" t="s">
        <v>41</v>
      </c>
      <c r="S3" s="9" t="s">
        <v>41</v>
      </c>
      <c r="T3" s="9" t="s">
        <v>54</v>
      </c>
      <c r="U3" s="28" t="s">
        <v>55</v>
      </c>
      <c r="V3" s="9" t="s">
        <v>56</v>
      </c>
      <c r="W3" s="27" t="s">
        <v>57</v>
      </c>
    </row>
    <row r="4" spans="1:24" s="3" customFormat="1">
      <c r="A4" s="47" t="s">
        <v>59</v>
      </c>
      <c r="B4" s="35">
        <v>45.063000000000002</v>
      </c>
      <c r="C4" s="6">
        <v>0</v>
      </c>
      <c r="D4" s="6">
        <v>208000</v>
      </c>
      <c r="E4" s="6">
        <v>0.3</v>
      </c>
      <c r="F4" s="6">
        <v>12.5</v>
      </c>
      <c r="G4" s="21">
        <v>20</v>
      </c>
      <c r="H4" s="35">
        <v>44.988999999999997</v>
      </c>
      <c r="I4" s="6">
        <v>59</v>
      </c>
      <c r="J4" s="6">
        <v>208000</v>
      </c>
      <c r="K4" s="6">
        <v>0.3</v>
      </c>
      <c r="L4" s="6">
        <v>12.5</v>
      </c>
      <c r="M4" s="21">
        <v>20</v>
      </c>
      <c r="N4" s="29">
        <v>16</v>
      </c>
      <c r="O4" s="6">
        <v>0.08</v>
      </c>
      <c r="P4" s="6" t="s">
        <v>61</v>
      </c>
      <c r="Q4" s="37">
        <f>Q12</f>
        <v>45.027500000000003</v>
      </c>
      <c r="R4" s="37">
        <f t="shared" ref="R4:W4" si="0">R12</f>
        <v>7.4999999999995737E-2</v>
      </c>
      <c r="S4" s="37">
        <f t="shared" si="0"/>
        <v>0</v>
      </c>
      <c r="T4" s="37">
        <f t="shared" si="0"/>
        <v>7.4999999999995737E-2</v>
      </c>
      <c r="U4" s="39">
        <f t="shared" si="0"/>
        <v>2390.6412682407936</v>
      </c>
      <c r="V4" s="38">
        <f t="shared" si="0"/>
        <v>28.717057737770208</v>
      </c>
      <c r="W4" s="46">
        <f t="shared" si="0"/>
        <v>8238.261999644048</v>
      </c>
    </row>
    <row r="5" spans="1:24" s="3" customFormat="1">
      <c r="A5" s="47" t="s">
        <v>58</v>
      </c>
      <c r="B5" s="25">
        <v>45.064</v>
      </c>
      <c r="C5" s="11">
        <v>30</v>
      </c>
      <c r="D5" s="1">
        <v>208000</v>
      </c>
      <c r="E5" s="6">
        <v>0.3</v>
      </c>
      <c r="F5" s="1">
        <v>12.5</v>
      </c>
      <c r="G5" s="21">
        <v>20</v>
      </c>
      <c r="H5" s="20">
        <v>44.99</v>
      </c>
      <c r="I5" s="12">
        <v>60</v>
      </c>
      <c r="J5" s="1">
        <v>208000</v>
      </c>
      <c r="K5" s="6">
        <v>0.3</v>
      </c>
      <c r="L5" s="1">
        <v>12.5</v>
      </c>
      <c r="M5" s="21">
        <v>20</v>
      </c>
      <c r="N5" s="29">
        <v>16.899999999999999</v>
      </c>
      <c r="O5" s="6">
        <v>0.12</v>
      </c>
      <c r="P5" s="6" t="s">
        <v>43</v>
      </c>
      <c r="Q5" s="37">
        <f t="shared" ref="Q5:W6" si="1">Q13</f>
        <v>45.027500000000003</v>
      </c>
      <c r="R5" s="37">
        <f t="shared" si="1"/>
        <v>7.4999999999995737E-2</v>
      </c>
      <c r="S5" s="37">
        <f t="shared" si="1"/>
        <v>0</v>
      </c>
      <c r="T5" s="37">
        <f t="shared" si="1"/>
        <v>7.4999999999995737E-2</v>
      </c>
      <c r="U5" s="39">
        <f t="shared" si="1"/>
        <v>2390.6412682407936</v>
      </c>
      <c r="V5" s="38">
        <f t="shared" si="1"/>
        <v>56.105042504847432</v>
      </c>
      <c r="W5" s="46">
        <f t="shared" si="1"/>
        <v>16095.243596219052</v>
      </c>
    </row>
    <row r="6" spans="1:24" s="3" customFormat="1" ht="18" thickBot="1">
      <c r="A6" s="60" t="s">
        <v>60</v>
      </c>
      <c r="B6" s="61">
        <v>45.064999999999998</v>
      </c>
      <c r="C6" s="62">
        <v>40</v>
      </c>
      <c r="D6" s="62">
        <v>208000</v>
      </c>
      <c r="E6" s="62">
        <v>0.3</v>
      </c>
      <c r="F6" s="62">
        <v>12.5</v>
      </c>
      <c r="G6" s="63">
        <v>20</v>
      </c>
      <c r="H6" s="61">
        <v>44.991</v>
      </c>
      <c r="I6" s="62">
        <v>61</v>
      </c>
      <c r="J6" s="62">
        <v>208000</v>
      </c>
      <c r="K6" s="62">
        <v>0.3</v>
      </c>
      <c r="L6" s="62">
        <v>12.5</v>
      </c>
      <c r="M6" s="63">
        <v>20</v>
      </c>
      <c r="N6" s="64">
        <v>17</v>
      </c>
      <c r="O6" s="62">
        <v>0.12</v>
      </c>
      <c r="P6" s="62" t="s">
        <v>62</v>
      </c>
      <c r="Q6" s="65">
        <f t="shared" si="1"/>
        <v>45.027500000000003</v>
      </c>
      <c r="R6" s="65">
        <f t="shared" si="1"/>
        <v>7.4999999999995737E-2</v>
      </c>
      <c r="S6" s="65">
        <f t="shared" si="1"/>
        <v>0</v>
      </c>
      <c r="T6" s="65">
        <f t="shared" si="1"/>
        <v>7.4999999999995737E-2</v>
      </c>
      <c r="U6" s="66">
        <f t="shared" si="1"/>
        <v>2390.6412682407936</v>
      </c>
      <c r="V6" s="67">
        <f t="shared" si="1"/>
        <v>75.66788876704544</v>
      </c>
      <c r="W6" s="68">
        <f t="shared" si="1"/>
        <v>21707.373308058337</v>
      </c>
    </row>
    <row r="7" spans="1:24" s="3" customFormat="1" ht="18" thickTop="1">
      <c r="A7" s="55" t="s">
        <v>66</v>
      </c>
      <c r="B7" s="56">
        <v>0</v>
      </c>
      <c r="C7" s="57">
        <v>1</v>
      </c>
      <c r="D7" s="57">
        <v>0</v>
      </c>
      <c r="E7" s="57">
        <v>0</v>
      </c>
      <c r="F7" s="57">
        <v>0</v>
      </c>
      <c r="G7" s="58">
        <v>0</v>
      </c>
      <c r="H7" s="56">
        <v>0</v>
      </c>
      <c r="I7" s="57">
        <v>0</v>
      </c>
      <c r="J7" s="57">
        <v>0</v>
      </c>
      <c r="K7" s="57">
        <v>0</v>
      </c>
      <c r="L7" s="57">
        <v>0</v>
      </c>
      <c r="M7" s="58">
        <v>0</v>
      </c>
      <c r="N7" s="59">
        <v>0</v>
      </c>
      <c r="O7" s="57">
        <v>0</v>
      </c>
      <c r="P7" s="57">
        <v>0</v>
      </c>
      <c r="Q7"/>
      <c r="R7"/>
      <c r="S7"/>
      <c r="T7"/>
      <c r="U7"/>
      <c r="V7"/>
      <c r="W7"/>
    </row>
    <row r="8" spans="1:24" s="3" customFormat="1" ht="35.65" thickBot="1">
      <c r="A8" s="75" t="s">
        <v>68</v>
      </c>
      <c r="B8" s="76">
        <v>1</v>
      </c>
      <c r="C8" s="77">
        <v>0</v>
      </c>
      <c r="D8" s="77">
        <v>0</v>
      </c>
      <c r="E8" s="77">
        <v>0</v>
      </c>
      <c r="F8" s="77">
        <v>0</v>
      </c>
      <c r="G8" s="78">
        <v>0</v>
      </c>
      <c r="H8" s="76">
        <v>0</v>
      </c>
      <c r="I8" s="77">
        <v>0</v>
      </c>
      <c r="J8" s="77">
        <v>0</v>
      </c>
      <c r="K8" s="77">
        <v>0</v>
      </c>
      <c r="L8" s="77">
        <v>0</v>
      </c>
      <c r="M8" s="78">
        <v>0</v>
      </c>
      <c r="N8" s="29">
        <v>0</v>
      </c>
      <c r="O8" s="6">
        <v>0</v>
      </c>
      <c r="P8" s="31"/>
      <c r="Q8" s="31"/>
      <c r="R8" s="31"/>
      <c r="S8" s="31"/>
      <c r="T8" s="31"/>
      <c r="U8" s="31"/>
      <c r="V8" s="31"/>
      <c r="W8"/>
      <c r="X8"/>
    </row>
    <row r="11" spans="1:24" s="3" customFormat="1">
      <c r="A11" s="41" t="s">
        <v>14</v>
      </c>
      <c r="B11" s="43" t="s">
        <v>14</v>
      </c>
      <c r="C11" s="7" t="s">
        <v>14</v>
      </c>
      <c r="D11" s="7" t="s">
        <v>14</v>
      </c>
      <c r="E11" s="7" t="s">
        <v>14</v>
      </c>
      <c r="F11" s="7" t="s">
        <v>14</v>
      </c>
      <c r="G11" s="44" t="s">
        <v>14</v>
      </c>
      <c r="H11" s="42" t="s">
        <v>14</v>
      </c>
      <c r="I11" s="7" t="s">
        <v>14</v>
      </c>
      <c r="J11" s="7" t="s">
        <v>14</v>
      </c>
      <c r="K11" s="7" t="s">
        <v>14</v>
      </c>
      <c r="L11" s="7" t="s">
        <v>14</v>
      </c>
      <c r="M11" s="41" t="s">
        <v>14</v>
      </c>
      <c r="N11" s="43" t="s">
        <v>14</v>
      </c>
      <c r="O11" s="7" t="s">
        <v>14</v>
      </c>
      <c r="P11" s="7" t="s">
        <v>14</v>
      </c>
      <c r="Q11" s="7" t="s">
        <v>14</v>
      </c>
      <c r="R11" s="7" t="s">
        <v>14</v>
      </c>
      <c r="S11" s="7" t="s">
        <v>14</v>
      </c>
      <c r="T11" s="7" t="s">
        <v>14</v>
      </c>
      <c r="U11" s="7" t="s">
        <v>14</v>
      </c>
      <c r="V11" s="7" t="s">
        <v>14</v>
      </c>
      <c r="W11" s="44" t="s">
        <v>14</v>
      </c>
    </row>
    <row r="12" spans="1:24" s="3" customFormat="1">
      <c r="A12" s="41" t="s">
        <v>63</v>
      </c>
      <c r="B12" s="43">
        <f t="shared" ref="B12:O12" si="2">IF(B$7,B4,_xlfn.SWITCH(B$8,-1,B$4,0,B$5,1,B$6))</f>
        <v>45.064999999999998</v>
      </c>
      <c r="C12" s="43">
        <f t="shared" si="2"/>
        <v>0</v>
      </c>
      <c r="D12" s="43">
        <f t="shared" si="2"/>
        <v>208000</v>
      </c>
      <c r="E12" s="43">
        <f t="shared" si="2"/>
        <v>0.3</v>
      </c>
      <c r="F12" s="43">
        <f t="shared" si="2"/>
        <v>12.5</v>
      </c>
      <c r="G12" s="43">
        <f t="shared" si="2"/>
        <v>20</v>
      </c>
      <c r="H12" s="43">
        <f t="shared" si="2"/>
        <v>44.99</v>
      </c>
      <c r="I12" s="43">
        <f t="shared" si="2"/>
        <v>60</v>
      </c>
      <c r="J12" s="43">
        <f t="shared" si="2"/>
        <v>208000</v>
      </c>
      <c r="K12" s="43">
        <f t="shared" si="2"/>
        <v>0.3</v>
      </c>
      <c r="L12" s="43">
        <f t="shared" si="2"/>
        <v>12.5</v>
      </c>
      <c r="M12" s="43">
        <f t="shared" si="2"/>
        <v>20</v>
      </c>
      <c r="N12" s="43">
        <f t="shared" si="2"/>
        <v>16.899999999999999</v>
      </c>
      <c r="O12" s="43">
        <f t="shared" si="2"/>
        <v>0.12</v>
      </c>
      <c r="P12" s="7" t="str">
        <f>IF(P$7,P4,P5)</f>
        <v>m</v>
      </c>
      <c r="Q12" s="8">
        <f>AVERAGE(H14,B12)</f>
        <v>45.027500000000003</v>
      </c>
      <c r="R12" s="4">
        <f>B12-H14</f>
        <v>7.4999999999995737E-2</v>
      </c>
      <c r="S12" s="7">
        <f>MAX(0,IF(P12="s",3/(Q12+3)*R12,IF(P12="k",2/(Q12+2)*R12,0)))</f>
        <v>0</v>
      </c>
      <c r="T12" s="4">
        <f>R12-S12</f>
        <v>7.4999999999995737E-2</v>
      </c>
      <c r="U12" s="5">
        <f>N12*2*PI()*Q12/2</f>
        <v>2390.6412682407936</v>
      </c>
      <c r="V12" s="2">
        <f>(T12/Q12)*(1/((Q12^2+C14^2)/(Q12^2-C14^2)*(1/J12)+(I12^2+Q12^2)/(I12^2-Q12^2)*(1/D12)-(K12/J12)+(E12/D12)))</f>
        <v>28.717057737770208</v>
      </c>
      <c r="W12" s="45">
        <f>V12*U12*O12</f>
        <v>8238.261999644048</v>
      </c>
    </row>
    <row r="13" spans="1:24" s="3" customFormat="1">
      <c r="A13" s="41" t="s">
        <v>64</v>
      </c>
      <c r="B13" s="43">
        <f t="shared" ref="B13:O13" si="3">IF(B$7,B5,_xlfn.SWITCH(B$8,-1,B$4,0,B$5,1,B$6))</f>
        <v>45.064999999999998</v>
      </c>
      <c r="C13" s="43">
        <f t="shared" si="3"/>
        <v>30</v>
      </c>
      <c r="D13" s="43">
        <f t="shared" si="3"/>
        <v>208000</v>
      </c>
      <c r="E13" s="43">
        <f t="shared" si="3"/>
        <v>0.3</v>
      </c>
      <c r="F13" s="43">
        <f t="shared" si="3"/>
        <v>12.5</v>
      </c>
      <c r="G13" s="43">
        <f t="shared" si="3"/>
        <v>20</v>
      </c>
      <c r="H13" s="43">
        <f t="shared" si="3"/>
        <v>44.99</v>
      </c>
      <c r="I13" s="43">
        <f t="shared" si="3"/>
        <v>60</v>
      </c>
      <c r="J13" s="43">
        <f t="shared" si="3"/>
        <v>208000</v>
      </c>
      <c r="K13" s="43">
        <f t="shared" si="3"/>
        <v>0.3</v>
      </c>
      <c r="L13" s="43">
        <f t="shared" si="3"/>
        <v>12.5</v>
      </c>
      <c r="M13" s="43">
        <f t="shared" si="3"/>
        <v>20</v>
      </c>
      <c r="N13" s="43">
        <f t="shared" si="3"/>
        <v>16.899999999999999</v>
      </c>
      <c r="O13" s="43">
        <f t="shared" si="3"/>
        <v>0.12</v>
      </c>
      <c r="P13" s="8" t="str">
        <f>P5</f>
        <v>m</v>
      </c>
      <c r="Q13" s="8">
        <f>AVERAGE(H13,B13)</f>
        <v>45.027500000000003</v>
      </c>
      <c r="R13" s="4">
        <f>B13-H13</f>
        <v>7.4999999999995737E-2</v>
      </c>
      <c r="S13" s="7">
        <f>MAX(0,IF(P13="s",3/(Q13+3)*R13,IF(P13="k",2/(Q13+2)*R13,0)))</f>
        <v>0</v>
      </c>
      <c r="T13" s="4">
        <f>R13-S13</f>
        <v>7.4999999999995737E-2</v>
      </c>
      <c r="U13" s="5">
        <f>N13*2*PI()*Q13/2</f>
        <v>2390.6412682407936</v>
      </c>
      <c r="V13" s="2">
        <f>(T13/Q13)*(1/((Q13^2+C13^2)/(Q13^2-C13^2)*(1/J13)+(I13^2+Q13^2)/(I13^2-Q13^2)*(1/D13)-(K13/J13)+(E13/D13)))</f>
        <v>56.105042504847432</v>
      </c>
      <c r="W13" s="45">
        <f>V13*U13*O13</f>
        <v>16095.243596219052</v>
      </c>
    </row>
    <row r="14" spans="1:24" s="3" customFormat="1">
      <c r="A14" s="41" t="s">
        <v>65</v>
      </c>
      <c r="B14" s="43">
        <f t="shared" ref="B14:O14" si="4">IF(B$7,B6,_xlfn.SWITCH(B$8,-1,B$4,0,B$5,1,B$6))</f>
        <v>45.064999999999998</v>
      </c>
      <c r="C14" s="43">
        <f t="shared" si="4"/>
        <v>40</v>
      </c>
      <c r="D14" s="43">
        <f t="shared" si="4"/>
        <v>208000</v>
      </c>
      <c r="E14" s="43">
        <f t="shared" si="4"/>
        <v>0.3</v>
      </c>
      <c r="F14" s="43">
        <f t="shared" si="4"/>
        <v>12.5</v>
      </c>
      <c r="G14" s="43">
        <f t="shared" si="4"/>
        <v>20</v>
      </c>
      <c r="H14" s="43">
        <f t="shared" si="4"/>
        <v>44.99</v>
      </c>
      <c r="I14" s="43">
        <f t="shared" si="4"/>
        <v>60</v>
      </c>
      <c r="J14" s="43">
        <f t="shared" si="4"/>
        <v>208000</v>
      </c>
      <c r="K14" s="43">
        <f t="shared" si="4"/>
        <v>0.3</v>
      </c>
      <c r="L14" s="43">
        <f t="shared" si="4"/>
        <v>12.5</v>
      </c>
      <c r="M14" s="43">
        <f t="shared" si="4"/>
        <v>20</v>
      </c>
      <c r="N14" s="43">
        <f t="shared" si="4"/>
        <v>16.899999999999999</v>
      </c>
      <c r="O14" s="43">
        <f t="shared" si="4"/>
        <v>0.12</v>
      </c>
      <c r="P14" s="7" t="str">
        <f>IF(P$7,P6,P5)</f>
        <v>m</v>
      </c>
      <c r="Q14" s="8">
        <f>AVERAGE(H12,B14)</f>
        <v>45.027500000000003</v>
      </c>
      <c r="R14" s="4">
        <f>B14-H12</f>
        <v>7.4999999999995737E-2</v>
      </c>
      <c r="S14" s="7">
        <f>MAX(0,IF(P14="s",3/(Q14+3)*R14,IF(P14="k",2/(Q14+2)*R14,0)))</f>
        <v>0</v>
      </c>
      <c r="T14" s="4">
        <f>R14-S14</f>
        <v>7.4999999999995737E-2</v>
      </c>
      <c r="U14" s="5">
        <f>N14*2*PI()*Q14/2</f>
        <v>2390.6412682407936</v>
      </c>
      <c r="V14" s="2">
        <f>(T14/Q14)*(1/((Q14^2+C12^2)/(Q14^2-C12^2)*(1/J14)+(I14^2+Q14^2)/(I14^2-Q14^2)*(1/D14)-(K14/J14)+(E14/D14)))</f>
        <v>75.66788876704544</v>
      </c>
      <c r="W14" s="45">
        <f>V14*U14*O14</f>
        <v>21707.373308058337</v>
      </c>
    </row>
    <row r="15" spans="1:24" s="3" customFormat="1" ht="18" thickBot="1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</row>
    <row r="16" spans="1:24" s="3" customFormat="1">
      <c r="A16" s="48" t="s">
        <v>67</v>
      </c>
      <c r="B16" s="49" t="str">
        <f>B1&amp;B2</f>
        <v>内筒はめあい面径</v>
      </c>
      <c r="C16" s="49" t="str">
        <f t="shared" ref="C16:O16" si="5">C1&amp;C2</f>
        <v>内筒非はめあい径</v>
      </c>
      <c r="D16" s="49" t="str">
        <f t="shared" si="5"/>
        <v>内筒弾性係数</v>
      </c>
      <c r="E16" s="49" t="str">
        <f t="shared" si="5"/>
        <v>内筒ポアソン比</v>
      </c>
      <c r="F16" s="49" t="str">
        <f t="shared" si="5"/>
        <v>内筒線膨張係数</v>
      </c>
      <c r="G16" s="49" t="str">
        <f t="shared" si="5"/>
        <v>内筒圧入温度</v>
      </c>
      <c r="H16" s="49" t="str">
        <f t="shared" si="5"/>
        <v>外筒はめあい面径</v>
      </c>
      <c r="I16" s="49" t="str">
        <f t="shared" si="5"/>
        <v>外筒非はめあい径</v>
      </c>
      <c r="J16" s="49" t="str">
        <f t="shared" si="5"/>
        <v>外筒弾性係数</v>
      </c>
      <c r="K16" s="49" t="str">
        <f t="shared" si="5"/>
        <v>外筒ポアソン比</v>
      </c>
      <c r="L16" s="49" t="str">
        <f t="shared" si="5"/>
        <v>外筒線膨張係数</v>
      </c>
      <c r="M16" s="49" t="str">
        <f t="shared" si="5"/>
        <v>外筒圧入温度</v>
      </c>
      <c r="N16" s="49" t="str">
        <f t="shared" si="5"/>
        <v>Assy接触長</v>
      </c>
      <c r="O16" s="49" t="str">
        <f t="shared" si="5"/>
        <v>Assy摩擦係数</v>
      </c>
      <c r="P16" s="49"/>
      <c r="Q16" s="49" t="str">
        <f t="shared" ref="Q16:W16" si="6">Q1&amp;Q2</f>
        <v>Assyはめあい径</v>
      </c>
      <c r="R16" s="49" t="str">
        <f t="shared" si="6"/>
        <v>Assyしめしろ(両側）</v>
      </c>
      <c r="S16" s="49" t="str">
        <f t="shared" si="6"/>
        <v>Assy減少しめしろ</v>
      </c>
      <c r="T16" s="49" t="str">
        <f t="shared" si="6"/>
        <v>Assy有効しめしろ</v>
      </c>
      <c r="U16" s="49" t="str">
        <f t="shared" si="6"/>
        <v>Assyはめあい面積</v>
      </c>
      <c r="V16" s="49" t="str">
        <f t="shared" si="6"/>
        <v>Assy面圧</v>
      </c>
      <c r="W16" s="50" t="str">
        <f t="shared" si="6"/>
        <v>Assy圧入力</v>
      </c>
    </row>
    <row r="17" spans="1:23" s="3" customFormat="1">
      <c r="A17" s="51">
        <v>0</v>
      </c>
      <c r="B17" s="52">
        <f t="shared" ref="B17:O26" si="7">(B$14-B$12)*($A17/20)+B$12</f>
        <v>45.064999999999998</v>
      </c>
      <c r="C17" s="52">
        <f>(C$14-C$12)*((20-$A17)/20)+C$12</f>
        <v>40</v>
      </c>
      <c r="D17" s="52">
        <f t="shared" si="7"/>
        <v>208000</v>
      </c>
      <c r="E17" s="52">
        <f t="shared" si="7"/>
        <v>0.3</v>
      </c>
      <c r="F17" s="52">
        <f t="shared" si="7"/>
        <v>12.5</v>
      </c>
      <c r="G17" s="52">
        <f t="shared" si="7"/>
        <v>20</v>
      </c>
      <c r="H17" s="52">
        <f t="shared" si="7"/>
        <v>44.99</v>
      </c>
      <c r="I17" s="52">
        <f t="shared" si="7"/>
        <v>60</v>
      </c>
      <c r="J17" s="52">
        <f t="shared" si="7"/>
        <v>208000</v>
      </c>
      <c r="K17" s="52">
        <f t="shared" si="7"/>
        <v>0.3</v>
      </c>
      <c r="L17" s="52">
        <f t="shared" si="7"/>
        <v>12.5</v>
      </c>
      <c r="M17" s="52">
        <f t="shared" si="7"/>
        <v>20</v>
      </c>
      <c r="N17" s="52">
        <f t="shared" si="7"/>
        <v>16.899999999999999</v>
      </c>
      <c r="O17" s="52">
        <f t="shared" si="7"/>
        <v>0.12</v>
      </c>
      <c r="P17" s="52"/>
      <c r="Q17" s="52">
        <f t="shared" ref="Q17:W26" si="8">(Q$14-Q$12)*($A17/20)+Q$12</f>
        <v>45.027500000000003</v>
      </c>
      <c r="R17" s="52">
        <f t="shared" si="8"/>
        <v>7.4999999999995737E-2</v>
      </c>
      <c r="S17" s="52">
        <f t="shared" si="8"/>
        <v>0</v>
      </c>
      <c r="T17" s="52">
        <f t="shared" si="8"/>
        <v>7.4999999999995737E-2</v>
      </c>
      <c r="U17" s="70">
        <f t="shared" si="8"/>
        <v>2390.6412682407936</v>
      </c>
      <c r="V17" s="69">
        <f t="shared" si="8"/>
        <v>28.717057737770208</v>
      </c>
      <c r="W17" s="71">
        <f t="shared" si="8"/>
        <v>8238.261999644048</v>
      </c>
    </row>
    <row r="18" spans="1:23" s="3" customFormat="1">
      <c r="A18" s="51">
        <v>1</v>
      </c>
      <c r="B18" s="52">
        <f t="shared" si="7"/>
        <v>45.064999999999998</v>
      </c>
      <c r="C18" s="52">
        <f t="shared" ref="C18:C37" si="9">(C$14-C$12)*((20-$A18)/20)+C$12</f>
        <v>38</v>
      </c>
      <c r="D18" s="52">
        <f t="shared" si="7"/>
        <v>208000</v>
      </c>
      <c r="E18" s="52">
        <f t="shared" si="7"/>
        <v>0.3</v>
      </c>
      <c r="F18" s="52">
        <f t="shared" si="7"/>
        <v>12.5</v>
      </c>
      <c r="G18" s="52">
        <f t="shared" si="7"/>
        <v>20</v>
      </c>
      <c r="H18" s="52">
        <f t="shared" si="7"/>
        <v>44.99</v>
      </c>
      <c r="I18" s="52">
        <f t="shared" si="7"/>
        <v>60</v>
      </c>
      <c r="J18" s="52">
        <f t="shared" si="7"/>
        <v>208000</v>
      </c>
      <c r="K18" s="52">
        <f t="shared" si="7"/>
        <v>0.3</v>
      </c>
      <c r="L18" s="52">
        <f t="shared" si="7"/>
        <v>12.5</v>
      </c>
      <c r="M18" s="52">
        <f t="shared" si="7"/>
        <v>20</v>
      </c>
      <c r="N18" s="52">
        <f t="shared" si="7"/>
        <v>16.899999999999999</v>
      </c>
      <c r="O18" s="52">
        <f t="shared" si="7"/>
        <v>0.12</v>
      </c>
      <c r="P18" s="52"/>
      <c r="Q18" s="52">
        <f t="shared" si="8"/>
        <v>45.027500000000003</v>
      </c>
      <c r="R18" s="52">
        <f t="shared" si="8"/>
        <v>7.4999999999995737E-2</v>
      </c>
      <c r="S18" s="52">
        <f t="shared" si="8"/>
        <v>0</v>
      </c>
      <c r="T18" s="52">
        <f t="shared" si="8"/>
        <v>7.4999999999995737E-2</v>
      </c>
      <c r="U18" s="70">
        <f t="shared" si="8"/>
        <v>2390.6412682407936</v>
      </c>
      <c r="V18" s="69">
        <f t="shared" si="8"/>
        <v>31.064599289233971</v>
      </c>
      <c r="W18" s="71">
        <f t="shared" si="8"/>
        <v>8911.7175650647623</v>
      </c>
    </row>
    <row r="19" spans="1:23" s="3" customFormat="1">
      <c r="A19" s="51">
        <v>2</v>
      </c>
      <c r="B19" s="52">
        <f t="shared" si="7"/>
        <v>45.064999999999998</v>
      </c>
      <c r="C19" s="52">
        <f t="shared" si="9"/>
        <v>36</v>
      </c>
      <c r="D19" s="52">
        <f t="shared" si="7"/>
        <v>208000</v>
      </c>
      <c r="E19" s="52">
        <f t="shared" si="7"/>
        <v>0.3</v>
      </c>
      <c r="F19" s="52">
        <f t="shared" si="7"/>
        <v>12.5</v>
      </c>
      <c r="G19" s="52">
        <f t="shared" si="7"/>
        <v>20</v>
      </c>
      <c r="H19" s="52">
        <f t="shared" si="7"/>
        <v>44.99</v>
      </c>
      <c r="I19" s="52">
        <f t="shared" si="7"/>
        <v>60</v>
      </c>
      <c r="J19" s="52">
        <f t="shared" si="7"/>
        <v>208000</v>
      </c>
      <c r="K19" s="52">
        <f t="shared" si="7"/>
        <v>0.3</v>
      </c>
      <c r="L19" s="52">
        <f t="shared" si="7"/>
        <v>12.5</v>
      </c>
      <c r="M19" s="52">
        <f t="shared" si="7"/>
        <v>20</v>
      </c>
      <c r="N19" s="52">
        <f t="shared" si="7"/>
        <v>16.899999999999999</v>
      </c>
      <c r="O19" s="52">
        <f t="shared" si="7"/>
        <v>0.12</v>
      </c>
      <c r="P19" s="52"/>
      <c r="Q19" s="52">
        <f t="shared" si="8"/>
        <v>45.027500000000003</v>
      </c>
      <c r="R19" s="52">
        <f t="shared" si="8"/>
        <v>7.4999999999995737E-2</v>
      </c>
      <c r="S19" s="52">
        <f t="shared" si="8"/>
        <v>0</v>
      </c>
      <c r="T19" s="52">
        <f t="shared" si="8"/>
        <v>7.4999999999995737E-2</v>
      </c>
      <c r="U19" s="70">
        <f t="shared" si="8"/>
        <v>2390.6412682407936</v>
      </c>
      <c r="V19" s="69">
        <f t="shared" si="8"/>
        <v>33.412140840697731</v>
      </c>
      <c r="W19" s="71">
        <f t="shared" si="8"/>
        <v>9585.1731304854766</v>
      </c>
    </row>
    <row r="20" spans="1:23" s="3" customFormat="1">
      <c r="A20" s="51">
        <v>3</v>
      </c>
      <c r="B20" s="52">
        <f t="shared" si="7"/>
        <v>45.064999999999998</v>
      </c>
      <c r="C20" s="52">
        <f t="shared" si="9"/>
        <v>34</v>
      </c>
      <c r="D20" s="52">
        <f t="shared" si="7"/>
        <v>208000</v>
      </c>
      <c r="E20" s="52">
        <f t="shared" si="7"/>
        <v>0.3</v>
      </c>
      <c r="F20" s="52">
        <f t="shared" si="7"/>
        <v>12.5</v>
      </c>
      <c r="G20" s="52">
        <f t="shared" si="7"/>
        <v>20</v>
      </c>
      <c r="H20" s="52">
        <f t="shared" si="7"/>
        <v>44.99</v>
      </c>
      <c r="I20" s="52">
        <f t="shared" si="7"/>
        <v>60</v>
      </c>
      <c r="J20" s="52">
        <f t="shared" si="7"/>
        <v>208000</v>
      </c>
      <c r="K20" s="52">
        <f t="shared" si="7"/>
        <v>0.3</v>
      </c>
      <c r="L20" s="52">
        <f t="shared" si="7"/>
        <v>12.5</v>
      </c>
      <c r="M20" s="52">
        <f t="shared" si="7"/>
        <v>20</v>
      </c>
      <c r="N20" s="52">
        <f t="shared" si="7"/>
        <v>16.899999999999999</v>
      </c>
      <c r="O20" s="52">
        <f t="shared" si="7"/>
        <v>0.12</v>
      </c>
      <c r="P20" s="52"/>
      <c r="Q20" s="52">
        <f t="shared" si="8"/>
        <v>45.027500000000003</v>
      </c>
      <c r="R20" s="52">
        <f t="shared" si="8"/>
        <v>7.4999999999995737E-2</v>
      </c>
      <c r="S20" s="52">
        <f t="shared" si="8"/>
        <v>0</v>
      </c>
      <c r="T20" s="52">
        <f t="shared" si="8"/>
        <v>7.4999999999995737E-2</v>
      </c>
      <c r="U20" s="70">
        <f t="shared" si="8"/>
        <v>2390.6412682407936</v>
      </c>
      <c r="V20" s="69">
        <f t="shared" si="8"/>
        <v>35.759682392161494</v>
      </c>
      <c r="W20" s="71">
        <f t="shared" si="8"/>
        <v>10258.628695906191</v>
      </c>
    </row>
    <row r="21" spans="1:23" s="3" customFormat="1">
      <c r="A21" s="51">
        <v>4</v>
      </c>
      <c r="B21" s="52">
        <f t="shared" si="7"/>
        <v>45.064999999999998</v>
      </c>
      <c r="C21" s="52">
        <f t="shared" si="9"/>
        <v>32</v>
      </c>
      <c r="D21" s="52">
        <f t="shared" si="7"/>
        <v>208000</v>
      </c>
      <c r="E21" s="52">
        <f t="shared" si="7"/>
        <v>0.3</v>
      </c>
      <c r="F21" s="52">
        <f t="shared" si="7"/>
        <v>12.5</v>
      </c>
      <c r="G21" s="52">
        <f t="shared" si="7"/>
        <v>20</v>
      </c>
      <c r="H21" s="52">
        <f t="shared" si="7"/>
        <v>44.99</v>
      </c>
      <c r="I21" s="52">
        <f t="shared" si="7"/>
        <v>60</v>
      </c>
      <c r="J21" s="52">
        <f t="shared" si="7"/>
        <v>208000</v>
      </c>
      <c r="K21" s="52">
        <f t="shared" si="7"/>
        <v>0.3</v>
      </c>
      <c r="L21" s="52">
        <f t="shared" si="7"/>
        <v>12.5</v>
      </c>
      <c r="M21" s="52">
        <f t="shared" si="7"/>
        <v>20</v>
      </c>
      <c r="N21" s="52">
        <f t="shared" si="7"/>
        <v>16.899999999999999</v>
      </c>
      <c r="O21" s="52">
        <f t="shared" si="7"/>
        <v>0.12</v>
      </c>
      <c r="P21" s="52"/>
      <c r="Q21" s="52">
        <f t="shared" si="8"/>
        <v>45.027500000000003</v>
      </c>
      <c r="R21" s="52">
        <f t="shared" si="8"/>
        <v>7.4999999999995737E-2</v>
      </c>
      <c r="S21" s="52">
        <f t="shared" si="8"/>
        <v>0</v>
      </c>
      <c r="T21" s="52">
        <f t="shared" si="8"/>
        <v>7.4999999999995737E-2</v>
      </c>
      <c r="U21" s="70">
        <f t="shared" si="8"/>
        <v>2390.6412682407936</v>
      </c>
      <c r="V21" s="69">
        <f t="shared" si="8"/>
        <v>38.107223943625257</v>
      </c>
      <c r="W21" s="71">
        <f t="shared" si="8"/>
        <v>10932.084261326905</v>
      </c>
    </row>
    <row r="22" spans="1:23" s="3" customFormat="1">
      <c r="A22" s="51">
        <v>5</v>
      </c>
      <c r="B22" s="52">
        <f t="shared" si="7"/>
        <v>45.064999999999998</v>
      </c>
      <c r="C22" s="52">
        <f t="shared" si="9"/>
        <v>30</v>
      </c>
      <c r="D22" s="52">
        <f t="shared" si="7"/>
        <v>208000</v>
      </c>
      <c r="E22" s="52">
        <f t="shared" si="7"/>
        <v>0.3</v>
      </c>
      <c r="F22" s="52">
        <f t="shared" si="7"/>
        <v>12.5</v>
      </c>
      <c r="G22" s="52">
        <f t="shared" si="7"/>
        <v>20</v>
      </c>
      <c r="H22" s="52">
        <f t="shared" si="7"/>
        <v>44.99</v>
      </c>
      <c r="I22" s="52">
        <f t="shared" si="7"/>
        <v>60</v>
      </c>
      <c r="J22" s="52">
        <f t="shared" si="7"/>
        <v>208000</v>
      </c>
      <c r="K22" s="52">
        <f t="shared" si="7"/>
        <v>0.3</v>
      </c>
      <c r="L22" s="52">
        <f t="shared" si="7"/>
        <v>12.5</v>
      </c>
      <c r="M22" s="52">
        <f t="shared" si="7"/>
        <v>20</v>
      </c>
      <c r="N22" s="52">
        <f t="shared" si="7"/>
        <v>16.899999999999999</v>
      </c>
      <c r="O22" s="52">
        <f t="shared" si="7"/>
        <v>0.12</v>
      </c>
      <c r="P22" s="52"/>
      <c r="Q22" s="52">
        <f t="shared" si="8"/>
        <v>45.027500000000003</v>
      </c>
      <c r="R22" s="52">
        <f t="shared" si="8"/>
        <v>7.4999999999995737E-2</v>
      </c>
      <c r="S22" s="52">
        <f t="shared" si="8"/>
        <v>0</v>
      </c>
      <c r="T22" s="52">
        <f t="shared" si="8"/>
        <v>7.4999999999995737E-2</v>
      </c>
      <c r="U22" s="70">
        <f t="shared" si="8"/>
        <v>2390.6412682407936</v>
      </c>
      <c r="V22" s="69">
        <f t="shared" si="8"/>
        <v>40.454765495089021</v>
      </c>
      <c r="W22" s="71">
        <f t="shared" si="8"/>
        <v>11605.539826747619</v>
      </c>
    </row>
    <row r="23" spans="1:23" s="3" customFormat="1">
      <c r="A23" s="51">
        <v>6</v>
      </c>
      <c r="B23" s="52">
        <f t="shared" si="7"/>
        <v>45.064999999999998</v>
      </c>
      <c r="C23" s="52">
        <f t="shared" si="9"/>
        <v>28</v>
      </c>
      <c r="D23" s="52">
        <f t="shared" si="7"/>
        <v>208000</v>
      </c>
      <c r="E23" s="52">
        <f t="shared" si="7"/>
        <v>0.3</v>
      </c>
      <c r="F23" s="52">
        <f t="shared" si="7"/>
        <v>12.5</v>
      </c>
      <c r="G23" s="52">
        <f t="shared" si="7"/>
        <v>20</v>
      </c>
      <c r="H23" s="52">
        <f t="shared" si="7"/>
        <v>44.99</v>
      </c>
      <c r="I23" s="52">
        <f t="shared" si="7"/>
        <v>60</v>
      </c>
      <c r="J23" s="52">
        <f t="shared" si="7"/>
        <v>208000</v>
      </c>
      <c r="K23" s="52">
        <f t="shared" si="7"/>
        <v>0.3</v>
      </c>
      <c r="L23" s="52">
        <f t="shared" si="7"/>
        <v>12.5</v>
      </c>
      <c r="M23" s="52">
        <f t="shared" si="7"/>
        <v>20</v>
      </c>
      <c r="N23" s="52">
        <f t="shared" si="7"/>
        <v>16.899999999999999</v>
      </c>
      <c r="O23" s="52">
        <f t="shared" si="7"/>
        <v>0.12</v>
      </c>
      <c r="P23" s="52"/>
      <c r="Q23" s="52">
        <f t="shared" si="8"/>
        <v>45.027500000000003</v>
      </c>
      <c r="R23" s="52">
        <f t="shared" si="8"/>
        <v>7.4999999999995737E-2</v>
      </c>
      <c r="S23" s="52">
        <f t="shared" si="8"/>
        <v>0</v>
      </c>
      <c r="T23" s="52">
        <f t="shared" si="8"/>
        <v>7.4999999999995737E-2</v>
      </c>
      <c r="U23" s="70">
        <f t="shared" si="8"/>
        <v>2390.6412682407936</v>
      </c>
      <c r="V23" s="69">
        <f t="shared" si="8"/>
        <v>42.802307046552777</v>
      </c>
      <c r="W23" s="71">
        <f t="shared" si="8"/>
        <v>12278.995392168334</v>
      </c>
    </row>
    <row r="24" spans="1:23" s="3" customFormat="1">
      <c r="A24" s="51">
        <v>7</v>
      </c>
      <c r="B24" s="52">
        <f t="shared" si="7"/>
        <v>45.064999999999998</v>
      </c>
      <c r="C24" s="52">
        <f t="shared" si="9"/>
        <v>26</v>
      </c>
      <c r="D24" s="52">
        <f t="shared" si="7"/>
        <v>208000</v>
      </c>
      <c r="E24" s="52">
        <f t="shared" si="7"/>
        <v>0.3</v>
      </c>
      <c r="F24" s="52">
        <f t="shared" si="7"/>
        <v>12.5</v>
      </c>
      <c r="G24" s="52">
        <f t="shared" si="7"/>
        <v>20</v>
      </c>
      <c r="H24" s="52">
        <f t="shared" si="7"/>
        <v>44.99</v>
      </c>
      <c r="I24" s="52">
        <f t="shared" si="7"/>
        <v>60</v>
      </c>
      <c r="J24" s="52">
        <f t="shared" si="7"/>
        <v>208000</v>
      </c>
      <c r="K24" s="52">
        <f t="shared" si="7"/>
        <v>0.3</v>
      </c>
      <c r="L24" s="52">
        <f t="shared" si="7"/>
        <v>12.5</v>
      </c>
      <c r="M24" s="52">
        <f t="shared" si="7"/>
        <v>20</v>
      </c>
      <c r="N24" s="52">
        <f t="shared" si="7"/>
        <v>16.899999999999999</v>
      </c>
      <c r="O24" s="52">
        <f t="shared" si="7"/>
        <v>0.12</v>
      </c>
      <c r="P24" s="52"/>
      <c r="Q24" s="52">
        <f t="shared" si="8"/>
        <v>45.027500000000003</v>
      </c>
      <c r="R24" s="52">
        <f t="shared" si="8"/>
        <v>7.4999999999995737E-2</v>
      </c>
      <c r="S24" s="52">
        <f t="shared" si="8"/>
        <v>0</v>
      </c>
      <c r="T24" s="52">
        <f t="shared" si="8"/>
        <v>7.4999999999995737E-2</v>
      </c>
      <c r="U24" s="70">
        <f t="shared" si="8"/>
        <v>2390.6412682407936</v>
      </c>
      <c r="V24" s="69">
        <f t="shared" si="8"/>
        <v>45.14984859801654</v>
      </c>
      <c r="W24" s="71">
        <f t="shared" si="8"/>
        <v>12952.450957589048</v>
      </c>
    </row>
    <row r="25" spans="1:23" s="3" customFormat="1">
      <c r="A25" s="51">
        <v>8</v>
      </c>
      <c r="B25" s="52">
        <f t="shared" si="7"/>
        <v>45.064999999999998</v>
      </c>
      <c r="C25" s="52">
        <f t="shared" si="9"/>
        <v>24</v>
      </c>
      <c r="D25" s="52">
        <f t="shared" si="7"/>
        <v>208000</v>
      </c>
      <c r="E25" s="52">
        <f t="shared" si="7"/>
        <v>0.3</v>
      </c>
      <c r="F25" s="52">
        <f t="shared" si="7"/>
        <v>12.5</v>
      </c>
      <c r="G25" s="52">
        <f t="shared" si="7"/>
        <v>20</v>
      </c>
      <c r="H25" s="52">
        <f t="shared" si="7"/>
        <v>44.99</v>
      </c>
      <c r="I25" s="52">
        <f t="shared" si="7"/>
        <v>60</v>
      </c>
      <c r="J25" s="52">
        <f t="shared" si="7"/>
        <v>208000</v>
      </c>
      <c r="K25" s="52">
        <f t="shared" si="7"/>
        <v>0.3</v>
      </c>
      <c r="L25" s="52">
        <f t="shared" si="7"/>
        <v>12.5</v>
      </c>
      <c r="M25" s="52">
        <f t="shared" si="7"/>
        <v>20</v>
      </c>
      <c r="N25" s="52">
        <f t="shared" si="7"/>
        <v>16.899999999999999</v>
      </c>
      <c r="O25" s="52">
        <f t="shared" si="7"/>
        <v>0.12</v>
      </c>
      <c r="P25" s="52"/>
      <c r="Q25" s="52">
        <f t="shared" si="8"/>
        <v>45.027500000000003</v>
      </c>
      <c r="R25" s="52">
        <f t="shared" si="8"/>
        <v>7.4999999999995737E-2</v>
      </c>
      <c r="S25" s="52">
        <f t="shared" si="8"/>
        <v>0</v>
      </c>
      <c r="T25" s="52">
        <f t="shared" si="8"/>
        <v>7.4999999999995737E-2</v>
      </c>
      <c r="U25" s="70">
        <f t="shared" si="8"/>
        <v>2390.6412682407936</v>
      </c>
      <c r="V25" s="69">
        <f t="shared" si="8"/>
        <v>47.497390149480303</v>
      </c>
      <c r="W25" s="71">
        <f t="shared" si="8"/>
        <v>13625.906523009764</v>
      </c>
    </row>
    <row r="26" spans="1:23" s="3" customFormat="1">
      <c r="A26" s="51">
        <v>9</v>
      </c>
      <c r="B26" s="52">
        <f t="shared" si="7"/>
        <v>45.064999999999998</v>
      </c>
      <c r="C26" s="52">
        <f t="shared" si="9"/>
        <v>22</v>
      </c>
      <c r="D26" s="52">
        <f t="shared" si="7"/>
        <v>208000</v>
      </c>
      <c r="E26" s="52">
        <f t="shared" si="7"/>
        <v>0.3</v>
      </c>
      <c r="F26" s="52">
        <f t="shared" si="7"/>
        <v>12.5</v>
      </c>
      <c r="G26" s="52">
        <f t="shared" si="7"/>
        <v>20</v>
      </c>
      <c r="H26" s="52">
        <f t="shared" si="7"/>
        <v>44.99</v>
      </c>
      <c r="I26" s="52">
        <f t="shared" si="7"/>
        <v>60</v>
      </c>
      <c r="J26" s="52">
        <f t="shared" si="7"/>
        <v>208000</v>
      </c>
      <c r="K26" s="52">
        <f t="shared" si="7"/>
        <v>0.3</v>
      </c>
      <c r="L26" s="52">
        <f t="shared" si="7"/>
        <v>12.5</v>
      </c>
      <c r="M26" s="52">
        <f t="shared" si="7"/>
        <v>20</v>
      </c>
      <c r="N26" s="52">
        <f t="shared" si="7"/>
        <v>16.899999999999999</v>
      </c>
      <c r="O26" s="52">
        <f t="shared" si="7"/>
        <v>0.12</v>
      </c>
      <c r="P26" s="52"/>
      <c r="Q26" s="52">
        <f t="shared" si="8"/>
        <v>45.027500000000003</v>
      </c>
      <c r="R26" s="52">
        <f t="shared" si="8"/>
        <v>7.4999999999995737E-2</v>
      </c>
      <c r="S26" s="52">
        <f t="shared" si="8"/>
        <v>0</v>
      </c>
      <c r="T26" s="52">
        <f t="shared" si="8"/>
        <v>7.4999999999995737E-2</v>
      </c>
      <c r="U26" s="70">
        <f t="shared" si="8"/>
        <v>2390.6412682407936</v>
      </c>
      <c r="V26" s="69">
        <f t="shared" si="8"/>
        <v>49.844931700944066</v>
      </c>
      <c r="W26" s="71">
        <f t="shared" si="8"/>
        <v>14299.362088430478</v>
      </c>
    </row>
    <row r="27" spans="1:23" s="3" customFormat="1">
      <c r="A27" s="51">
        <v>10</v>
      </c>
      <c r="B27" s="52">
        <f t="shared" ref="B27:O37" si="10">(B$14-B$12)*($A27/20)+B$12</f>
        <v>45.064999999999998</v>
      </c>
      <c r="C27" s="52">
        <f t="shared" si="9"/>
        <v>20</v>
      </c>
      <c r="D27" s="52">
        <f t="shared" si="10"/>
        <v>208000</v>
      </c>
      <c r="E27" s="52">
        <f t="shared" si="10"/>
        <v>0.3</v>
      </c>
      <c r="F27" s="52">
        <f t="shared" si="10"/>
        <v>12.5</v>
      </c>
      <c r="G27" s="52">
        <f t="shared" si="10"/>
        <v>20</v>
      </c>
      <c r="H27" s="52">
        <f t="shared" si="10"/>
        <v>44.99</v>
      </c>
      <c r="I27" s="52">
        <f t="shared" si="10"/>
        <v>60</v>
      </c>
      <c r="J27" s="52">
        <f t="shared" si="10"/>
        <v>208000</v>
      </c>
      <c r="K27" s="52">
        <f t="shared" si="10"/>
        <v>0.3</v>
      </c>
      <c r="L27" s="52">
        <f t="shared" si="10"/>
        <v>12.5</v>
      </c>
      <c r="M27" s="52">
        <f t="shared" si="10"/>
        <v>20</v>
      </c>
      <c r="N27" s="52">
        <f t="shared" si="10"/>
        <v>16.899999999999999</v>
      </c>
      <c r="O27" s="52">
        <f t="shared" si="10"/>
        <v>0.12</v>
      </c>
      <c r="P27" s="52"/>
      <c r="Q27" s="52">
        <f t="shared" ref="Q27:W37" si="11">(Q$14-Q$12)*($A27/20)+Q$12</f>
        <v>45.027500000000003</v>
      </c>
      <c r="R27" s="52">
        <f t="shared" si="11"/>
        <v>7.4999999999995737E-2</v>
      </c>
      <c r="S27" s="52">
        <f t="shared" si="11"/>
        <v>0</v>
      </c>
      <c r="T27" s="52">
        <f t="shared" si="11"/>
        <v>7.4999999999995737E-2</v>
      </c>
      <c r="U27" s="70">
        <f t="shared" si="11"/>
        <v>2390.6412682407936</v>
      </c>
      <c r="V27" s="69">
        <f t="shared" si="11"/>
        <v>52.192473252407822</v>
      </c>
      <c r="W27" s="71">
        <f t="shared" si="11"/>
        <v>14972.817653851193</v>
      </c>
    </row>
    <row r="28" spans="1:23" s="3" customFormat="1">
      <c r="A28" s="51">
        <v>11</v>
      </c>
      <c r="B28" s="52">
        <f t="shared" si="10"/>
        <v>45.064999999999998</v>
      </c>
      <c r="C28" s="52">
        <f t="shared" si="9"/>
        <v>18</v>
      </c>
      <c r="D28" s="52">
        <f t="shared" si="10"/>
        <v>208000</v>
      </c>
      <c r="E28" s="52">
        <f t="shared" si="10"/>
        <v>0.3</v>
      </c>
      <c r="F28" s="52">
        <f t="shared" si="10"/>
        <v>12.5</v>
      </c>
      <c r="G28" s="52">
        <f t="shared" si="10"/>
        <v>20</v>
      </c>
      <c r="H28" s="52">
        <f t="shared" si="10"/>
        <v>44.99</v>
      </c>
      <c r="I28" s="52">
        <f t="shared" si="10"/>
        <v>60</v>
      </c>
      <c r="J28" s="52">
        <f t="shared" si="10"/>
        <v>208000</v>
      </c>
      <c r="K28" s="52">
        <f t="shared" si="10"/>
        <v>0.3</v>
      </c>
      <c r="L28" s="52">
        <f t="shared" si="10"/>
        <v>12.5</v>
      </c>
      <c r="M28" s="52">
        <f t="shared" si="10"/>
        <v>20</v>
      </c>
      <c r="N28" s="52">
        <f t="shared" si="10"/>
        <v>16.899999999999999</v>
      </c>
      <c r="O28" s="52">
        <f t="shared" si="10"/>
        <v>0.12</v>
      </c>
      <c r="P28" s="52"/>
      <c r="Q28" s="52">
        <f t="shared" si="11"/>
        <v>45.027500000000003</v>
      </c>
      <c r="R28" s="52">
        <f t="shared" si="11"/>
        <v>7.4999999999995737E-2</v>
      </c>
      <c r="S28" s="52">
        <f t="shared" si="11"/>
        <v>0</v>
      </c>
      <c r="T28" s="52">
        <f t="shared" si="11"/>
        <v>7.4999999999995737E-2</v>
      </c>
      <c r="U28" s="70">
        <f t="shared" si="11"/>
        <v>2390.6412682407936</v>
      </c>
      <c r="V28" s="69">
        <f t="shared" si="11"/>
        <v>54.540014803871586</v>
      </c>
      <c r="W28" s="71">
        <f t="shared" si="11"/>
        <v>15646.273219271909</v>
      </c>
    </row>
    <row r="29" spans="1:23" s="3" customFormat="1">
      <c r="A29" s="51">
        <v>12</v>
      </c>
      <c r="B29" s="52">
        <f t="shared" si="10"/>
        <v>45.064999999999998</v>
      </c>
      <c r="C29" s="52">
        <f t="shared" si="9"/>
        <v>16</v>
      </c>
      <c r="D29" s="52">
        <f t="shared" si="10"/>
        <v>208000</v>
      </c>
      <c r="E29" s="52">
        <f t="shared" si="10"/>
        <v>0.3</v>
      </c>
      <c r="F29" s="52">
        <f t="shared" si="10"/>
        <v>12.5</v>
      </c>
      <c r="G29" s="52">
        <f t="shared" si="10"/>
        <v>20</v>
      </c>
      <c r="H29" s="52">
        <f t="shared" si="10"/>
        <v>44.99</v>
      </c>
      <c r="I29" s="52">
        <f t="shared" si="10"/>
        <v>60</v>
      </c>
      <c r="J29" s="52">
        <f t="shared" si="10"/>
        <v>208000</v>
      </c>
      <c r="K29" s="52">
        <f t="shared" si="10"/>
        <v>0.3</v>
      </c>
      <c r="L29" s="52">
        <f t="shared" si="10"/>
        <v>12.5</v>
      </c>
      <c r="M29" s="52">
        <f t="shared" si="10"/>
        <v>20</v>
      </c>
      <c r="N29" s="52">
        <f t="shared" si="10"/>
        <v>16.899999999999999</v>
      </c>
      <c r="O29" s="52">
        <f t="shared" si="10"/>
        <v>0.12</v>
      </c>
      <c r="P29" s="52"/>
      <c r="Q29" s="52">
        <f t="shared" si="11"/>
        <v>45.027500000000003</v>
      </c>
      <c r="R29" s="52">
        <f t="shared" si="11"/>
        <v>7.4999999999995737E-2</v>
      </c>
      <c r="S29" s="52">
        <f t="shared" si="11"/>
        <v>0</v>
      </c>
      <c r="T29" s="52">
        <f t="shared" si="11"/>
        <v>7.4999999999995737E-2</v>
      </c>
      <c r="U29" s="70">
        <f t="shared" si="11"/>
        <v>2390.6412682407936</v>
      </c>
      <c r="V29" s="69">
        <f t="shared" si="11"/>
        <v>56.887556355335349</v>
      </c>
      <c r="W29" s="71">
        <f t="shared" si="11"/>
        <v>16319.728784692621</v>
      </c>
    </row>
    <row r="30" spans="1:23" s="3" customFormat="1">
      <c r="A30" s="51">
        <v>13</v>
      </c>
      <c r="B30" s="52">
        <f t="shared" si="10"/>
        <v>45.064999999999998</v>
      </c>
      <c r="C30" s="52">
        <f t="shared" si="9"/>
        <v>14</v>
      </c>
      <c r="D30" s="52">
        <f t="shared" si="10"/>
        <v>208000</v>
      </c>
      <c r="E30" s="52">
        <f t="shared" si="10"/>
        <v>0.3</v>
      </c>
      <c r="F30" s="52">
        <f t="shared" si="10"/>
        <v>12.5</v>
      </c>
      <c r="G30" s="52">
        <f t="shared" si="10"/>
        <v>20</v>
      </c>
      <c r="H30" s="52">
        <f t="shared" si="10"/>
        <v>44.99</v>
      </c>
      <c r="I30" s="52">
        <f t="shared" si="10"/>
        <v>60</v>
      </c>
      <c r="J30" s="52">
        <f t="shared" si="10"/>
        <v>208000</v>
      </c>
      <c r="K30" s="52">
        <f t="shared" si="10"/>
        <v>0.3</v>
      </c>
      <c r="L30" s="52">
        <f t="shared" si="10"/>
        <v>12.5</v>
      </c>
      <c r="M30" s="52">
        <f t="shared" si="10"/>
        <v>20</v>
      </c>
      <c r="N30" s="52">
        <f t="shared" si="10"/>
        <v>16.899999999999999</v>
      </c>
      <c r="O30" s="52">
        <f t="shared" si="10"/>
        <v>0.12</v>
      </c>
      <c r="P30" s="52"/>
      <c r="Q30" s="52">
        <f t="shared" si="11"/>
        <v>45.027500000000003</v>
      </c>
      <c r="R30" s="52">
        <f t="shared" si="11"/>
        <v>7.4999999999995737E-2</v>
      </c>
      <c r="S30" s="52">
        <f t="shared" si="11"/>
        <v>0</v>
      </c>
      <c r="T30" s="52">
        <f t="shared" si="11"/>
        <v>7.4999999999995737E-2</v>
      </c>
      <c r="U30" s="70">
        <f t="shared" si="11"/>
        <v>2390.6412682407936</v>
      </c>
      <c r="V30" s="69">
        <f t="shared" si="11"/>
        <v>59.235097906799112</v>
      </c>
      <c r="W30" s="71">
        <f t="shared" si="11"/>
        <v>16993.184350113333</v>
      </c>
    </row>
    <row r="31" spans="1:23" s="3" customFormat="1">
      <c r="A31" s="51">
        <v>14</v>
      </c>
      <c r="B31" s="52">
        <f t="shared" si="10"/>
        <v>45.064999999999998</v>
      </c>
      <c r="C31" s="52">
        <f t="shared" si="9"/>
        <v>12</v>
      </c>
      <c r="D31" s="52">
        <f t="shared" si="10"/>
        <v>208000</v>
      </c>
      <c r="E31" s="52">
        <f t="shared" si="10"/>
        <v>0.3</v>
      </c>
      <c r="F31" s="52">
        <f t="shared" si="10"/>
        <v>12.5</v>
      </c>
      <c r="G31" s="52">
        <f t="shared" si="10"/>
        <v>20</v>
      </c>
      <c r="H31" s="52">
        <f t="shared" si="10"/>
        <v>44.99</v>
      </c>
      <c r="I31" s="52">
        <f t="shared" si="10"/>
        <v>60</v>
      </c>
      <c r="J31" s="52">
        <f t="shared" si="10"/>
        <v>208000</v>
      </c>
      <c r="K31" s="52">
        <f t="shared" si="10"/>
        <v>0.3</v>
      </c>
      <c r="L31" s="52">
        <f t="shared" si="10"/>
        <v>12.5</v>
      </c>
      <c r="M31" s="52">
        <f t="shared" si="10"/>
        <v>20</v>
      </c>
      <c r="N31" s="52">
        <f t="shared" si="10"/>
        <v>16.899999999999999</v>
      </c>
      <c r="O31" s="52">
        <f t="shared" si="10"/>
        <v>0.12</v>
      </c>
      <c r="P31" s="52"/>
      <c r="Q31" s="52">
        <f t="shared" si="11"/>
        <v>45.027500000000003</v>
      </c>
      <c r="R31" s="52">
        <f t="shared" si="11"/>
        <v>7.4999999999995737E-2</v>
      </c>
      <c r="S31" s="52">
        <f t="shared" si="11"/>
        <v>0</v>
      </c>
      <c r="T31" s="52">
        <f t="shared" si="11"/>
        <v>7.4999999999995737E-2</v>
      </c>
      <c r="U31" s="70">
        <f t="shared" si="11"/>
        <v>2390.6412682407936</v>
      </c>
      <c r="V31" s="69">
        <f t="shared" si="11"/>
        <v>61.582639458262875</v>
      </c>
      <c r="W31" s="71">
        <f t="shared" si="11"/>
        <v>17666.639915534048</v>
      </c>
    </row>
    <row r="32" spans="1:23" s="3" customFormat="1">
      <c r="A32" s="51">
        <v>15</v>
      </c>
      <c r="B32" s="52">
        <f t="shared" si="10"/>
        <v>45.064999999999998</v>
      </c>
      <c r="C32" s="52">
        <f t="shared" si="9"/>
        <v>10</v>
      </c>
      <c r="D32" s="52">
        <f t="shared" si="10"/>
        <v>208000</v>
      </c>
      <c r="E32" s="52">
        <f t="shared" si="10"/>
        <v>0.3</v>
      </c>
      <c r="F32" s="52">
        <f t="shared" si="10"/>
        <v>12.5</v>
      </c>
      <c r="G32" s="52">
        <f t="shared" si="10"/>
        <v>20</v>
      </c>
      <c r="H32" s="52">
        <f t="shared" si="10"/>
        <v>44.99</v>
      </c>
      <c r="I32" s="52">
        <f t="shared" si="10"/>
        <v>60</v>
      </c>
      <c r="J32" s="52">
        <f t="shared" si="10"/>
        <v>208000</v>
      </c>
      <c r="K32" s="52">
        <f t="shared" si="10"/>
        <v>0.3</v>
      </c>
      <c r="L32" s="52">
        <f t="shared" si="10"/>
        <v>12.5</v>
      </c>
      <c r="M32" s="52">
        <f t="shared" si="10"/>
        <v>20</v>
      </c>
      <c r="N32" s="52">
        <f t="shared" si="10"/>
        <v>16.899999999999999</v>
      </c>
      <c r="O32" s="52">
        <f t="shared" si="10"/>
        <v>0.12</v>
      </c>
      <c r="P32" s="52"/>
      <c r="Q32" s="52">
        <f t="shared" si="11"/>
        <v>45.027500000000003</v>
      </c>
      <c r="R32" s="52">
        <f t="shared" si="11"/>
        <v>7.4999999999995737E-2</v>
      </c>
      <c r="S32" s="52">
        <f t="shared" si="11"/>
        <v>0</v>
      </c>
      <c r="T32" s="52">
        <f t="shared" si="11"/>
        <v>7.4999999999995737E-2</v>
      </c>
      <c r="U32" s="70">
        <f t="shared" si="11"/>
        <v>2390.6412682407936</v>
      </c>
      <c r="V32" s="69">
        <f t="shared" si="11"/>
        <v>63.930181009726638</v>
      </c>
      <c r="W32" s="71">
        <f t="shared" si="11"/>
        <v>18340.095480954766</v>
      </c>
    </row>
    <row r="33" spans="1:23" s="3" customFormat="1">
      <c r="A33" s="51">
        <v>16</v>
      </c>
      <c r="B33" s="52">
        <f t="shared" si="10"/>
        <v>45.064999999999998</v>
      </c>
      <c r="C33" s="52">
        <f t="shared" si="9"/>
        <v>8</v>
      </c>
      <c r="D33" s="52">
        <f t="shared" si="10"/>
        <v>208000</v>
      </c>
      <c r="E33" s="52">
        <f t="shared" si="10"/>
        <v>0.3</v>
      </c>
      <c r="F33" s="52">
        <f t="shared" si="10"/>
        <v>12.5</v>
      </c>
      <c r="G33" s="52">
        <f t="shared" si="10"/>
        <v>20</v>
      </c>
      <c r="H33" s="52">
        <f t="shared" si="10"/>
        <v>44.99</v>
      </c>
      <c r="I33" s="52">
        <f t="shared" si="10"/>
        <v>60</v>
      </c>
      <c r="J33" s="52">
        <f t="shared" si="10"/>
        <v>208000</v>
      </c>
      <c r="K33" s="52">
        <f t="shared" si="10"/>
        <v>0.3</v>
      </c>
      <c r="L33" s="52">
        <f t="shared" si="10"/>
        <v>12.5</v>
      </c>
      <c r="M33" s="52">
        <f t="shared" si="10"/>
        <v>20</v>
      </c>
      <c r="N33" s="52">
        <f t="shared" si="10"/>
        <v>16.899999999999999</v>
      </c>
      <c r="O33" s="52">
        <f t="shared" si="10"/>
        <v>0.12</v>
      </c>
      <c r="P33" s="52"/>
      <c r="Q33" s="52">
        <f t="shared" si="11"/>
        <v>45.027500000000003</v>
      </c>
      <c r="R33" s="52">
        <f t="shared" si="11"/>
        <v>7.4999999999995737E-2</v>
      </c>
      <c r="S33" s="52">
        <f t="shared" si="11"/>
        <v>0</v>
      </c>
      <c r="T33" s="52">
        <f t="shared" si="11"/>
        <v>7.4999999999995737E-2</v>
      </c>
      <c r="U33" s="70">
        <f t="shared" si="11"/>
        <v>2390.6412682407936</v>
      </c>
      <c r="V33" s="69">
        <f t="shared" si="11"/>
        <v>66.277722561190402</v>
      </c>
      <c r="W33" s="71">
        <f t="shared" si="11"/>
        <v>19013.55104637548</v>
      </c>
    </row>
    <row r="34" spans="1:23" s="3" customFormat="1">
      <c r="A34" s="51">
        <v>17</v>
      </c>
      <c r="B34" s="52">
        <f t="shared" si="10"/>
        <v>45.064999999999998</v>
      </c>
      <c r="C34" s="52">
        <f t="shared" si="9"/>
        <v>6</v>
      </c>
      <c r="D34" s="52">
        <f t="shared" si="10"/>
        <v>208000</v>
      </c>
      <c r="E34" s="52">
        <f t="shared" si="10"/>
        <v>0.3</v>
      </c>
      <c r="F34" s="52">
        <f t="shared" si="10"/>
        <v>12.5</v>
      </c>
      <c r="G34" s="52">
        <f t="shared" si="10"/>
        <v>20</v>
      </c>
      <c r="H34" s="52">
        <f t="shared" si="10"/>
        <v>44.99</v>
      </c>
      <c r="I34" s="52">
        <f t="shared" si="10"/>
        <v>60</v>
      </c>
      <c r="J34" s="52">
        <f t="shared" si="10"/>
        <v>208000</v>
      </c>
      <c r="K34" s="52">
        <f t="shared" si="10"/>
        <v>0.3</v>
      </c>
      <c r="L34" s="52">
        <f t="shared" si="10"/>
        <v>12.5</v>
      </c>
      <c r="M34" s="52">
        <f t="shared" si="10"/>
        <v>20</v>
      </c>
      <c r="N34" s="52">
        <f t="shared" si="10"/>
        <v>16.899999999999999</v>
      </c>
      <c r="O34" s="52">
        <f t="shared" si="10"/>
        <v>0.12</v>
      </c>
      <c r="P34" s="52"/>
      <c r="Q34" s="52">
        <f t="shared" si="11"/>
        <v>45.027500000000003</v>
      </c>
      <c r="R34" s="52">
        <f t="shared" si="11"/>
        <v>7.4999999999995737E-2</v>
      </c>
      <c r="S34" s="52">
        <f t="shared" si="11"/>
        <v>0</v>
      </c>
      <c r="T34" s="52">
        <f t="shared" si="11"/>
        <v>7.4999999999995737E-2</v>
      </c>
      <c r="U34" s="70">
        <f t="shared" si="11"/>
        <v>2390.6412682407936</v>
      </c>
      <c r="V34" s="69">
        <f t="shared" si="11"/>
        <v>68.62526411265415</v>
      </c>
      <c r="W34" s="71">
        <f t="shared" si="11"/>
        <v>19687.006611796194</v>
      </c>
    </row>
    <row r="35" spans="1:23" s="3" customFormat="1">
      <c r="A35" s="51">
        <v>18</v>
      </c>
      <c r="B35" s="52">
        <f t="shared" si="10"/>
        <v>45.064999999999998</v>
      </c>
      <c r="C35" s="52">
        <f t="shared" si="9"/>
        <v>4</v>
      </c>
      <c r="D35" s="52">
        <f t="shared" si="10"/>
        <v>208000</v>
      </c>
      <c r="E35" s="52">
        <f t="shared" si="10"/>
        <v>0.3</v>
      </c>
      <c r="F35" s="52">
        <f t="shared" si="10"/>
        <v>12.5</v>
      </c>
      <c r="G35" s="52">
        <f t="shared" si="10"/>
        <v>20</v>
      </c>
      <c r="H35" s="52">
        <f t="shared" si="10"/>
        <v>44.99</v>
      </c>
      <c r="I35" s="52">
        <f t="shared" si="10"/>
        <v>60</v>
      </c>
      <c r="J35" s="52">
        <f t="shared" si="10"/>
        <v>208000</v>
      </c>
      <c r="K35" s="52">
        <f t="shared" si="10"/>
        <v>0.3</v>
      </c>
      <c r="L35" s="52">
        <f t="shared" si="10"/>
        <v>12.5</v>
      </c>
      <c r="M35" s="52">
        <f t="shared" si="10"/>
        <v>20</v>
      </c>
      <c r="N35" s="52">
        <f t="shared" si="10"/>
        <v>16.899999999999999</v>
      </c>
      <c r="O35" s="52">
        <f t="shared" si="10"/>
        <v>0.12</v>
      </c>
      <c r="P35" s="52"/>
      <c r="Q35" s="52">
        <f t="shared" si="11"/>
        <v>45.027500000000003</v>
      </c>
      <c r="R35" s="52">
        <f t="shared" si="11"/>
        <v>7.4999999999995737E-2</v>
      </c>
      <c r="S35" s="52">
        <f t="shared" si="11"/>
        <v>0</v>
      </c>
      <c r="T35" s="52">
        <f t="shared" si="11"/>
        <v>7.4999999999995737E-2</v>
      </c>
      <c r="U35" s="70">
        <f t="shared" si="11"/>
        <v>2390.6412682407936</v>
      </c>
      <c r="V35" s="69">
        <f t="shared" si="11"/>
        <v>70.972805664117928</v>
      </c>
      <c r="W35" s="71">
        <f t="shared" si="11"/>
        <v>20360.462177216908</v>
      </c>
    </row>
    <row r="36" spans="1:23" s="3" customFormat="1">
      <c r="A36" s="51">
        <v>19</v>
      </c>
      <c r="B36" s="52">
        <f t="shared" si="10"/>
        <v>45.064999999999998</v>
      </c>
      <c r="C36" s="52">
        <f t="shared" si="9"/>
        <v>2</v>
      </c>
      <c r="D36" s="52">
        <f t="shared" si="10"/>
        <v>208000</v>
      </c>
      <c r="E36" s="52">
        <f t="shared" si="10"/>
        <v>0.3</v>
      </c>
      <c r="F36" s="52">
        <f t="shared" si="10"/>
        <v>12.5</v>
      </c>
      <c r="G36" s="52">
        <f t="shared" si="10"/>
        <v>20</v>
      </c>
      <c r="H36" s="52">
        <f t="shared" si="10"/>
        <v>44.99</v>
      </c>
      <c r="I36" s="52">
        <f t="shared" si="10"/>
        <v>60</v>
      </c>
      <c r="J36" s="52">
        <f t="shared" si="10"/>
        <v>208000</v>
      </c>
      <c r="K36" s="52">
        <f t="shared" si="10"/>
        <v>0.3</v>
      </c>
      <c r="L36" s="52">
        <f t="shared" si="10"/>
        <v>12.5</v>
      </c>
      <c r="M36" s="52">
        <f t="shared" si="10"/>
        <v>20</v>
      </c>
      <c r="N36" s="52">
        <f t="shared" si="10"/>
        <v>16.899999999999999</v>
      </c>
      <c r="O36" s="52">
        <f t="shared" si="10"/>
        <v>0.12</v>
      </c>
      <c r="P36" s="52"/>
      <c r="Q36" s="52">
        <f t="shared" si="11"/>
        <v>45.027500000000003</v>
      </c>
      <c r="R36" s="52">
        <f t="shared" si="11"/>
        <v>7.4999999999995737E-2</v>
      </c>
      <c r="S36" s="52">
        <f t="shared" si="11"/>
        <v>0</v>
      </c>
      <c r="T36" s="52">
        <f t="shared" si="11"/>
        <v>7.4999999999995737E-2</v>
      </c>
      <c r="U36" s="70">
        <f t="shared" si="11"/>
        <v>2390.6412682407936</v>
      </c>
      <c r="V36" s="69">
        <f t="shared" si="11"/>
        <v>73.320347215581677</v>
      </c>
      <c r="W36" s="71">
        <f t="shared" si="11"/>
        <v>21033.917742637623</v>
      </c>
    </row>
    <row r="37" spans="1:23" s="3" customFormat="1" ht="18" thickBot="1">
      <c r="A37" s="53">
        <v>20</v>
      </c>
      <c r="B37" s="54">
        <f t="shared" si="10"/>
        <v>45.064999999999998</v>
      </c>
      <c r="C37" s="52">
        <f t="shared" si="9"/>
        <v>0</v>
      </c>
      <c r="D37" s="54">
        <f t="shared" si="10"/>
        <v>208000</v>
      </c>
      <c r="E37" s="54">
        <f t="shared" si="10"/>
        <v>0.3</v>
      </c>
      <c r="F37" s="54">
        <f t="shared" si="10"/>
        <v>12.5</v>
      </c>
      <c r="G37" s="54">
        <f t="shared" si="10"/>
        <v>20</v>
      </c>
      <c r="H37" s="54">
        <f t="shared" si="10"/>
        <v>44.99</v>
      </c>
      <c r="I37" s="54">
        <f t="shared" si="10"/>
        <v>60</v>
      </c>
      <c r="J37" s="54">
        <f t="shared" si="10"/>
        <v>208000</v>
      </c>
      <c r="K37" s="54">
        <f t="shared" si="10"/>
        <v>0.3</v>
      </c>
      <c r="L37" s="54">
        <f t="shared" si="10"/>
        <v>12.5</v>
      </c>
      <c r="M37" s="54">
        <f t="shared" si="10"/>
        <v>20</v>
      </c>
      <c r="N37" s="54">
        <f t="shared" si="10"/>
        <v>16.899999999999999</v>
      </c>
      <c r="O37" s="54">
        <f t="shared" si="10"/>
        <v>0.12</v>
      </c>
      <c r="P37" s="54"/>
      <c r="Q37" s="54">
        <f t="shared" si="11"/>
        <v>45.027500000000003</v>
      </c>
      <c r="R37" s="54">
        <f t="shared" si="11"/>
        <v>7.4999999999995737E-2</v>
      </c>
      <c r="S37" s="54">
        <f t="shared" si="11"/>
        <v>0</v>
      </c>
      <c r="T37" s="54">
        <f t="shared" si="11"/>
        <v>7.4999999999995737E-2</v>
      </c>
      <c r="U37" s="72">
        <f t="shared" si="11"/>
        <v>2390.6412682407936</v>
      </c>
      <c r="V37" s="73">
        <f t="shared" si="11"/>
        <v>75.66788876704544</v>
      </c>
      <c r="W37" s="74">
        <f t="shared" si="11"/>
        <v>21707.373308058337</v>
      </c>
    </row>
  </sheetData>
  <phoneticPr fontId="1"/>
  <conditionalFormatting sqref="B8:O8">
    <cfRule type="expression" dxfId="73" priority="4">
      <formula>B7=1</formula>
    </cfRule>
  </conditionalFormatting>
  <conditionalFormatting sqref="B4:O4">
    <cfRule type="expression" dxfId="72" priority="3">
      <formula>AND(B7=0,B8=-1)</formula>
    </cfRule>
  </conditionalFormatting>
  <conditionalFormatting sqref="B5:O5">
    <cfRule type="expression" dxfId="71" priority="2">
      <formula>AND(B7=0,B8=0)</formula>
    </cfRule>
  </conditionalFormatting>
  <conditionalFormatting sqref="B6:O6">
    <cfRule type="expression" dxfId="70" priority="1">
      <formula>AND(B7=0,B8=1)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23"/>
  <sheetViews>
    <sheetView zoomScale="70" zoomScaleNormal="70" workbookViewId="0">
      <selection activeCell="B5" sqref="B5"/>
    </sheetView>
  </sheetViews>
  <sheetFormatPr defaultRowHeight="17.649999999999999"/>
  <cols>
    <col min="1" max="1" width="12.75" bestFit="1" customWidth="1"/>
    <col min="2" max="7" width="15.5" bestFit="1" customWidth="1"/>
    <col min="8" max="8" width="7.5" bestFit="1" customWidth="1"/>
    <col min="9" max="9" width="11" bestFit="1" customWidth="1"/>
    <col min="10" max="10" width="9.25" bestFit="1" customWidth="1"/>
    <col min="11" max="16" width="15.5" bestFit="1" customWidth="1"/>
    <col min="17" max="17" width="13.125" customWidth="1"/>
    <col min="18" max="18" width="7.5" bestFit="1" customWidth="1"/>
    <col min="19" max="19" width="9.25" bestFit="1" customWidth="1"/>
  </cols>
  <sheetData>
    <row r="1" spans="1:19">
      <c r="A1" s="14" t="s">
        <v>34</v>
      </c>
      <c r="K1" t="s">
        <v>35</v>
      </c>
    </row>
    <row r="2" spans="1:19">
      <c r="A2" t="s">
        <v>33</v>
      </c>
      <c r="B2" t="s">
        <v>28</v>
      </c>
      <c r="C2" t="s">
        <v>27</v>
      </c>
      <c r="D2" t="s">
        <v>29</v>
      </c>
      <c r="E2" t="s">
        <v>30</v>
      </c>
      <c r="F2" t="s">
        <v>31</v>
      </c>
      <c r="G2" t="s">
        <v>32</v>
      </c>
      <c r="H2" t="s">
        <v>17</v>
      </c>
      <c r="I2" t="s">
        <v>0</v>
      </c>
      <c r="J2" t="s">
        <v>18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  <c r="P2" t="s">
        <v>26</v>
      </c>
      <c r="R2" t="s">
        <v>20</v>
      </c>
      <c r="S2" t="s">
        <v>19</v>
      </c>
    </row>
    <row r="3" spans="1:19">
      <c r="A3">
        <v>0</v>
      </c>
      <c r="B3">
        <v>50</v>
      </c>
      <c r="C3">
        <v>55</v>
      </c>
      <c r="D3">
        <v>60</v>
      </c>
      <c r="E3">
        <v>65</v>
      </c>
      <c r="F3">
        <v>70</v>
      </c>
      <c r="G3">
        <v>75</v>
      </c>
      <c r="H3">
        <f>85/2</f>
        <v>42.5</v>
      </c>
      <c r="I3">
        <v>0.34499999999999997</v>
      </c>
      <c r="J3">
        <v>71000</v>
      </c>
      <c r="K3" s="13">
        <f>($A3*$H3/$J3)*((B3^2+$H3^2)/(B3^2-$H3^2)+$I3)</f>
        <v>0</v>
      </c>
      <c r="L3" s="13">
        <f t="shared" ref="L3:P18" si="0">($A3*$H3/$J3)*((C3^2+$H3^2)/(C3^2-$H3^2)+$I3)</f>
        <v>0</v>
      </c>
      <c r="M3" s="13">
        <f t="shared" si="0"/>
        <v>0</v>
      </c>
      <c r="N3" s="13">
        <f t="shared" si="0"/>
        <v>0</v>
      </c>
      <c r="O3" s="13">
        <f t="shared" si="0"/>
        <v>0</v>
      </c>
      <c r="P3" s="13">
        <f t="shared" si="0"/>
        <v>0</v>
      </c>
    </row>
    <row r="4" spans="1:19">
      <c r="A4">
        <v>0.5</v>
      </c>
      <c r="B4">
        <v>50</v>
      </c>
      <c r="C4">
        <v>55</v>
      </c>
      <c r="D4">
        <v>60</v>
      </c>
      <c r="E4">
        <v>65</v>
      </c>
      <c r="F4">
        <v>70</v>
      </c>
      <c r="G4">
        <v>75</v>
      </c>
      <c r="H4">
        <f t="shared" ref="H4:H23" si="1">85/2</f>
        <v>42.5</v>
      </c>
      <c r="I4">
        <v>0.34499999999999997</v>
      </c>
      <c r="J4">
        <v>71000</v>
      </c>
      <c r="K4" s="13">
        <f t="shared" ref="K4:K23" si="2">($A4*$H4/$J4)*((B4^2+$H4^2)/(B4^2-$H4^2)+$I4)</f>
        <v>1.9610479317345515E-3</v>
      </c>
      <c r="L4" s="13">
        <f t="shared" si="0"/>
        <v>1.2896961899602744E-3</v>
      </c>
      <c r="M4" s="13">
        <f t="shared" si="0"/>
        <v>1.0053157358786867E-3</v>
      </c>
      <c r="N4" s="13">
        <f t="shared" si="0"/>
        <v>8.4956304363649612E-4</v>
      </c>
      <c r="O4" s="13">
        <f t="shared" si="0"/>
        <v>7.5203353962156774E-4</v>
      </c>
      <c r="P4" s="13">
        <f t="shared" si="0"/>
        <v>6.8568368064359983E-4</v>
      </c>
    </row>
    <row r="5" spans="1:19">
      <c r="A5">
        <v>1</v>
      </c>
      <c r="B5">
        <v>50</v>
      </c>
      <c r="C5">
        <v>55</v>
      </c>
      <c r="D5">
        <v>60</v>
      </c>
      <c r="E5">
        <v>65</v>
      </c>
      <c r="F5">
        <v>70</v>
      </c>
      <c r="G5">
        <v>75</v>
      </c>
      <c r="H5">
        <f t="shared" si="1"/>
        <v>42.5</v>
      </c>
      <c r="I5">
        <v>0.34499999999999997</v>
      </c>
      <c r="J5">
        <v>71000</v>
      </c>
      <c r="K5" s="13">
        <f t="shared" si="2"/>
        <v>3.9220958634691031E-3</v>
      </c>
      <c r="L5" s="13">
        <f t="shared" si="0"/>
        <v>2.5793923799205488E-3</v>
      </c>
      <c r="M5" s="13">
        <f t="shared" si="0"/>
        <v>2.0106314717573733E-3</v>
      </c>
      <c r="N5" s="13">
        <f t="shared" si="0"/>
        <v>1.6991260872729922E-3</v>
      </c>
      <c r="O5" s="13">
        <f t="shared" si="0"/>
        <v>1.5040670792431355E-3</v>
      </c>
      <c r="P5" s="13">
        <f t="shared" si="0"/>
        <v>1.3713673612871997E-3</v>
      </c>
    </row>
    <row r="6" spans="1:19">
      <c r="A6">
        <v>1.5</v>
      </c>
      <c r="B6">
        <v>50</v>
      </c>
      <c r="C6">
        <v>55</v>
      </c>
      <c r="D6">
        <v>60</v>
      </c>
      <c r="E6">
        <v>65</v>
      </c>
      <c r="F6">
        <v>70</v>
      </c>
      <c r="G6">
        <v>75</v>
      </c>
      <c r="H6">
        <f t="shared" si="1"/>
        <v>42.5</v>
      </c>
      <c r="I6">
        <v>0.34499999999999997</v>
      </c>
      <c r="J6">
        <v>71000</v>
      </c>
      <c r="K6" s="13">
        <f t="shared" si="2"/>
        <v>5.8831437952036542E-3</v>
      </c>
      <c r="L6" s="13">
        <f t="shared" si="0"/>
        <v>3.8690885698808232E-3</v>
      </c>
      <c r="M6" s="13">
        <f t="shared" si="0"/>
        <v>3.01594720763606E-3</v>
      </c>
      <c r="N6" s="13">
        <f t="shared" si="0"/>
        <v>2.5486891309094879E-3</v>
      </c>
      <c r="O6" s="13">
        <f t="shared" si="0"/>
        <v>2.256100618864703E-3</v>
      </c>
      <c r="P6" s="13">
        <f t="shared" si="0"/>
        <v>2.0570510419307994E-3</v>
      </c>
    </row>
    <row r="7" spans="1:19">
      <c r="A7">
        <v>2</v>
      </c>
      <c r="B7">
        <v>50</v>
      </c>
      <c r="C7">
        <v>55</v>
      </c>
      <c r="D7">
        <v>60</v>
      </c>
      <c r="E7">
        <v>65</v>
      </c>
      <c r="F7">
        <v>70</v>
      </c>
      <c r="G7">
        <v>75</v>
      </c>
      <c r="H7">
        <f t="shared" si="1"/>
        <v>42.5</v>
      </c>
      <c r="I7">
        <v>0.34499999999999997</v>
      </c>
      <c r="J7">
        <v>71000</v>
      </c>
      <c r="K7" s="13">
        <f t="shared" si="2"/>
        <v>7.8441917269382062E-3</v>
      </c>
      <c r="L7" s="13">
        <f t="shared" si="0"/>
        <v>5.1587847598410976E-3</v>
      </c>
      <c r="M7" s="13">
        <f t="shared" si="0"/>
        <v>4.0212629435147466E-3</v>
      </c>
      <c r="N7" s="13">
        <f t="shared" si="0"/>
        <v>3.3982521745459845E-3</v>
      </c>
      <c r="O7" s="13">
        <f t="shared" si="0"/>
        <v>3.008134158486271E-3</v>
      </c>
      <c r="P7" s="13">
        <f t="shared" si="0"/>
        <v>2.7427347225743993E-3</v>
      </c>
    </row>
    <row r="8" spans="1:19">
      <c r="A8">
        <v>2.5</v>
      </c>
      <c r="B8">
        <v>50</v>
      </c>
      <c r="C8">
        <v>55</v>
      </c>
      <c r="D8">
        <v>60</v>
      </c>
      <c r="E8">
        <v>65</v>
      </c>
      <c r="F8">
        <v>70</v>
      </c>
      <c r="G8">
        <v>75</v>
      </c>
      <c r="H8">
        <f t="shared" si="1"/>
        <v>42.5</v>
      </c>
      <c r="I8">
        <v>0.34499999999999997</v>
      </c>
      <c r="J8">
        <v>71000</v>
      </c>
      <c r="K8" s="13">
        <f t="shared" si="2"/>
        <v>9.8052396586727573E-3</v>
      </c>
      <c r="L8" s="13">
        <f t="shared" si="0"/>
        <v>6.4484809498013716E-3</v>
      </c>
      <c r="M8" s="13">
        <f t="shared" si="0"/>
        <v>5.0265786793934333E-3</v>
      </c>
      <c r="N8" s="13">
        <f t="shared" si="0"/>
        <v>4.2478152181824802E-3</v>
      </c>
      <c r="O8" s="13">
        <f t="shared" si="0"/>
        <v>3.7601676981078385E-3</v>
      </c>
      <c r="P8" s="13">
        <f t="shared" si="0"/>
        <v>3.4284184032179988E-3</v>
      </c>
    </row>
    <row r="9" spans="1:19">
      <c r="A9">
        <v>3</v>
      </c>
      <c r="B9">
        <v>50</v>
      </c>
      <c r="C9">
        <v>55</v>
      </c>
      <c r="D9">
        <v>60</v>
      </c>
      <c r="E9">
        <v>65</v>
      </c>
      <c r="F9">
        <v>70</v>
      </c>
      <c r="G9">
        <v>75</v>
      </c>
      <c r="H9">
        <f t="shared" si="1"/>
        <v>42.5</v>
      </c>
      <c r="I9">
        <v>0.34499999999999997</v>
      </c>
      <c r="J9">
        <v>71000</v>
      </c>
      <c r="K9" s="13">
        <f t="shared" si="2"/>
        <v>1.1766287590407308E-2</v>
      </c>
      <c r="L9" s="13">
        <f t="shared" si="0"/>
        <v>7.7381771397616464E-3</v>
      </c>
      <c r="M9" s="13">
        <f t="shared" si="0"/>
        <v>6.03189441527212E-3</v>
      </c>
      <c r="N9" s="13">
        <f t="shared" si="0"/>
        <v>5.0973782618189759E-3</v>
      </c>
      <c r="O9" s="13">
        <f t="shared" si="0"/>
        <v>4.512201237729406E-3</v>
      </c>
      <c r="P9" s="13">
        <f t="shared" si="0"/>
        <v>4.1141020838615988E-3</v>
      </c>
    </row>
    <row r="10" spans="1:19">
      <c r="A10">
        <v>3.5</v>
      </c>
      <c r="B10">
        <v>50</v>
      </c>
      <c r="C10">
        <v>55</v>
      </c>
      <c r="D10">
        <v>60</v>
      </c>
      <c r="E10">
        <v>65</v>
      </c>
      <c r="F10">
        <v>70</v>
      </c>
      <c r="G10">
        <v>75</v>
      </c>
      <c r="H10">
        <f t="shared" si="1"/>
        <v>42.5</v>
      </c>
      <c r="I10">
        <v>0.34499999999999997</v>
      </c>
      <c r="J10">
        <v>71000</v>
      </c>
      <c r="K10" s="13">
        <f t="shared" si="2"/>
        <v>1.3727335522141859E-2</v>
      </c>
      <c r="L10" s="13">
        <f t="shared" si="0"/>
        <v>9.0278733297219221E-3</v>
      </c>
      <c r="M10" s="13">
        <f t="shared" si="0"/>
        <v>7.0372101511508066E-3</v>
      </c>
      <c r="N10" s="13">
        <f t="shared" si="0"/>
        <v>5.9469413054554724E-3</v>
      </c>
      <c r="O10" s="13">
        <f t="shared" si="0"/>
        <v>5.264234777350974E-3</v>
      </c>
      <c r="P10" s="13">
        <f t="shared" si="0"/>
        <v>4.7997857645051987E-3</v>
      </c>
    </row>
    <row r="11" spans="1:19">
      <c r="A11">
        <v>4</v>
      </c>
      <c r="B11">
        <v>50</v>
      </c>
      <c r="C11">
        <v>55</v>
      </c>
      <c r="D11">
        <v>60</v>
      </c>
      <c r="E11">
        <v>65</v>
      </c>
      <c r="F11">
        <v>70</v>
      </c>
      <c r="G11">
        <v>75</v>
      </c>
      <c r="H11">
        <f t="shared" si="1"/>
        <v>42.5</v>
      </c>
      <c r="I11">
        <v>0.34499999999999997</v>
      </c>
      <c r="J11">
        <v>71000</v>
      </c>
      <c r="K11" s="13">
        <f t="shared" si="2"/>
        <v>1.5688383453876412E-2</v>
      </c>
      <c r="L11" s="13">
        <f t="shared" si="0"/>
        <v>1.0317569519682195E-2</v>
      </c>
      <c r="M11" s="13">
        <f t="shared" si="0"/>
        <v>8.0425258870294933E-3</v>
      </c>
      <c r="N11" s="13">
        <f t="shared" si="0"/>
        <v>6.796504349091969E-3</v>
      </c>
      <c r="O11" s="13">
        <f t="shared" si="0"/>
        <v>6.0162683169725419E-3</v>
      </c>
      <c r="P11" s="13">
        <f t="shared" si="0"/>
        <v>5.4854694451487987E-3</v>
      </c>
    </row>
    <row r="12" spans="1:19">
      <c r="A12">
        <v>4.5</v>
      </c>
      <c r="B12">
        <v>50</v>
      </c>
      <c r="C12">
        <v>55</v>
      </c>
      <c r="D12">
        <v>60</v>
      </c>
      <c r="E12">
        <v>65</v>
      </c>
      <c r="F12">
        <v>70</v>
      </c>
      <c r="G12">
        <v>75</v>
      </c>
      <c r="H12">
        <f t="shared" si="1"/>
        <v>42.5</v>
      </c>
      <c r="I12">
        <v>0.34499999999999997</v>
      </c>
      <c r="J12">
        <v>71000</v>
      </c>
      <c r="K12" s="13">
        <f t="shared" si="2"/>
        <v>1.7649431385610963E-2</v>
      </c>
      <c r="L12" s="13">
        <f t="shared" si="0"/>
        <v>1.160726570964247E-2</v>
      </c>
      <c r="M12" s="13">
        <f t="shared" si="0"/>
        <v>9.0478416229081791E-3</v>
      </c>
      <c r="N12" s="13">
        <f t="shared" si="0"/>
        <v>7.6460673927284646E-3</v>
      </c>
      <c r="O12" s="13">
        <f t="shared" si="0"/>
        <v>6.768301856594109E-3</v>
      </c>
      <c r="P12" s="13">
        <f t="shared" si="0"/>
        <v>6.1711531257923986E-3</v>
      </c>
    </row>
    <row r="13" spans="1:19">
      <c r="A13">
        <v>5</v>
      </c>
      <c r="B13">
        <v>50</v>
      </c>
      <c r="C13">
        <v>55</v>
      </c>
      <c r="D13">
        <v>60</v>
      </c>
      <c r="E13">
        <v>65</v>
      </c>
      <c r="F13">
        <v>70</v>
      </c>
      <c r="G13">
        <v>75</v>
      </c>
      <c r="H13">
        <f t="shared" si="1"/>
        <v>42.5</v>
      </c>
      <c r="I13">
        <v>0.34499999999999997</v>
      </c>
      <c r="J13">
        <v>71000</v>
      </c>
      <c r="K13" s="13">
        <f t="shared" si="2"/>
        <v>1.9610479317345515E-2</v>
      </c>
      <c r="L13" s="13">
        <f t="shared" si="0"/>
        <v>1.2896961899602743E-2</v>
      </c>
      <c r="M13" s="13">
        <f t="shared" si="0"/>
        <v>1.0053157358786867E-2</v>
      </c>
      <c r="N13" s="13">
        <f t="shared" si="0"/>
        <v>8.4956304363649603E-3</v>
      </c>
      <c r="O13" s="13">
        <f t="shared" si="0"/>
        <v>7.520335396215677E-3</v>
      </c>
      <c r="P13" s="13">
        <f t="shared" si="0"/>
        <v>6.8568368064359977E-3</v>
      </c>
    </row>
    <row r="14" spans="1:19">
      <c r="A14">
        <v>5.5</v>
      </c>
      <c r="B14">
        <v>50</v>
      </c>
      <c r="C14">
        <v>55</v>
      </c>
      <c r="D14">
        <v>60</v>
      </c>
      <c r="E14">
        <v>65</v>
      </c>
      <c r="F14">
        <v>70</v>
      </c>
      <c r="G14">
        <v>75</v>
      </c>
      <c r="H14">
        <f t="shared" si="1"/>
        <v>42.5</v>
      </c>
      <c r="I14">
        <v>0.34499999999999997</v>
      </c>
      <c r="J14">
        <v>71000</v>
      </c>
      <c r="K14" s="13">
        <f t="shared" si="2"/>
        <v>2.1571527249080066E-2</v>
      </c>
      <c r="L14" s="13">
        <f t="shared" si="0"/>
        <v>1.4186658089563018E-2</v>
      </c>
      <c r="M14" s="13">
        <f t="shared" si="0"/>
        <v>1.1058473094665552E-2</v>
      </c>
      <c r="N14" s="13">
        <f t="shared" si="0"/>
        <v>9.3451934800014569E-3</v>
      </c>
      <c r="O14" s="13">
        <f t="shared" si="0"/>
        <v>8.2723689358372449E-3</v>
      </c>
      <c r="P14" s="13">
        <f t="shared" si="0"/>
        <v>7.5425204870795976E-3</v>
      </c>
    </row>
    <row r="15" spans="1:19">
      <c r="A15">
        <v>6</v>
      </c>
      <c r="B15">
        <v>50</v>
      </c>
      <c r="C15">
        <v>55</v>
      </c>
      <c r="D15">
        <v>60</v>
      </c>
      <c r="E15">
        <v>65</v>
      </c>
      <c r="F15">
        <v>70</v>
      </c>
      <c r="G15">
        <v>75</v>
      </c>
      <c r="H15">
        <f t="shared" si="1"/>
        <v>42.5</v>
      </c>
      <c r="I15">
        <v>0.34499999999999997</v>
      </c>
      <c r="J15">
        <v>71000</v>
      </c>
      <c r="K15" s="13">
        <f t="shared" si="2"/>
        <v>2.3532575180814617E-2</v>
      </c>
      <c r="L15" s="13">
        <f t="shared" si="0"/>
        <v>1.5476354279523293E-2</v>
      </c>
      <c r="M15" s="13">
        <f t="shared" si="0"/>
        <v>1.206378883054424E-2</v>
      </c>
      <c r="N15" s="13">
        <f t="shared" si="0"/>
        <v>1.0194756523637952E-2</v>
      </c>
      <c r="O15" s="13">
        <f t="shared" si="0"/>
        <v>9.024402475458812E-3</v>
      </c>
      <c r="P15" s="13">
        <f t="shared" si="0"/>
        <v>8.2282041677231976E-3</v>
      </c>
    </row>
    <row r="16" spans="1:19">
      <c r="A16">
        <v>6.5</v>
      </c>
      <c r="B16">
        <v>50</v>
      </c>
      <c r="C16">
        <v>55</v>
      </c>
      <c r="D16">
        <v>60</v>
      </c>
      <c r="E16">
        <v>65</v>
      </c>
      <c r="F16">
        <v>70</v>
      </c>
      <c r="G16">
        <v>75</v>
      </c>
      <c r="H16">
        <f t="shared" si="1"/>
        <v>42.5</v>
      </c>
      <c r="I16">
        <v>0.34499999999999997</v>
      </c>
      <c r="J16">
        <v>71000</v>
      </c>
      <c r="K16" s="13">
        <f t="shared" si="2"/>
        <v>2.5493623112549168E-2</v>
      </c>
      <c r="L16" s="13">
        <f t="shared" si="0"/>
        <v>1.6766050469483568E-2</v>
      </c>
      <c r="M16" s="13">
        <f t="shared" si="0"/>
        <v>1.3069104566422927E-2</v>
      </c>
      <c r="N16" s="13">
        <f t="shared" si="0"/>
        <v>1.104431956727445E-2</v>
      </c>
      <c r="O16" s="13">
        <f t="shared" si="0"/>
        <v>9.7764360150803808E-3</v>
      </c>
      <c r="P16" s="13">
        <f t="shared" si="0"/>
        <v>8.9138878483667975E-3</v>
      </c>
    </row>
    <row r="17" spans="1:16">
      <c r="A17">
        <v>7</v>
      </c>
      <c r="B17">
        <v>50</v>
      </c>
      <c r="C17">
        <v>55</v>
      </c>
      <c r="D17">
        <v>60</v>
      </c>
      <c r="E17">
        <v>65</v>
      </c>
      <c r="F17">
        <v>70</v>
      </c>
      <c r="G17">
        <v>75</v>
      </c>
      <c r="H17">
        <f t="shared" si="1"/>
        <v>42.5</v>
      </c>
      <c r="I17">
        <v>0.34499999999999997</v>
      </c>
      <c r="J17">
        <v>71000</v>
      </c>
      <c r="K17" s="13">
        <f t="shared" si="2"/>
        <v>2.7454671044283719E-2</v>
      </c>
      <c r="L17" s="13">
        <f t="shared" si="0"/>
        <v>1.8055746659443844E-2</v>
      </c>
      <c r="M17" s="13">
        <f t="shared" si="0"/>
        <v>1.4074420302301613E-2</v>
      </c>
      <c r="N17" s="13">
        <f t="shared" si="0"/>
        <v>1.1893882610910945E-2</v>
      </c>
      <c r="O17" s="13">
        <f t="shared" si="0"/>
        <v>1.0528469554701948E-2</v>
      </c>
      <c r="P17" s="13">
        <f t="shared" si="0"/>
        <v>9.5995715290103974E-3</v>
      </c>
    </row>
    <row r="18" spans="1:16">
      <c r="A18">
        <v>7.5</v>
      </c>
      <c r="B18">
        <v>50</v>
      </c>
      <c r="C18">
        <v>55</v>
      </c>
      <c r="D18">
        <v>60</v>
      </c>
      <c r="E18">
        <v>65</v>
      </c>
      <c r="F18">
        <v>70</v>
      </c>
      <c r="G18">
        <v>75</v>
      </c>
      <c r="H18">
        <f t="shared" si="1"/>
        <v>42.5</v>
      </c>
      <c r="I18">
        <v>0.34499999999999997</v>
      </c>
      <c r="J18">
        <v>71000</v>
      </c>
      <c r="K18" s="13">
        <f t="shared" si="2"/>
        <v>2.941571897601827E-2</v>
      </c>
      <c r="L18" s="13">
        <f t="shared" si="0"/>
        <v>1.9345442849404117E-2</v>
      </c>
      <c r="M18" s="13">
        <f t="shared" si="0"/>
        <v>1.5079736038180301E-2</v>
      </c>
      <c r="N18" s="13">
        <f t="shared" si="0"/>
        <v>1.2743445654547441E-2</v>
      </c>
      <c r="O18" s="13">
        <f t="shared" si="0"/>
        <v>1.1280503094323515E-2</v>
      </c>
      <c r="P18" s="13">
        <f t="shared" si="0"/>
        <v>1.0285255209653997E-2</v>
      </c>
    </row>
    <row r="19" spans="1:16">
      <c r="A19">
        <v>8</v>
      </c>
      <c r="B19">
        <v>50</v>
      </c>
      <c r="C19">
        <v>55</v>
      </c>
      <c r="D19">
        <v>60</v>
      </c>
      <c r="E19">
        <v>65</v>
      </c>
      <c r="F19">
        <v>70</v>
      </c>
      <c r="G19">
        <v>75</v>
      </c>
      <c r="H19">
        <f t="shared" si="1"/>
        <v>42.5</v>
      </c>
      <c r="I19">
        <v>0.34499999999999997</v>
      </c>
      <c r="J19">
        <v>71000</v>
      </c>
      <c r="K19" s="13">
        <f t="shared" si="2"/>
        <v>3.1376766907752825E-2</v>
      </c>
      <c r="L19" s="13">
        <f t="shared" ref="L19:P23" si="3">($A19*$H19/$J19)*((C19^2+$H19^2)/(C19^2-$H19^2)+$I19)</f>
        <v>2.063513903936439E-2</v>
      </c>
      <c r="M19" s="13">
        <f t="shared" si="3"/>
        <v>1.6085051774058987E-2</v>
      </c>
      <c r="N19" s="13">
        <f t="shared" si="3"/>
        <v>1.3593008698183938E-2</v>
      </c>
      <c r="O19" s="13">
        <f t="shared" si="3"/>
        <v>1.2032536633945084E-2</v>
      </c>
      <c r="P19" s="13">
        <f t="shared" si="3"/>
        <v>1.0970938890297597E-2</v>
      </c>
    </row>
    <row r="20" spans="1:16">
      <c r="A20">
        <v>8.5</v>
      </c>
      <c r="B20">
        <v>50</v>
      </c>
      <c r="C20">
        <v>55</v>
      </c>
      <c r="D20">
        <v>60</v>
      </c>
      <c r="E20">
        <v>65</v>
      </c>
      <c r="F20">
        <v>70</v>
      </c>
      <c r="G20">
        <v>75</v>
      </c>
      <c r="H20">
        <f t="shared" si="1"/>
        <v>42.5</v>
      </c>
      <c r="I20">
        <v>0.34499999999999997</v>
      </c>
      <c r="J20">
        <v>71000</v>
      </c>
      <c r="K20" s="13">
        <f t="shared" si="2"/>
        <v>3.3337814839487376E-2</v>
      </c>
      <c r="L20" s="13">
        <f t="shared" si="3"/>
        <v>2.1924835229324664E-2</v>
      </c>
      <c r="M20" s="13">
        <f t="shared" si="3"/>
        <v>1.7090367509937674E-2</v>
      </c>
      <c r="N20" s="13">
        <f t="shared" si="3"/>
        <v>1.4442571741820433E-2</v>
      </c>
      <c r="O20" s="13">
        <f t="shared" si="3"/>
        <v>1.2784570173566651E-2</v>
      </c>
      <c r="P20" s="13">
        <f t="shared" si="3"/>
        <v>1.1656622570941197E-2</v>
      </c>
    </row>
    <row r="21" spans="1:16">
      <c r="A21">
        <v>9</v>
      </c>
      <c r="B21">
        <v>50</v>
      </c>
      <c r="C21">
        <v>55</v>
      </c>
      <c r="D21">
        <v>60</v>
      </c>
      <c r="E21">
        <v>65</v>
      </c>
      <c r="F21">
        <v>70</v>
      </c>
      <c r="G21">
        <v>75</v>
      </c>
      <c r="H21">
        <f t="shared" si="1"/>
        <v>42.5</v>
      </c>
      <c r="I21">
        <v>0.34499999999999997</v>
      </c>
      <c r="J21">
        <v>71000</v>
      </c>
      <c r="K21" s="13">
        <f t="shared" si="2"/>
        <v>3.5298862771221927E-2</v>
      </c>
      <c r="L21" s="13">
        <f t="shared" si="3"/>
        <v>2.321453141928494E-2</v>
      </c>
      <c r="M21" s="13">
        <f t="shared" si="3"/>
        <v>1.8095683245816358E-2</v>
      </c>
      <c r="N21" s="13">
        <f t="shared" si="3"/>
        <v>1.5292134785456929E-2</v>
      </c>
      <c r="O21" s="13">
        <f t="shared" si="3"/>
        <v>1.3536603713188218E-2</v>
      </c>
      <c r="P21" s="13">
        <f t="shared" si="3"/>
        <v>1.2342306251584797E-2</v>
      </c>
    </row>
    <row r="22" spans="1:16">
      <c r="A22">
        <v>9.5</v>
      </c>
      <c r="B22">
        <v>50</v>
      </c>
      <c r="C22">
        <v>55</v>
      </c>
      <c r="D22">
        <v>60</v>
      </c>
      <c r="E22">
        <v>65</v>
      </c>
      <c r="F22">
        <v>70</v>
      </c>
      <c r="G22">
        <v>75</v>
      </c>
      <c r="H22">
        <f t="shared" si="1"/>
        <v>42.5</v>
      </c>
      <c r="I22">
        <v>0.34499999999999997</v>
      </c>
      <c r="J22">
        <v>71000</v>
      </c>
      <c r="K22" s="13">
        <f t="shared" si="2"/>
        <v>3.7259910702956478E-2</v>
      </c>
      <c r="L22" s="13">
        <f t="shared" si="3"/>
        <v>2.4504227609245213E-2</v>
      </c>
      <c r="M22" s="13">
        <f t="shared" si="3"/>
        <v>1.9100998981695046E-2</v>
      </c>
      <c r="N22" s="13">
        <f t="shared" si="3"/>
        <v>1.6141697829093426E-2</v>
      </c>
      <c r="O22" s="13">
        <f t="shared" si="3"/>
        <v>1.4288637252809787E-2</v>
      </c>
      <c r="P22" s="13">
        <f t="shared" si="3"/>
        <v>1.3027989932228395E-2</v>
      </c>
    </row>
    <row r="23" spans="1:16">
      <c r="A23">
        <v>10</v>
      </c>
      <c r="B23">
        <v>50</v>
      </c>
      <c r="C23">
        <v>55</v>
      </c>
      <c r="D23">
        <v>60</v>
      </c>
      <c r="E23">
        <v>65</v>
      </c>
      <c r="F23">
        <v>70</v>
      </c>
      <c r="G23">
        <v>75</v>
      </c>
      <c r="H23">
        <f t="shared" si="1"/>
        <v>42.5</v>
      </c>
      <c r="I23">
        <v>0.34499999999999997</v>
      </c>
      <c r="J23">
        <v>71000</v>
      </c>
      <c r="K23" s="13">
        <f t="shared" si="2"/>
        <v>3.9220958634691029E-2</v>
      </c>
      <c r="L23" s="13">
        <f t="shared" si="3"/>
        <v>2.5793923799205486E-2</v>
      </c>
      <c r="M23" s="13">
        <f t="shared" si="3"/>
        <v>2.0106314717573733E-2</v>
      </c>
      <c r="N23" s="13">
        <f t="shared" si="3"/>
        <v>1.6991260872729921E-2</v>
      </c>
      <c r="O23" s="13">
        <f t="shared" si="3"/>
        <v>1.5040670792431354E-2</v>
      </c>
      <c r="P23" s="13">
        <f t="shared" si="3"/>
        <v>1.3713673612871995E-2</v>
      </c>
    </row>
  </sheetData>
  <phoneticPr fontId="1"/>
  <hyperlinks>
    <hyperlink ref="A1" r:id="rId1" xr:uid="{00000000-0004-0000-0300-000000000000}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97308-FBBF-4EE8-A0F6-1E6BC5A0B069}">
  <dimension ref="A1:I46"/>
  <sheetViews>
    <sheetView topLeftCell="D31" workbookViewId="0">
      <selection activeCell="G45" sqref="G45"/>
    </sheetView>
  </sheetViews>
  <sheetFormatPr defaultRowHeight="17.649999999999999"/>
  <sheetData>
    <row r="1" spans="1:4">
      <c r="A1" t="s">
        <v>275</v>
      </c>
      <c r="B1">
        <v>40</v>
      </c>
    </row>
    <row r="2" spans="1:4">
      <c r="A2" t="s">
        <v>276</v>
      </c>
      <c r="B2">
        <v>60</v>
      </c>
    </row>
    <row r="3" spans="1:4">
      <c r="A3" t="s">
        <v>277</v>
      </c>
      <c r="B3">
        <v>45</v>
      </c>
    </row>
    <row r="4" spans="1:4">
      <c r="A4" t="s">
        <v>278</v>
      </c>
      <c r="B4">
        <v>50</v>
      </c>
    </row>
    <row r="5" spans="1:4">
      <c r="A5" t="s">
        <v>279</v>
      </c>
      <c r="B5">
        <f>(B1^2*(B4^2+B2^2))
/(B4^2*(B2^2-B1^2))*B3</f>
        <v>87.84</v>
      </c>
      <c r="D5">
        <f>B3*(1+(B2/B4)^2)/((B2/B1)^2-1)</f>
        <v>87.84</v>
      </c>
    </row>
    <row r="8" spans="1:4">
      <c r="D8" t="s">
        <v>280</v>
      </c>
    </row>
    <row r="9" spans="1:4">
      <c r="B9" t="s">
        <v>281</v>
      </c>
    </row>
    <row r="16" spans="1:4">
      <c r="A16" t="s">
        <v>275</v>
      </c>
      <c r="B16">
        <v>40</v>
      </c>
    </row>
    <row r="17" spans="1:2">
      <c r="A17" t="s">
        <v>276</v>
      </c>
      <c r="B17">
        <v>60</v>
      </c>
    </row>
    <row r="18" spans="1:2">
      <c r="A18" t="s">
        <v>284</v>
      </c>
      <c r="B18">
        <v>0</v>
      </c>
    </row>
    <row r="19" spans="1:2">
      <c r="A19" t="s">
        <v>283</v>
      </c>
      <c r="B19">
        <v>45</v>
      </c>
    </row>
    <row r="20" spans="1:2">
      <c r="A20" t="s">
        <v>278</v>
      </c>
      <c r="B20">
        <v>40</v>
      </c>
    </row>
    <row r="21" spans="1:2">
      <c r="B21">
        <f>(B18*B16^2*(B17^2+B20^2)-B19*B17^2*(B20^2+B16^2))
/((B17^2-B16^2)*B20^2)</f>
        <v>-162</v>
      </c>
    </row>
    <row r="22" spans="1:2">
      <c r="B22" t="s">
        <v>285</v>
      </c>
    </row>
    <row r="46" spans="9:9">
      <c r="I46" t="s">
        <v>286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1188EE1-70BF-433F-B6A0-0BAF0E4430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12</vt:i4>
      </vt:variant>
      <vt:variant>
        <vt:lpstr>名前付き一覧</vt:lpstr>
      </vt:variant>
      <vt:variant>
        <vt:i4>23</vt:i4>
      </vt:variant>
    </vt:vector>
  </HeadingPairs>
  <TitlesOfParts>
    <vt:vector size="35" baseType="lpstr">
      <vt:lpstr>寸法→圧入力</vt:lpstr>
      <vt:lpstr>グラフ</vt:lpstr>
      <vt:lpstr>外力→寸法</vt:lpstr>
      <vt:lpstr>外力→寸法(焼き嵌め）</vt:lpstr>
      <vt:lpstr>はめあい公差表</vt:lpstr>
      <vt:lpstr>Sheet4</vt:lpstr>
      <vt:lpstr>image</vt:lpstr>
      <vt:lpstr>Material Table</vt:lpstr>
      <vt:lpstr>圧入力推定</vt:lpstr>
      <vt:lpstr>圧入力推定 (2)</vt:lpstr>
      <vt:lpstr>円筒近似</vt:lpstr>
      <vt:lpstr>円周応力</vt:lpstr>
      <vt:lpstr>グラフ!Linear_Expansion_Coefficient_List</vt:lpstr>
      <vt:lpstr>'外力→寸法(焼き嵌め）'!Linear_Expansion_Coefficient_List</vt:lpstr>
      <vt:lpstr>寸法→圧入力!Linear_Expansion_Coefficient_List</vt:lpstr>
      <vt:lpstr>Linear_Expansion_Coefficient_List</vt:lpstr>
      <vt:lpstr>グラフ!Material_List</vt:lpstr>
      <vt:lpstr>'外力→寸法(焼き嵌め）'!Material_List</vt:lpstr>
      <vt:lpstr>寸法→圧入力!Material_List</vt:lpstr>
      <vt:lpstr>Material_List</vt:lpstr>
      <vt:lpstr>グラフ!Poissons_Ratio_List</vt:lpstr>
      <vt:lpstr>'外力→寸法(焼き嵌め）'!Poissons_Ratio_List</vt:lpstr>
      <vt:lpstr>寸法→圧入力!Poissons_Ratio_List</vt:lpstr>
      <vt:lpstr>Poissons_Ratio_List</vt:lpstr>
      <vt:lpstr>グラフ!Yield_Point_List</vt:lpstr>
      <vt:lpstr>'外力→寸法(焼き嵌め）'!Yield_Point_List</vt:lpstr>
      <vt:lpstr>寸法→圧入力!Yield_Point_List</vt:lpstr>
      <vt:lpstr>Yield_Point_List</vt:lpstr>
      <vt:lpstr>グラフ!Youngs_Modulus_List</vt:lpstr>
      <vt:lpstr>'外力→寸法(焼き嵌め）'!Youngs_Modulus_List</vt:lpstr>
      <vt:lpstr>寸法→圧入力!Youngs_Modulus_List</vt:lpstr>
      <vt:lpstr>Youngs_Modulus_List</vt:lpstr>
      <vt:lpstr>グラフ!合成画像</vt:lpstr>
      <vt:lpstr>寸法→圧入力!合成画像</vt:lpstr>
      <vt:lpstr>合成画像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2021-02-28T07:56:56Z</dcterms:modified>
</cp:coreProperties>
</file>