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lb" ContentType="model/gltf.binary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filterPrivacy="1" codeName="ThisWorkbook"/>
  <xr:revisionPtr revIDLastSave="0" documentId="13_ncr:1_{5572C276-759F-4D1D-8E25-5CE926803D86}" xr6:coauthVersionLast="46" xr6:coauthVersionMax="46" xr10:uidLastSave="{00000000-0000-0000-0000-000000000000}"/>
  <bookViews>
    <workbookView xWindow="0" yWindow="0" windowWidth="28800" windowHeight="15600" tabRatio="732" xr2:uid="{00000000-000D-0000-FFFF-FFFF00000000}"/>
  </bookViews>
  <sheets>
    <sheet name="寸法→圧入力" sheetId="37" r:id="rId1"/>
    <sheet name="Sheet1" sheetId="39" r:id="rId2"/>
    <sheet name="グラフ" sheetId="38" r:id="rId3"/>
    <sheet name="外力→寸法" sheetId="30" r:id="rId4"/>
    <sheet name="外力→寸法(焼き嵌め）" sheetId="35" r:id="rId5"/>
    <sheet name="はめあい公差表" sheetId="32" r:id="rId6"/>
    <sheet name="Sheet4" sheetId="34" r:id="rId7"/>
    <sheet name="Material Table" sheetId="26" r:id="rId8"/>
    <sheet name="圧入力推定" sheetId="22" r:id="rId9"/>
    <sheet name="圧入力推定 (2)" sheetId="24" r:id="rId10"/>
    <sheet name="円筒近似" sheetId="21" r:id="rId11"/>
    <sheet name="円周応力" sheetId="36" r:id="rId12"/>
  </sheets>
  <definedNames>
    <definedName name="Linear_Expansion_Coefficient_List" localSheetId="2">Material_Table[Linear Expansion Coefficient'[10^-6/K']]</definedName>
    <definedName name="Linear_Expansion_Coefficient_List" localSheetId="4">Material_Table[Linear Expansion Coefficient'[10^-6/K']]</definedName>
    <definedName name="Linear_Expansion_Coefficient_List" localSheetId="0">Material_Table[Linear Expansion Coefficient'[10^-6/K']]</definedName>
    <definedName name="Linear_Expansion_Coefficient_List">Material_Table[Linear Expansion Coefficient'[10^-6/K']]</definedName>
    <definedName name="Material_List" localSheetId="2">Material_Table[Material Name]</definedName>
    <definedName name="Material_List" localSheetId="4">Material_Table[Material Name]</definedName>
    <definedName name="Material_List" localSheetId="0">Material_Table[Material Name]</definedName>
    <definedName name="Material_List">Material_Table[Material Name]</definedName>
    <definedName name="Mi" localSheetId="9">#REF!</definedName>
    <definedName name="Mi">#REF!</definedName>
    <definedName name="Ms" localSheetId="9">#REF!</definedName>
    <definedName name="Ms">#REF!</definedName>
    <definedName name="Pm" localSheetId="9">#REF!</definedName>
    <definedName name="Pm">#REF!</definedName>
    <definedName name="Poissons_Ratio_List" localSheetId="2">Material_Table[Poisson''s Ratio'[-']]</definedName>
    <definedName name="Poissons_Ratio_List" localSheetId="4">Material_Table[Poisson''s Ratio'[-']]</definedName>
    <definedName name="Poissons_Ratio_List" localSheetId="0">Material_Table[Poisson''s Ratio'[-']]</definedName>
    <definedName name="Poissons_Ratio_List">Material_Table[Poisson''s Ratio'[-']]</definedName>
    <definedName name="Yield_Point_List" localSheetId="2">Material_Table[Yield Point'[MPa']]</definedName>
    <definedName name="Yield_Point_List" localSheetId="4">Material_Table[Yield Point'[MPa']]</definedName>
    <definedName name="Yield_Point_List" localSheetId="0">Material_Table[Yield Point'[MPa']]</definedName>
    <definedName name="Yield_Point_List">Material_Table[Yield Point'[MPa']]</definedName>
    <definedName name="Youngs_Modulus_List" localSheetId="2">Material_Table[Young''s Modulus'[MPa']]</definedName>
    <definedName name="Youngs_Modulus_List" localSheetId="4">Material_Table[Young''s Modulus'[MPa']]</definedName>
    <definedName name="Youngs_Modulus_List" localSheetId="0">Material_Table[Young''s Modulus'[MPa']]</definedName>
    <definedName name="Youngs_Modulus_List">Material_Table[Young''s Modulus'[MPa']]</definedName>
    <definedName name="ケース横寸法" localSheetId="2">INDEX(#REF!,MATCH(#REF!,#REF!,0))</definedName>
    <definedName name="ケース横寸法" localSheetId="0">INDEX(#REF!,MATCH(#REF!,#REF!,0))</definedName>
    <definedName name="ケース横寸法">INDEX(#REF!,MATCH(#REF!,#REF!,0))</definedName>
    <definedName name="ケース縦寸法" localSheetId="2">INDEX(#REF!,MATCH(#REF!,#REF!,0))</definedName>
    <definedName name="ケース縦寸法" localSheetId="0">INDEX(#REF!,MATCH(#REF!,#REF!,0))</definedName>
    <definedName name="ケース縦寸法">INDEX(#REF!,MATCH(#REF!,#REF!,0))</definedName>
    <definedName name="シャフト横寸法" localSheetId="2">INDEX(#REF!,MATCH(#REF!,#REF!,0))</definedName>
    <definedName name="シャフト横寸法" localSheetId="0">INDEX(#REF!,MATCH(#REF!,#REF!,0))</definedName>
    <definedName name="シャフト横寸法">INDEX(#REF!,MATCH(#REF!,#REF!,0))</definedName>
    <definedName name="シャフト縦寸法" localSheetId="2">INDEX(#REF!,MATCH(#REF!,#REF!,0))</definedName>
    <definedName name="シャフト縦寸法" localSheetId="0">INDEX(#REF!,MATCH(#REF!,#REF!,0))</definedName>
    <definedName name="シャフト縦寸法">INDEX(#REF!,MATCH(#REF!,#REF!,0))</definedName>
    <definedName name="画像">INDIRECT(寸法→圧入力!$D$3)</definedName>
    <definedName name="穴を軸に圧入">Sheet1!$C$2</definedName>
    <definedName name="軸を穴に圧入">Sheet1!$A$2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0" i="37" l="1"/>
  <c r="F100" i="37"/>
  <c r="E100" i="37"/>
  <c r="R12" i="37"/>
  <c r="R13" i="37"/>
  <c r="R10" i="37"/>
  <c r="R11" i="37"/>
  <c r="D97" i="37" a="1"/>
  <c r="D97" i="37" s="1"/>
  <c r="F26" i="37"/>
  <c r="D16" i="37"/>
  <c r="D44" i="37" a="1"/>
  <c r="D44" i="37" s="1"/>
  <c r="F49" i="37"/>
  <c r="D49" i="37"/>
  <c r="E49" i="37"/>
  <c r="F99" i="37"/>
  <c r="D99" i="37"/>
  <c r="D46" i="37"/>
  <c r="F46" i="37"/>
  <c r="F5" i="37"/>
  <c r="D5" i="37"/>
  <c r="N7" i="38"/>
  <c r="F48" i="37" l="1"/>
  <c r="D48" i="37"/>
  <c r="N8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C82" i="37"/>
  <c r="C68" i="37"/>
  <c r="D41" i="37" a="1"/>
  <c r="D41" i="37" s="1"/>
  <c r="D40" i="37" a="1"/>
  <c r="D40" i="37" s="1"/>
  <c r="D39" i="37" a="1"/>
  <c r="D39" i="37" s="1"/>
  <c r="D38" i="37" a="1"/>
  <c r="D38" i="37" s="1"/>
  <c r="D35" i="37"/>
  <c r="E34" i="37"/>
  <c r="D32" i="37" a="1"/>
  <c r="D32" i="37" s="1"/>
  <c r="D31" i="37" a="1"/>
  <c r="D31" i="37" s="1"/>
  <c r="D30" i="37" a="1"/>
  <c r="D30" i="37" s="1"/>
  <c r="D29" i="37" a="1"/>
  <c r="D29" i="37" s="1"/>
  <c r="D26" i="37"/>
  <c r="D25" i="37"/>
  <c r="D27" i="37" s="1"/>
  <c r="E24" i="37"/>
  <c r="D17" i="37"/>
  <c r="D18" i="37" s="1"/>
  <c r="F16" i="37"/>
  <c r="F17" i="37" s="1"/>
  <c r="F18" i="37" s="1"/>
  <c r="E16" i="37"/>
  <c r="E17" i="37" s="1"/>
  <c r="E18" i="37" s="1"/>
  <c r="E13" i="37"/>
  <c r="F12" i="37"/>
  <c r="D12" i="37"/>
  <c r="E11" i="37"/>
  <c r="E12" i="37" s="1"/>
  <c r="B21" i="36"/>
  <c r="D5" i="36"/>
  <c r="B5" i="36"/>
  <c r="P23" i="21"/>
  <c r="O23" i="21"/>
  <c r="N23" i="21"/>
  <c r="M23" i="21"/>
  <c r="L23" i="21"/>
  <c r="K23" i="21"/>
  <c r="H23" i="21"/>
  <c r="P22" i="21"/>
  <c r="O22" i="21"/>
  <c r="N22" i="21"/>
  <c r="M22" i="21"/>
  <c r="L22" i="21"/>
  <c r="K22" i="21"/>
  <c r="H22" i="21"/>
  <c r="P21" i="21"/>
  <c r="O21" i="21"/>
  <c r="N21" i="21"/>
  <c r="M21" i="21"/>
  <c r="L21" i="21"/>
  <c r="K21" i="21"/>
  <c r="H21" i="21"/>
  <c r="P20" i="21"/>
  <c r="O20" i="21"/>
  <c r="N20" i="21"/>
  <c r="M20" i="21"/>
  <c r="L20" i="21"/>
  <c r="K20" i="21"/>
  <c r="H20" i="21"/>
  <c r="P19" i="21"/>
  <c r="O19" i="21"/>
  <c r="N19" i="21"/>
  <c r="M19" i="21"/>
  <c r="L19" i="21"/>
  <c r="K19" i="21"/>
  <c r="H19" i="21"/>
  <c r="P18" i="21"/>
  <c r="O18" i="21"/>
  <c r="N18" i="21"/>
  <c r="M18" i="21"/>
  <c r="L18" i="21"/>
  <c r="K18" i="21"/>
  <c r="H18" i="21"/>
  <c r="P17" i="21"/>
  <c r="O17" i="21"/>
  <c r="N17" i="21"/>
  <c r="M17" i="21"/>
  <c r="L17" i="21"/>
  <c r="K17" i="21"/>
  <c r="H17" i="21"/>
  <c r="P16" i="21"/>
  <c r="O16" i="21"/>
  <c r="N16" i="21"/>
  <c r="M16" i="21"/>
  <c r="L16" i="21"/>
  <c r="K16" i="21"/>
  <c r="H16" i="21"/>
  <c r="P15" i="21"/>
  <c r="O15" i="21"/>
  <c r="N15" i="21"/>
  <c r="M15" i="21"/>
  <c r="L15" i="21"/>
  <c r="K15" i="21"/>
  <c r="H15" i="21"/>
  <c r="P14" i="21"/>
  <c r="O14" i="21"/>
  <c r="N14" i="21"/>
  <c r="M14" i="21"/>
  <c r="L14" i="21"/>
  <c r="K14" i="21"/>
  <c r="H14" i="21"/>
  <c r="P13" i="21"/>
  <c r="O13" i="21"/>
  <c r="N13" i="21"/>
  <c r="M13" i="21"/>
  <c r="L13" i="21"/>
  <c r="K13" i="21"/>
  <c r="H13" i="21"/>
  <c r="P12" i="21"/>
  <c r="O12" i="21"/>
  <c r="N12" i="21"/>
  <c r="M12" i="21"/>
  <c r="L12" i="21"/>
  <c r="K12" i="21"/>
  <c r="H12" i="21"/>
  <c r="P11" i="21"/>
  <c r="O11" i="21"/>
  <c r="N11" i="21"/>
  <c r="M11" i="21"/>
  <c r="L11" i="21"/>
  <c r="K11" i="21"/>
  <c r="H11" i="21"/>
  <c r="P10" i="21"/>
  <c r="O10" i="21"/>
  <c r="N10" i="21"/>
  <c r="M10" i="21"/>
  <c r="L10" i="21"/>
  <c r="K10" i="21"/>
  <c r="H10" i="21"/>
  <c r="P9" i="21"/>
  <c r="O9" i="21"/>
  <c r="N9" i="21"/>
  <c r="M9" i="21"/>
  <c r="L9" i="21"/>
  <c r="K9" i="21"/>
  <c r="H9" i="21"/>
  <c r="P8" i="21"/>
  <c r="O8" i="21"/>
  <c r="N8" i="21"/>
  <c r="M8" i="21"/>
  <c r="L8" i="21"/>
  <c r="K8" i="21"/>
  <c r="H8" i="21"/>
  <c r="P7" i="21"/>
  <c r="O7" i="21"/>
  <c r="N7" i="21"/>
  <c r="M7" i="21"/>
  <c r="L7" i="21"/>
  <c r="K7" i="21"/>
  <c r="H7" i="21"/>
  <c r="P6" i="21"/>
  <c r="O6" i="21"/>
  <c r="N6" i="21"/>
  <c r="M6" i="21"/>
  <c r="L6" i="21"/>
  <c r="K6" i="21"/>
  <c r="H6" i="21"/>
  <c r="P5" i="21"/>
  <c r="O5" i="21"/>
  <c r="N5" i="21"/>
  <c r="M5" i="21"/>
  <c r="L5" i="21"/>
  <c r="K5" i="21"/>
  <c r="H5" i="21"/>
  <c r="P4" i="21"/>
  <c r="O4" i="21"/>
  <c r="N4" i="21"/>
  <c r="M4" i="21"/>
  <c r="L4" i="21"/>
  <c r="K4" i="21"/>
  <c r="H4" i="21"/>
  <c r="P3" i="21"/>
  <c r="O3" i="21"/>
  <c r="N3" i="21"/>
  <c r="M3" i="21"/>
  <c r="L3" i="21"/>
  <c r="K3" i="21"/>
  <c r="H3" i="21"/>
  <c r="W37" i="24"/>
  <c r="V37" i="24"/>
  <c r="U37" i="24"/>
  <c r="T37" i="24"/>
  <c r="S37" i="24"/>
  <c r="R37" i="24"/>
  <c r="Q37" i="24"/>
  <c r="O37" i="24"/>
  <c r="N37" i="24"/>
  <c r="M37" i="24"/>
  <c r="L37" i="24"/>
  <c r="K37" i="24"/>
  <c r="J37" i="24"/>
  <c r="I37" i="24"/>
  <c r="H37" i="24"/>
  <c r="G37" i="24"/>
  <c r="F37" i="24"/>
  <c r="E37" i="24"/>
  <c r="D37" i="24"/>
  <c r="C37" i="24"/>
  <c r="B37" i="24"/>
  <c r="W36" i="24"/>
  <c r="V36" i="24"/>
  <c r="U36" i="24"/>
  <c r="T36" i="24"/>
  <c r="S36" i="24"/>
  <c r="R36" i="24"/>
  <c r="Q36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W35" i="24"/>
  <c r="V35" i="24"/>
  <c r="U35" i="24"/>
  <c r="T35" i="24"/>
  <c r="S35" i="24"/>
  <c r="R35" i="24"/>
  <c r="Q35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W34" i="24"/>
  <c r="V34" i="24"/>
  <c r="U34" i="24"/>
  <c r="T34" i="24"/>
  <c r="S34" i="24"/>
  <c r="R34" i="24"/>
  <c r="Q34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W33" i="24"/>
  <c r="V33" i="24"/>
  <c r="U33" i="24"/>
  <c r="T33" i="24"/>
  <c r="S33" i="24"/>
  <c r="R33" i="24"/>
  <c r="Q33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W32" i="24"/>
  <c r="V32" i="24"/>
  <c r="U32" i="24"/>
  <c r="T32" i="24"/>
  <c r="S32" i="24"/>
  <c r="R32" i="24"/>
  <c r="Q32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W31" i="24"/>
  <c r="V31" i="24"/>
  <c r="U31" i="24"/>
  <c r="T31" i="24"/>
  <c r="S31" i="24"/>
  <c r="R31" i="24"/>
  <c r="Q31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W30" i="24"/>
  <c r="V30" i="24"/>
  <c r="U30" i="24"/>
  <c r="T30" i="24"/>
  <c r="S30" i="24"/>
  <c r="R30" i="24"/>
  <c r="Q30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W29" i="24"/>
  <c r="V29" i="24"/>
  <c r="U29" i="24"/>
  <c r="T29" i="24"/>
  <c r="S29" i="24"/>
  <c r="R29" i="24"/>
  <c r="Q29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W28" i="24"/>
  <c r="V28" i="24"/>
  <c r="U28" i="24"/>
  <c r="T28" i="24"/>
  <c r="S28" i="24"/>
  <c r="R28" i="24"/>
  <c r="Q28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W27" i="24"/>
  <c r="V27" i="24"/>
  <c r="U27" i="24"/>
  <c r="T27" i="24"/>
  <c r="S27" i="24"/>
  <c r="R27" i="24"/>
  <c r="Q27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W26" i="24"/>
  <c r="V26" i="24"/>
  <c r="U26" i="24"/>
  <c r="T26" i="24"/>
  <c r="S26" i="24"/>
  <c r="R26" i="24"/>
  <c r="Q26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W25" i="24"/>
  <c r="V25" i="24"/>
  <c r="U25" i="24"/>
  <c r="T25" i="24"/>
  <c r="S25" i="24"/>
  <c r="R25" i="24"/>
  <c r="Q25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W24" i="24"/>
  <c r="V24" i="24"/>
  <c r="U24" i="24"/>
  <c r="T24" i="24"/>
  <c r="S24" i="24"/>
  <c r="R24" i="24"/>
  <c r="Q24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W23" i="24"/>
  <c r="V23" i="24"/>
  <c r="U23" i="24"/>
  <c r="T23" i="24"/>
  <c r="S23" i="24"/>
  <c r="R23" i="24"/>
  <c r="Q23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W22" i="24"/>
  <c r="V22" i="24"/>
  <c r="U22" i="24"/>
  <c r="T22" i="24"/>
  <c r="S22" i="24"/>
  <c r="R22" i="24"/>
  <c r="Q22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W21" i="24"/>
  <c r="V21" i="24"/>
  <c r="U21" i="24"/>
  <c r="T21" i="24"/>
  <c r="S21" i="24"/>
  <c r="R21" i="24"/>
  <c r="Q21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W20" i="24"/>
  <c r="V20" i="24"/>
  <c r="U20" i="24"/>
  <c r="T20" i="24"/>
  <c r="S20" i="24"/>
  <c r="R20" i="24"/>
  <c r="Q20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W19" i="24"/>
  <c r="V19" i="24"/>
  <c r="U19" i="24"/>
  <c r="T19" i="24"/>
  <c r="S19" i="24"/>
  <c r="R19" i="24"/>
  <c r="Q19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W18" i="24"/>
  <c r="V18" i="24"/>
  <c r="U18" i="24"/>
  <c r="T18" i="24"/>
  <c r="S18" i="24"/>
  <c r="R18" i="24"/>
  <c r="Q18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W17" i="24"/>
  <c r="V17" i="24"/>
  <c r="U17" i="24"/>
  <c r="T17" i="24"/>
  <c r="S17" i="24"/>
  <c r="R17" i="24"/>
  <c r="Q17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W16" i="24"/>
  <c r="V16" i="24"/>
  <c r="U16" i="24"/>
  <c r="T16" i="24"/>
  <c r="S16" i="24"/>
  <c r="R16" i="24"/>
  <c r="Q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6" i="24"/>
  <c r="W14" i="24"/>
  <c r="V14" i="24"/>
  <c r="U14" i="24"/>
  <c r="T14" i="24"/>
  <c r="S14" i="24"/>
  <c r="R14" i="24"/>
  <c r="Q14" i="24"/>
  <c r="P14" i="24"/>
  <c r="O14" i="24"/>
  <c r="N14" i="24"/>
  <c r="M14" i="24"/>
  <c r="L14" i="24"/>
  <c r="K14" i="24"/>
  <c r="J14" i="24"/>
  <c r="I14" i="24"/>
  <c r="H14" i="24"/>
  <c r="G14" i="24"/>
  <c r="F14" i="24"/>
  <c r="E14" i="24"/>
  <c r="D14" i="24"/>
  <c r="C14" i="24"/>
  <c r="B14" i="24"/>
  <c r="W13" i="24"/>
  <c r="V13" i="24"/>
  <c r="U13" i="24"/>
  <c r="T13" i="24"/>
  <c r="S13" i="24"/>
  <c r="R13" i="24"/>
  <c r="Q13" i="24"/>
  <c r="P13" i="24"/>
  <c r="O13" i="24"/>
  <c r="N13" i="24"/>
  <c r="M13" i="24"/>
  <c r="L13" i="24"/>
  <c r="K13" i="24"/>
  <c r="J13" i="24"/>
  <c r="I13" i="24"/>
  <c r="H13" i="24"/>
  <c r="G13" i="24"/>
  <c r="F13" i="24"/>
  <c r="E13" i="24"/>
  <c r="D13" i="24"/>
  <c r="C13" i="24"/>
  <c r="B13" i="24"/>
  <c r="W12" i="24"/>
  <c r="V12" i="24"/>
  <c r="U12" i="24"/>
  <c r="T12" i="24"/>
  <c r="S12" i="24"/>
  <c r="R12" i="24"/>
  <c r="Q12" i="24"/>
  <c r="P12" i="24"/>
  <c r="O12" i="24"/>
  <c r="N12" i="24"/>
  <c r="M12" i="24"/>
  <c r="L12" i="24"/>
  <c r="K12" i="24"/>
  <c r="J12" i="24"/>
  <c r="I12" i="24"/>
  <c r="H12" i="24"/>
  <c r="G12" i="24"/>
  <c r="F12" i="24"/>
  <c r="E12" i="24"/>
  <c r="D12" i="24"/>
  <c r="C12" i="24"/>
  <c r="B12" i="24"/>
  <c r="W6" i="24"/>
  <c r="V6" i="24"/>
  <c r="U6" i="24"/>
  <c r="T6" i="24"/>
  <c r="S6" i="24"/>
  <c r="R6" i="24"/>
  <c r="Q6" i="24"/>
  <c r="W5" i="24"/>
  <c r="V5" i="24"/>
  <c r="U5" i="24"/>
  <c r="T5" i="24"/>
  <c r="S5" i="24"/>
  <c r="R5" i="24"/>
  <c r="Q5" i="24"/>
  <c r="W4" i="24"/>
  <c r="V4" i="24"/>
  <c r="U4" i="24"/>
  <c r="T4" i="24"/>
  <c r="S4" i="24"/>
  <c r="R4" i="24"/>
  <c r="Q4" i="24"/>
  <c r="V4" i="22"/>
  <c r="U4" i="22"/>
  <c r="T4" i="22"/>
  <c r="S4" i="22"/>
  <c r="R4" i="22"/>
  <c r="Q4" i="22"/>
  <c r="M41" i="32" a="1"/>
  <c r="M41" i="32" s="1"/>
  <c r="AK38" i="32"/>
  <c r="AJ38" i="32"/>
  <c r="AI38" i="32"/>
  <c r="AH38" i="32"/>
  <c r="AG38" i="32"/>
  <c r="AF38" i="32"/>
  <c r="AE38" i="32"/>
  <c r="AD38" i="32"/>
  <c r="AC38" i="32"/>
  <c r="AB38" i="32"/>
  <c r="AA38" i="32"/>
  <c r="Z38" i="32"/>
  <c r="Y38" i="32"/>
  <c r="X38" i="32"/>
  <c r="W38" i="32"/>
  <c r="V38" i="32"/>
  <c r="U38" i="32"/>
  <c r="T38" i="32"/>
  <c r="S38" i="32"/>
  <c r="R38" i="32"/>
  <c r="Q38" i="32"/>
  <c r="P38" i="32"/>
  <c r="O38" i="32"/>
  <c r="N38" i="32"/>
  <c r="M38" i="32"/>
  <c r="L38" i="32"/>
  <c r="K38" i="32"/>
  <c r="J38" i="32"/>
  <c r="I38" i="32"/>
  <c r="H38" i="32"/>
  <c r="G38" i="32"/>
  <c r="F38" i="32"/>
  <c r="E38" i="32"/>
  <c r="D38" i="32"/>
  <c r="AK37" i="32"/>
  <c r="AJ37" i="32"/>
  <c r="AI37" i="32"/>
  <c r="AH37" i="32"/>
  <c r="AG37" i="32"/>
  <c r="AF37" i="32"/>
  <c r="AE37" i="32"/>
  <c r="AD37" i="32"/>
  <c r="AC37" i="32"/>
  <c r="AB37" i="32"/>
  <c r="AA37" i="32"/>
  <c r="Z37" i="32"/>
  <c r="Y37" i="32"/>
  <c r="X37" i="32"/>
  <c r="W37" i="32"/>
  <c r="V37" i="32"/>
  <c r="U37" i="32"/>
  <c r="T37" i="32"/>
  <c r="S37" i="32"/>
  <c r="R37" i="32"/>
  <c r="Q37" i="32"/>
  <c r="P37" i="32"/>
  <c r="O37" i="32"/>
  <c r="N37" i="32"/>
  <c r="M37" i="32"/>
  <c r="L37" i="32"/>
  <c r="K37" i="32"/>
  <c r="J37" i="32"/>
  <c r="I37" i="32"/>
  <c r="H37" i="32"/>
  <c r="G37" i="32"/>
  <c r="F37" i="32"/>
  <c r="E37" i="32"/>
  <c r="D37" i="32"/>
  <c r="AK36" i="32"/>
  <c r="AJ36" i="32"/>
  <c r="AI36" i="32"/>
  <c r="AH36" i="32"/>
  <c r="AG36" i="32"/>
  <c r="AF36" i="32"/>
  <c r="AE36" i="32"/>
  <c r="AD36" i="32"/>
  <c r="AC36" i="32"/>
  <c r="AB36" i="32"/>
  <c r="AA36" i="32"/>
  <c r="Z36" i="32"/>
  <c r="Y36" i="32"/>
  <c r="X36" i="32"/>
  <c r="W36" i="32"/>
  <c r="V36" i="32"/>
  <c r="U36" i="32"/>
  <c r="T36" i="32"/>
  <c r="S36" i="32"/>
  <c r="R36" i="32"/>
  <c r="Q36" i="32"/>
  <c r="P36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AK35" i="32"/>
  <c r="AJ35" i="32"/>
  <c r="AI35" i="32"/>
  <c r="AH35" i="32"/>
  <c r="AG35" i="32"/>
  <c r="AF35" i="32"/>
  <c r="AE35" i="32"/>
  <c r="AD35" i="32"/>
  <c r="AC35" i="32"/>
  <c r="AB35" i="32"/>
  <c r="AA35" i="32"/>
  <c r="Z35" i="32"/>
  <c r="Y35" i="32"/>
  <c r="X35" i="32"/>
  <c r="W35" i="32"/>
  <c r="V35" i="32"/>
  <c r="U35" i="32"/>
  <c r="T35" i="32"/>
  <c r="S35" i="32"/>
  <c r="R35" i="32"/>
  <c r="Q35" i="32"/>
  <c r="P35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AK34" i="32"/>
  <c r="AJ34" i="32"/>
  <c r="AI34" i="32"/>
  <c r="AH34" i="32"/>
  <c r="AG34" i="32"/>
  <c r="AF34" i="32"/>
  <c r="AE34" i="32"/>
  <c r="AD34" i="32"/>
  <c r="AC34" i="32"/>
  <c r="AB34" i="32"/>
  <c r="AA34" i="32"/>
  <c r="Z34" i="32"/>
  <c r="Y34" i="32"/>
  <c r="X34" i="32"/>
  <c r="W34" i="32"/>
  <c r="V34" i="32"/>
  <c r="U34" i="32"/>
  <c r="T34" i="32"/>
  <c r="S34" i="32"/>
  <c r="R34" i="32"/>
  <c r="Q34" i="32"/>
  <c r="P34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AK33" i="32"/>
  <c r="AJ33" i="32"/>
  <c r="AI33" i="32"/>
  <c r="AH33" i="32"/>
  <c r="AG33" i="32"/>
  <c r="AF33" i="32"/>
  <c r="AE33" i="32"/>
  <c r="AD33" i="32"/>
  <c r="AC33" i="32"/>
  <c r="AB33" i="32"/>
  <c r="AA33" i="32"/>
  <c r="Z33" i="32"/>
  <c r="Y33" i="32"/>
  <c r="X33" i="32"/>
  <c r="W33" i="32"/>
  <c r="V33" i="32"/>
  <c r="U33" i="32"/>
  <c r="T33" i="32"/>
  <c r="S33" i="32"/>
  <c r="R33" i="32"/>
  <c r="Q33" i="32"/>
  <c r="P33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AK32" i="32"/>
  <c r="AJ32" i="32"/>
  <c r="AI32" i="32"/>
  <c r="AH32" i="32"/>
  <c r="AG32" i="32"/>
  <c r="AF32" i="32"/>
  <c r="AE32" i="32"/>
  <c r="AD32" i="32"/>
  <c r="AC32" i="32"/>
  <c r="AB32" i="32"/>
  <c r="AA32" i="32"/>
  <c r="Z32" i="32"/>
  <c r="Y32" i="32"/>
  <c r="X32" i="32"/>
  <c r="W32" i="32"/>
  <c r="V32" i="32"/>
  <c r="U32" i="32"/>
  <c r="T32" i="32"/>
  <c r="S32" i="32"/>
  <c r="R32" i="32"/>
  <c r="Q32" i="32"/>
  <c r="P32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AK31" i="32"/>
  <c r="AJ31" i="32"/>
  <c r="AI31" i="32"/>
  <c r="AH31" i="32"/>
  <c r="AG31" i="32"/>
  <c r="AF31" i="32"/>
  <c r="AE31" i="32"/>
  <c r="AD31" i="32"/>
  <c r="AC31" i="32"/>
  <c r="AB31" i="32"/>
  <c r="AA31" i="32"/>
  <c r="Z31" i="32"/>
  <c r="Y31" i="32"/>
  <c r="X31" i="32"/>
  <c r="W31" i="32"/>
  <c r="V31" i="32"/>
  <c r="U31" i="32"/>
  <c r="T31" i="32"/>
  <c r="S31" i="32"/>
  <c r="R31" i="32"/>
  <c r="Q31" i="32"/>
  <c r="P31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AK30" i="32"/>
  <c r="AJ30" i="32"/>
  <c r="AI30" i="32"/>
  <c r="AH30" i="32"/>
  <c r="AG30" i="32"/>
  <c r="AF30" i="32"/>
  <c r="AE30" i="32"/>
  <c r="AD30" i="32"/>
  <c r="AC30" i="32"/>
  <c r="AB30" i="32"/>
  <c r="AA30" i="32"/>
  <c r="Z30" i="32"/>
  <c r="Y30" i="32"/>
  <c r="X30" i="32"/>
  <c r="W30" i="32"/>
  <c r="V30" i="32"/>
  <c r="U30" i="32"/>
  <c r="T30" i="32"/>
  <c r="S30" i="32"/>
  <c r="R30" i="32"/>
  <c r="Q30" i="32"/>
  <c r="P30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AK29" i="32"/>
  <c r="AJ29" i="32"/>
  <c r="AI29" i="32"/>
  <c r="AH29" i="32"/>
  <c r="AG29" i="32"/>
  <c r="AF29" i="32"/>
  <c r="AE29" i="32"/>
  <c r="AD29" i="32"/>
  <c r="AC29" i="32"/>
  <c r="AB29" i="32"/>
  <c r="AA29" i="32"/>
  <c r="Z29" i="32"/>
  <c r="Y29" i="32"/>
  <c r="X29" i="32"/>
  <c r="W29" i="32"/>
  <c r="V29" i="32"/>
  <c r="U29" i="32"/>
  <c r="T29" i="32"/>
  <c r="S29" i="32"/>
  <c r="R29" i="32"/>
  <c r="Q29" i="32"/>
  <c r="P29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AK28" i="32"/>
  <c r="AJ28" i="32"/>
  <c r="AI28" i="32"/>
  <c r="AH28" i="32"/>
  <c r="AG28" i="32"/>
  <c r="AF28" i="32"/>
  <c r="AE28" i="32"/>
  <c r="AD28" i="32"/>
  <c r="AC28" i="32"/>
  <c r="AB28" i="32"/>
  <c r="AA28" i="32"/>
  <c r="Z28" i="32"/>
  <c r="Y28" i="32"/>
  <c r="X28" i="32"/>
  <c r="W28" i="32"/>
  <c r="V28" i="32"/>
  <c r="U28" i="32"/>
  <c r="T28" i="32"/>
  <c r="S28" i="32"/>
  <c r="R28" i="32"/>
  <c r="Q28" i="32"/>
  <c r="P28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AK27" i="32"/>
  <c r="AJ27" i="32"/>
  <c r="AI27" i="32"/>
  <c r="AH27" i="32"/>
  <c r="AG27" i="32"/>
  <c r="AF27" i="32"/>
  <c r="AE27" i="32"/>
  <c r="AD27" i="32"/>
  <c r="AC27" i="32"/>
  <c r="AB27" i="32"/>
  <c r="AA27" i="32"/>
  <c r="Z27" i="32"/>
  <c r="Y27" i="32"/>
  <c r="X27" i="32"/>
  <c r="W27" i="32"/>
  <c r="V27" i="32"/>
  <c r="U27" i="32"/>
  <c r="T27" i="32"/>
  <c r="S27" i="32"/>
  <c r="R27" i="32"/>
  <c r="Q27" i="32"/>
  <c r="P27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AK26" i="32"/>
  <c r="AJ26" i="32"/>
  <c r="AI26" i="32"/>
  <c r="AH26" i="32"/>
  <c r="AG26" i="32"/>
  <c r="AF26" i="32"/>
  <c r="AE26" i="32"/>
  <c r="AD26" i="32"/>
  <c r="AC26" i="32"/>
  <c r="AB26" i="32"/>
  <c r="AA26" i="32"/>
  <c r="Z26" i="32"/>
  <c r="Y26" i="32"/>
  <c r="X26" i="32"/>
  <c r="W26" i="32"/>
  <c r="V26" i="32"/>
  <c r="U26" i="32"/>
  <c r="T26" i="32"/>
  <c r="S26" i="32"/>
  <c r="R26" i="32"/>
  <c r="Q26" i="32"/>
  <c r="P26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AK25" i="32"/>
  <c r="AJ25" i="32"/>
  <c r="AI25" i="32"/>
  <c r="AH25" i="32"/>
  <c r="AG25" i="32"/>
  <c r="AF25" i="32"/>
  <c r="AE25" i="32"/>
  <c r="AD25" i="32"/>
  <c r="AC25" i="32"/>
  <c r="AB25" i="32"/>
  <c r="AA25" i="32"/>
  <c r="Z25" i="32"/>
  <c r="Y25" i="32"/>
  <c r="X25" i="32"/>
  <c r="W25" i="32"/>
  <c r="V25" i="32"/>
  <c r="U25" i="32"/>
  <c r="T25" i="32"/>
  <c r="S25" i="32"/>
  <c r="R25" i="32"/>
  <c r="Q25" i="32"/>
  <c r="P25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AK24" i="32"/>
  <c r="AJ24" i="32"/>
  <c r="AI24" i="32"/>
  <c r="AH24" i="32"/>
  <c r="AG24" i="32"/>
  <c r="AF24" i="32"/>
  <c r="AE24" i="32"/>
  <c r="AD24" i="32"/>
  <c r="AC24" i="32"/>
  <c r="AB24" i="32"/>
  <c r="AA24" i="32"/>
  <c r="Z24" i="32"/>
  <c r="Y24" i="32"/>
  <c r="X24" i="32"/>
  <c r="W24" i="32"/>
  <c r="V24" i="32"/>
  <c r="U24" i="32"/>
  <c r="T24" i="32"/>
  <c r="S24" i="32"/>
  <c r="R24" i="32"/>
  <c r="Q24" i="32"/>
  <c r="P24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AK23" i="32"/>
  <c r="AJ23" i="32"/>
  <c r="AI23" i="32"/>
  <c r="AH23" i="32"/>
  <c r="AG23" i="32"/>
  <c r="AF23" i="32"/>
  <c r="AE23" i="32"/>
  <c r="AD23" i="32"/>
  <c r="AC23" i="32"/>
  <c r="AB23" i="32"/>
  <c r="AA23" i="32"/>
  <c r="Z23" i="32"/>
  <c r="Y23" i="32"/>
  <c r="X23" i="32"/>
  <c r="W23" i="32"/>
  <c r="V23" i="32"/>
  <c r="U23" i="32"/>
  <c r="T23" i="32"/>
  <c r="S23" i="32"/>
  <c r="R23" i="32"/>
  <c r="Q23" i="32"/>
  <c r="P23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AK22" i="32"/>
  <c r="AJ22" i="32"/>
  <c r="AI22" i="32"/>
  <c r="AH22" i="32"/>
  <c r="AG22" i="32"/>
  <c r="AF22" i="32"/>
  <c r="AE22" i="32"/>
  <c r="AD22" i="32"/>
  <c r="AC22" i="32"/>
  <c r="AB22" i="32"/>
  <c r="AA22" i="32"/>
  <c r="Z22" i="32"/>
  <c r="Y22" i="32"/>
  <c r="X22" i="32"/>
  <c r="W22" i="32"/>
  <c r="V22" i="32"/>
  <c r="U22" i="32"/>
  <c r="T22" i="32"/>
  <c r="S22" i="32"/>
  <c r="R22" i="32"/>
  <c r="Q22" i="32"/>
  <c r="P22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AK21" i="32"/>
  <c r="AJ21" i="32"/>
  <c r="AI21" i="32"/>
  <c r="AH21" i="32"/>
  <c r="AG21" i="32"/>
  <c r="AF21" i="32"/>
  <c r="AE21" i="32"/>
  <c r="AD21" i="32"/>
  <c r="AC21" i="32"/>
  <c r="AB21" i="32"/>
  <c r="AA21" i="32"/>
  <c r="Z21" i="32"/>
  <c r="Y21" i="32"/>
  <c r="X21" i="32"/>
  <c r="W21" i="32"/>
  <c r="V21" i="32"/>
  <c r="U21" i="32"/>
  <c r="T21" i="32"/>
  <c r="S21" i="32"/>
  <c r="R21" i="32"/>
  <c r="Q21" i="32"/>
  <c r="P21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AK20" i="32"/>
  <c r="AJ20" i="32"/>
  <c r="AI20" i="32"/>
  <c r="AH20" i="32"/>
  <c r="AG20" i="32"/>
  <c r="AF20" i="32"/>
  <c r="AE20" i="32"/>
  <c r="AD20" i="32"/>
  <c r="AC20" i="32"/>
  <c r="AB20" i="32"/>
  <c r="AA20" i="32"/>
  <c r="Z20" i="32"/>
  <c r="Y20" i="32"/>
  <c r="X20" i="32"/>
  <c r="W20" i="32"/>
  <c r="V20" i="32"/>
  <c r="U20" i="32"/>
  <c r="T20" i="32"/>
  <c r="S20" i="32"/>
  <c r="R20" i="32"/>
  <c r="Q20" i="32"/>
  <c r="P20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AK18" i="32"/>
  <c r="AJ18" i="32"/>
  <c r="AI18" i="32"/>
  <c r="AH18" i="32"/>
  <c r="AG18" i="32"/>
  <c r="AF18" i="32"/>
  <c r="AE18" i="32"/>
  <c r="AD18" i="32"/>
  <c r="AC18" i="32"/>
  <c r="AB18" i="32"/>
  <c r="AA18" i="32"/>
  <c r="Z18" i="32"/>
  <c r="Y18" i="32"/>
  <c r="X18" i="32"/>
  <c r="W18" i="32"/>
  <c r="V18" i="32"/>
  <c r="U18" i="32"/>
  <c r="T18" i="32"/>
  <c r="S18" i="32"/>
  <c r="R18" i="32"/>
  <c r="Q18" i="32"/>
  <c r="P18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AK17" i="32"/>
  <c r="AJ17" i="32"/>
  <c r="AI17" i="32"/>
  <c r="AH17" i="32"/>
  <c r="AG17" i="32"/>
  <c r="AF17" i="32"/>
  <c r="AE17" i="32"/>
  <c r="AD17" i="32"/>
  <c r="AC17" i="32"/>
  <c r="AB17" i="32"/>
  <c r="AA17" i="32"/>
  <c r="Z17" i="32"/>
  <c r="Y17" i="32"/>
  <c r="X17" i="32"/>
  <c r="W17" i="32"/>
  <c r="V17" i="32"/>
  <c r="U17" i="32"/>
  <c r="T17" i="32"/>
  <c r="S17" i="32"/>
  <c r="R17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AK16" i="32"/>
  <c r="AJ16" i="32"/>
  <c r="AI16" i="32"/>
  <c r="AH16" i="32"/>
  <c r="AG16" i="32"/>
  <c r="AF16" i="32"/>
  <c r="AE16" i="32"/>
  <c r="AD16" i="32"/>
  <c r="AC16" i="32"/>
  <c r="AB16" i="32"/>
  <c r="AA16" i="32"/>
  <c r="Z16" i="32"/>
  <c r="Y16" i="32"/>
  <c r="X16" i="32"/>
  <c r="W16" i="32"/>
  <c r="V16" i="32"/>
  <c r="U16" i="32"/>
  <c r="T16" i="32"/>
  <c r="S16" i="32"/>
  <c r="R16" i="32"/>
  <c r="Q16" i="32"/>
  <c r="P16" i="32"/>
  <c r="O16" i="32"/>
  <c r="N16" i="32"/>
  <c r="M16" i="32"/>
  <c r="L16" i="32"/>
  <c r="K16" i="32"/>
  <c r="J16" i="32"/>
  <c r="I16" i="32"/>
  <c r="H16" i="32"/>
  <c r="G16" i="32"/>
  <c r="F16" i="32"/>
  <c r="E16" i="32"/>
  <c r="D16" i="32"/>
  <c r="AK15" i="32"/>
  <c r="AJ15" i="32"/>
  <c r="AI15" i="32"/>
  <c r="AH15" i="32"/>
  <c r="AG15" i="32"/>
  <c r="AF15" i="32"/>
  <c r="AE15" i="32"/>
  <c r="AD15" i="32"/>
  <c r="AC15" i="32"/>
  <c r="AB15" i="32"/>
  <c r="AA15" i="32"/>
  <c r="Z15" i="32"/>
  <c r="Y15" i="32"/>
  <c r="X15" i="32"/>
  <c r="W15" i="32"/>
  <c r="V15" i="32"/>
  <c r="U15" i="32"/>
  <c r="T15" i="32"/>
  <c r="S15" i="32"/>
  <c r="R15" i="32"/>
  <c r="Q15" i="32"/>
  <c r="P15" i="32"/>
  <c r="O15" i="32"/>
  <c r="N15" i="32"/>
  <c r="M15" i="32"/>
  <c r="L15" i="32"/>
  <c r="K15" i="32"/>
  <c r="J15" i="32"/>
  <c r="I15" i="32"/>
  <c r="H15" i="32"/>
  <c r="G15" i="32"/>
  <c r="F15" i="32"/>
  <c r="E15" i="32"/>
  <c r="D15" i="32"/>
  <c r="AK14" i="32"/>
  <c r="AJ14" i="32"/>
  <c r="AI14" i="32"/>
  <c r="AH14" i="32"/>
  <c r="AG14" i="32"/>
  <c r="AF14" i="32"/>
  <c r="AE14" i="32"/>
  <c r="AD14" i="32"/>
  <c r="AC14" i="32"/>
  <c r="AB14" i="32"/>
  <c r="AA14" i="32"/>
  <c r="Z14" i="32"/>
  <c r="Y14" i="32"/>
  <c r="X14" i="32"/>
  <c r="W14" i="32"/>
  <c r="V14" i="32"/>
  <c r="U14" i="32"/>
  <c r="T14" i="32"/>
  <c r="S14" i="32"/>
  <c r="R14" i="32"/>
  <c r="Q14" i="32"/>
  <c r="P14" i="32"/>
  <c r="O14" i="32"/>
  <c r="N14" i="32"/>
  <c r="M14" i="32"/>
  <c r="L14" i="32"/>
  <c r="K14" i="32"/>
  <c r="J14" i="32"/>
  <c r="I14" i="32"/>
  <c r="H14" i="32"/>
  <c r="G14" i="32"/>
  <c r="F14" i="32"/>
  <c r="E14" i="32"/>
  <c r="D14" i="32"/>
  <c r="AK13" i="32"/>
  <c r="AJ13" i="32"/>
  <c r="AI13" i="32"/>
  <c r="AH13" i="32"/>
  <c r="AG13" i="32"/>
  <c r="AF13" i="32"/>
  <c r="AE13" i="32"/>
  <c r="AD13" i="32"/>
  <c r="AC13" i="32"/>
  <c r="AB13" i="32"/>
  <c r="AA13" i="32"/>
  <c r="Z13" i="32"/>
  <c r="Y13" i="32"/>
  <c r="X13" i="32"/>
  <c r="W13" i="32"/>
  <c r="V13" i="32"/>
  <c r="U13" i="32"/>
  <c r="T13" i="32"/>
  <c r="S13" i="32"/>
  <c r="R13" i="32"/>
  <c r="Q13" i="32"/>
  <c r="P13" i="32"/>
  <c r="O13" i="32"/>
  <c r="N13" i="32"/>
  <c r="M13" i="32"/>
  <c r="L13" i="32"/>
  <c r="K13" i="32"/>
  <c r="J13" i="32"/>
  <c r="I13" i="32"/>
  <c r="H13" i="32"/>
  <c r="G13" i="32"/>
  <c r="F13" i="32"/>
  <c r="E13" i="32"/>
  <c r="D13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D12" i="32"/>
  <c r="AK11" i="32"/>
  <c r="AJ11" i="32"/>
  <c r="AI11" i="32"/>
  <c r="AH11" i="32"/>
  <c r="AG11" i="32"/>
  <c r="AF11" i="32"/>
  <c r="AE11" i="32"/>
  <c r="AD11" i="32"/>
  <c r="AC11" i="32"/>
  <c r="AB11" i="32"/>
  <c r="AA11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F11" i="32"/>
  <c r="E11" i="32"/>
  <c r="D11" i="32"/>
  <c r="AK10" i="32"/>
  <c r="AJ10" i="32"/>
  <c r="AI10" i="32"/>
  <c r="AH10" i="32"/>
  <c r="AG10" i="32"/>
  <c r="AF10" i="32"/>
  <c r="AE10" i="32"/>
  <c r="AD10" i="32"/>
  <c r="AC10" i="32"/>
  <c r="AB10" i="32"/>
  <c r="AA10" i="32"/>
  <c r="Z10" i="32"/>
  <c r="Y10" i="32"/>
  <c r="X10" i="32"/>
  <c r="W10" i="32"/>
  <c r="V10" i="32"/>
  <c r="U10" i="32"/>
  <c r="T10" i="32"/>
  <c r="S10" i="32"/>
  <c r="R10" i="32"/>
  <c r="Q10" i="32"/>
  <c r="P10" i="32"/>
  <c r="O10" i="32"/>
  <c r="N10" i="32"/>
  <c r="M10" i="32"/>
  <c r="L10" i="32"/>
  <c r="K10" i="32"/>
  <c r="J10" i="32"/>
  <c r="I10" i="32"/>
  <c r="H10" i="32"/>
  <c r="G10" i="32"/>
  <c r="F10" i="32"/>
  <c r="E10" i="32"/>
  <c r="D10" i="32"/>
  <c r="AK9" i="32"/>
  <c r="AJ9" i="32"/>
  <c r="AI9" i="32"/>
  <c r="AH9" i="32"/>
  <c r="AG9" i="32"/>
  <c r="AF9" i="32"/>
  <c r="AE9" i="32"/>
  <c r="AD9" i="32"/>
  <c r="AC9" i="32"/>
  <c r="AB9" i="32"/>
  <c r="AA9" i="32"/>
  <c r="Z9" i="32"/>
  <c r="Y9" i="32"/>
  <c r="X9" i="32"/>
  <c r="W9" i="32"/>
  <c r="V9" i="32"/>
  <c r="U9" i="32"/>
  <c r="T9" i="32"/>
  <c r="S9" i="32"/>
  <c r="R9" i="32"/>
  <c r="Q9" i="32"/>
  <c r="P9" i="32"/>
  <c r="O9" i="32"/>
  <c r="N9" i="32"/>
  <c r="M9" i="32"/>
  <c r="L9" i="32"/>
  <c r="K9" i="32"/>
  <c r="J9" i="32"/>
  <c r="I9" i="32"/>
  <c r="H9" i="32"/>
  <c r="G9" i="32"/>
  <c r="F9" i="32"/>
  <c r="E9" i="32"/>
  <c r="D9" i="32"/>
  <c r="AK8" i="32"/>
  <c r="AJ8" i="32"/>
  <c r="AI8" i="32"/>
  <c r="AH8" i="32"/>
  <c r="AG8" i="32"/>
  <c r="AF8" i="32"/>
  <c r="AE8" i="32"/>
  <c r="AD8" i="32"/>
  <c r="AC8" i="32"/>
  <c r="AB8" i="32"/>
  <c r="AA8" i="32"/>
  <c r="Z8" i="32"/>
  <c r="Y8" i="32"/>
  <c r="X8" i="32"/>
  <c r="W8" i="32"/>
  <c r="V8" i="32"/>
  <c r="U8" i="32"/>
  <c r="T8" i="32"/>
  <c r="S8" i="32"/>
  <c r="R8" i="32"/>
  <c r="Q8" i="32"/>
  <c r="P8" i="32"/>
  <c r="O8" i="32"/>
  <c r="N8" i="32"/>
  <c r="M8" i="32"/>
  <c r="L8" i="32"/>
  <c r="K8" i="32"/>
  <c r="J8" i="32"/>
  <c r="I8" i="32"/>
  <c r="H8" i="32"/>
  <c r="G8" i="32"/>
  <c r="F8" i="32"/>
  <c r="E8" i="32"/>
  <c r="D8" i="32"/>
  <c r="I4" i="32"/>
  <c r="N3" i="32"/>
  <c r="K3" i="32"/>
  <c r="I3" i="32"/>
  <c r="F3" i="32"/>
  <c r="D3" i="32"/>
  <c r="F90" i="35"/>
  <c r="D90" i="35"/>
  <c r="F89" i="35"/>
  <c r="D58" i="35"/>
  <c r="D57" i="35"/>
  <c r="D56" i="35"/>
  <c r="D42" i="35" a="1"/>
  <c r="D42" i="35" s="1"/>
  <c r="D41" i="35"/>
  <c r="D41" i="35" a="1"/>
  <c r="D40" i="35" a="1"/>
  <c r="D40" i="35" s="1"/>
  <c r="D39" i="35" a="1"/>
  <c r="D39" i="35" s="1"/>
  <c r="D33" i="35" a="1"/>
  <c r="D33" i="35" s="1"/>
  <c r="F51" i="35" s="1"/>
  <c r="D32" i="35" a="1"/>
  <c r="D32" i="35" s="1"/>
  <c r="D31" i="35"/>
  <c r="D31" i="35" a="1"/>
  <c r="D30" i="35" a="1"/>
  <c r="D30" i="35" s="1"/>
  <c r="F28" i="35"/>
  <c r="D28" i="35"/>
  <c r="D24" i="35"/>
  <c r="D23" i="35"/>
  <c r="D21" i="35"/>
  <c r="D19" i="35"/>
  <c r="E14" i="35"/>
  <c r="F13" i="35"/>
  <c r="E13" i="35"/>
  <c r="D13" i="35"/>
  <c r="E11" i="35"/>
  <c r="F90" i="30"/>
  <c r="D90" i="30"/>
  <c r="F89" i="30"/>
  <c r="D58" i="30"/>
  <c r="D57" i="30"/>
  <c r="D56" i="30"/>
  <c r="D42" i="30" a="1"/>
  <c r="D42" i="30" s="1"/>
  <c r="D41" i="30" a="1"/>
  <c r="D41" i="30" s="1"/>
  <c r="D40" i="30" a="1"/>
  <c r="D40" i="30" s="1"/>
  <c r="D39" i="30" a="1"/>
  <c r="D39" i="30" s="1"/>
  <c r="D33" i="30" a="1"/>
  <c r="D33" i="30" s="1"/>
  <c r="D32" i="30" a="1"/>
  <c r="D32" i="30" s="1"/>
  <c r="D31" i="30" a="1"/>
  <c r="D31" i="30" s="1"/>
  <c r="D30" i="30" a="1"/>
  <c r="D30" i="30" s="1"/>
  <c r="F28" i="30"/>
  <c r="D28" i="30"/>
  <c r="D24" i="30"/>
  <c r="D23" i="30"/>
  <c r="D21" i="30"/>
  <c r="D19" i="30"/>
  <c r="E14" i="30"/>
  <c r="F13" i="30"/>
  <c r="E13" i="30"/>
  <c r="D13" i="30"/>
  <c r="E11" i="30"/>
  <c r="D98" i="37" l="1"/>
  <c r="D21" i="37"/>
  <c r="E5" i="37"/>
  <c r="E48" i="37" s="1"/>
  <c r="E25" i="37"/>
  <c r="E27" i="37" s="1"/>
  <c r="E98" i="37" s="1"/>
  <c r="E35" i="37"/>
  <c r="E21" i="37"/>
  <c r="I20" i="38"/>
  <c r="AR11" i="38"/>
  <c r="AR22" i="38"/>
  <c r="AR38" i="38"/>
  <c r="AR54" i="38"/>
  <c r="AR6" i="38"/>
  <c r="AR23" i="38"/>
  <c r="AR39" i="38"/>
  <c r="AR55" i="38"/>
  <c r="AR7" i="38"/>
  <c r="AR24" i="38"/>
  <c r="AR40" i="38"/>
  <c r="AR56" i="38"/>
  <c r="AR8" i="38"/>
  <c r="AR25" i="38"/>
  <c r="AR41" i="38"/>
  <c r="AR9" i="38"/>
  <c r="AR26" i="38"/>
  <c r="AR42" i="38"/>
  <c r="AR10" i="38"/>
  <c r="AR27" i="38"/>
  <c r="AR43" i="38"/>
  <c r="AR12" i="38"/>
  <c r="AR28" i="38"/>
  <c r="AR44" i="38"/>
  <c r="AR13" i="38"/>
  <c r="AR29" i="38"/>
  <c r="AR45" i="38"/>
  <c r="AR14" i="38"/>
  <c r="AR30" i="38"/>
  <c r="AR46" i="38"/>
  <c r="AR15" i="38"/>
  <c r="AR31" i="38"/>
  <c r="AR47" i="38"/>
  <c r="AR16" i="38"/>
  <c r="AR32" i="38"/>
  <c r="AR48" i="38"/>
  <c r="AR17" i="38"/>
  <c r="AR33" i="38"/>
  <c r="AR49" i="38"/>
  <c r="AR18" i="38"/>
  <c r="AR34" i="38"/>
  <c r="AR50" i="38"/>
  <c r="AR19" i="38"/>
  <c r="AR20" i="38"/>
  <c r="AR21" i="38"/>
  <c r="AR35" i="38"/>
  <c r="AR51" i="38"/>
  <c r="AR52" i="38"/>
  <c r="AR53" i="38"/>
  <c r="AR36" i="38"/>
  <c r="AR37" i="38"/>
  <c r="H7" i="38"/>
  <c r="AJ20" i="38"/>
  <c r="AJ36" i="38"/>
  <c r="AJ52" i="38"/>
  <c r="AJ21" i="38"/>
  <c r="AJ37" i="38"/>
  <c r="AJ53" i="38"/>
  <c r="AJ22" i="38"/>
  <c r="AJ38" i="38"/>
  <c r="AJ54" i="38"/>
  <c r="AJ6" i="38"/>
  <c r="AJ23" i="38"/>
  <c r="AJ39" i="38"/>
  <c r="AJ55" i="38"/>
  <c r="AJ7" i="38"/>
  <c r="AJ24" i="38"/>
  <c r="AJ40" i="38"/>
  <c r="AJ56" i="38"/>
  <c r="AJ8" i="38"/>
  <c r="AJ25" i="38"/>
  <c r="AJ41" i="38"/>
  <c r="AJ9" i="38"/>
  <c r="AJ26" i="38"/>
  <c r="AJ42" i="38"/>
  <c r="AJ10" i="38"/>
  <c r="AJ27" i="38"/>
  <c r="AJ43" i="38"/>
  <c r="AJ12" i="38"/>
  <c r="AJ28" i="38"/>
  <c r="AJ44" i="38"/>
  <c r="AJ13" i="38"/>
  <c r="AJ29" i="38"/>
  <c r="AJ45" i="38"/>
  <c r="AJ14" i="38"/>
  <c r="AJ30" i="38"/>
  <c r="AJ46" i="38"/>
  <c r="AJ15" i="38"/>
  <c r="AJ31" i="38"/>
  <c r="AJ47" i="38"/>
  <c r="AJ16" i="38"/>
  <c r="AJ32" i="38"/>
  <c r="AJ48" i="38"/>
  <c r="AJ11" i="38"/>
  <c r="AJ50" i="38"/>
  <c r="AJ17" i="38"/>
  <c r="AJ18" i="38"/>
  <c r="AJ19" i="38"/>
  <c r="AJ33" i="38"/>
  <c r="AJ49" i="38"/>
  <c r="AJ51" i="38"/>
  <c r="AJ34" i="38"/>
  <c r="AJ35" i="38"/>
  <c r="F35" i="37"/>
  <c r="D82" i="37" s="1"/>
  <c r="D83" i="37" s="1"/>
  <c r="N9" i="38"/>
  <c r="H51" i="38"/>
  <c r="H45" i="38"/>
  <c r="B37" i="38"/>
  <c r="F37" i="38" s="1"/>
  <c r="I51" i="38"/>
  <c r="H38" i="38"/>
  <c r="D23" i="38"/>
  <c r="I50" i="38"/>
  <c r="H37" i="38"/>
  <c r="I48" i="38"/>
  <c r="H35" i="38"/>
  <c r="I42" i="38"/>
  <c r="H29" i="38"/>
  <c r="I35" i="38"/>
  <c r="H22" i="38"/>
  <c r="I34" i="38"/>
  <c r="H21" i="38"/>
  <c r="I32" i="38"/>
  <c r="H19" i="38"/>
  <c r="I26" i="38"/>
  <c r="H13" i="38"/>
  <c r="C17" i="38"/>
  <c r="J17" i="38" s="1"/>
  <c r="C33" i="38"/>
  <c r="J33" i="38" s="1"/>
  <c r="C49" i="38"/>
  <c r="J49" i="38" s="1"/>
  <c r="I19" i="38"/>
  <c r="H6" i="38"/>
  <c r="I18" i="38"/>
  <c r="B56" i="38"/>
  <c r="I16" i="38"/>
  <c r="B24" i="38"/>
  <c r="I10" i="38"/>
  <c r="B6" i="38"/>
  <c r="H54" i="38"/>
  <c r="C43" i="38"/>
  <c r="J43" i="38" s="1"/>
  <c r="H53" i="38"/>
  <c r="C42" i="38"/>
  <c r="J42" i="38" s="1"/>
  <c r="C18" i="38"/>
  <c r="J18" i="38" s="1"/>
  <c r="C50" i="38"/>
  <c r="J50" i="38" s="1"/>
  <c r="D55" i="38"/>
  <c r="B21" i="38"/>
  <c r="F21" i="38" s="1"/>
  <c r="C34" i="38"/>
  <c r="J34" i="38" s="1"/>
  <c r="C19" i="38"/>
  <c r="J19" i="38" s="1"/>
  <c r="C35" i="38"/>
  <c r="J35" i="38" s="1"/>
  <c r="C51" i="38"/>
  <c r="J51" i="38" s="1"/>
  <c r="I49" i="38"/>
  <c r="I33" i="38"/>
  <c r="I17" i="38"/>
  <c r="H52" i="38"/>
  <c r="H36" i="38"/>
  <c r="H20" i="38"/>
  <c r="D53" i="38"/>
  <c r="B8" i="38"/>
  <c r="F8" i="38" s="1"/>
  <c r="C52" i="38"/>
  <c r="J52" i="38" s="1"/>
  <c r="C22" i="38"/>
  <c r="K22" i="38" s="1"/>
  <c r="C38" i="38"/>
  <c r="J38" i="38" s="1"/>
  <c r="C54" i="38"/>
  <c r="J54" i="38" s="1"/>
  <c r="I46" i="38"/>
  <c r="I30" i="38"/>
  <c r="I14" i="38"/>
  <c r="H49" i="38"/>
  <c r="H33" i="38"/>
  <c r="H17" i="38"/>
  <c r="D39" i="38"/>
  <c r="D7" i="38"/>
  <c r="B23" i="38"/>
  <c r="C39" i="38"/>
  <c r="K39" i="38" s="1"/>
  <c r="C55" i="38"/>
  <c r="J55" i="38" s="1"/>
  <c r="I45" i="38"/>
  <c r="I29" i="38"/>
  <c r="I13" i="38"/>
  <c r="H48" i="38"/>
  <c r="H32" i="38"/>
  <c r="H16" i="38"/>
  <c r="D37" i="38"/>
  <c r="C27" i="38"/>
  <c r="J27" i="38" s="1"/>
  <c r="C20" i="38"/>
  <c r="K20" i="38" s="1"/>
  <c r="C21" i="38"/>
  <c r="J21" i="38" s="1"/>
  <c r="C37" i="38"/>
  <c r="J37" i="38" s="1"/>
  <c r="C53" i="38"/>
  <c r="J53" i="38" s="1"/>
  <c r="I47" i="38"/>
  <c r="I31" i="38"/>
  <c r="I15" i="38"/>
  <c r="H50" i="38"/>
  <c r="H34" i="38"/>
  <c r="H18" i="38"/>
  <c r="D49" i="38"/>
  <c r="D8" i="38"/>
  <c r="D24" i="38"/>
  <c r="D40" i="38"/>
  <c r="D56" i="38"/>
  <c r="I44" i="38"/>
  <c r="I28" i="38"/>
  <c r="I12" i="38"/>
  <c r="H47" i="38"/>
  <c r="H31" i="38"/>
  <c r="H15" i="38"/>
  <c r="D36" i="38"/>
  <c r="C26" i="38"/>
  <c r="J26" i="38" s="1"/>
  <c r="D52" i="38"/>
  <c r="B9" i="38"/>
  <c r="E9" i="38" s="1"/>
  <c r="B25" i="38"/>
  <c r="F25" i="38" s="1"/>
  <c r="B41" i="38"/>
  <c r="I43" i="38"/>
  <c r="I27" i="38"/>
  <c r="I11" i="38"/>
  <c r="H46" i="38"/>
  <c r="H30" i="38"/>
  <c r="H14" i="38"/>
  <c r="D33" i="38"/>
  <c r="C11" i="38"/>
  <c r="C10" i="38"/>
  <c r="K10" i="38" s="1"/>
  <c r="C6" i="38"/>
  <c r="C36" i="38"/>
  <c r="J36" i="38" s="1"/>
  <c r="B42" i="38"/>
  <c r="C12" i="38"/>
  <c r="J12" i="38" s="1"/>
  <c r="C28" i="38"/>
  <c r="K28" i="38" s="1"/>
  <c r="C44" i="38"/>
  <c r="K44" i="38" s="1"/>
  <c r="I56" i="38"/>
  <c r="I40" i="38"/>
  <c r="I24" i="38"/>
  <c r="I8" i="38"/>
  <c r="H43" i="38"/>
  <c r="H27" i="38"/>
  <c r="H11" i="38"/>
  <c r="D20" i="38"/>
  <c r="D6" i="38"/>
  <c r="B10" i="38"/>
  <c r="F10" i="38" s="1"/>
  <c r="B11" i="38"/>
  <c r="B43" i="38"/>
  <c r="F43" i="38" s="1"/>
  <c r="D21" i="38"/>
  <c r="C13" i="38"/>
  <c r="K13" i="38" s="1"/>
  <c r="C45" i="38"/>
  <c r="K45" i="38" s="1"/>
  <c r="I55" i="38"/>
  <c r="I39" i="38"/>
  <c r="I23" i="38"/>
  <c r="I7" i="38"/>
  <c r="H42" i="38"/>
  <c r="H10" i="38"/>
  <c r="C14" i="38"/>
  <c r="J14" i="38" s="1"/>
  <c r="C30" i="38"/>
  <c r="K30" i="38" s="1"/>
  <c r="C46" i="38"/>
  <c r="J46" i="38" s="1"/>
  <c r="I54" i="38"/>
  <c r="I38" i="38"/>
  <c r="I22" i="38"/>
  <c r="I6" i="38"/>
  <c r="H41" i="38"/>
  <c r="H25" i="38"/>
  <c r="H9" i="38"/>
  <c r="B53" i="38"/>
  <c r="F53" i="38" s="1"/>
  <c r="B40" i="38"/>
  <c r="B26" i="38"/>
  <c r="F26" i="38" s="1"/>
  <c r="B27" i="38"/>
  <c r="I41" i="38"/>
  <c r="I25" i="38"/>
  <c r="I9" i="38"/>
  <c r="H44" i="38"/>
  <c r="H28" i="38"/>
  <c r="H12" i="38"/>
  <c r="C29" i="38"/>
  <c r="J29" i="38" s="1"/>
  <c r="H26" i="38"/>
  <c r="C15" i="38"/>
  <c r="J15" i="38" s="1"/>
  <c r="C31" i="38"/>
  <c r="J31" i="38" s="1"/>
  <c r="C47" i="38"/>
  <c r="J47" i="38" s="1"/>
  <c r="I53" i="38"/>
  <c r="I37" i="38"/>
  <c r="I21" i="38"/>
  <c r="H56" i="38"/>
  <c r="H40" i="38"/>
  <c r="H24" i="38"/>
  <c r="H8" i="38"/>
  <c r="C16" i="38"/>
  <c r="J16" i="38" s="1"/>
  <c r="C32" i="38"/>
  <c r="J32" i="38" s="1"/>
  <c r="C48" i="38"/>
  <c r="J48" i="38" s="1"/>
  <c r="I52" i="38"/>
  <c r="I36" i="38"/>
  <c r="H55" i="38"/>
  <c r="H39" i="38"/>
  <c r="H23" i="38"/>
  <c r="D54" i="38"/>
  <c r="D38" i="38"/>
  <c r="D22" i="38"/>
  <c r="B55" i="38"/>
  <c r="B39" i="38"/>
  <c r="B54" i="38"/>
  <c r="B38" i="38"/>
  <c r="B22" i="38"/>
  <c r="C41" i="38"/>
  <c r="C25" i="38"/>
  <c r="C9" i="38"/>
  <c r="C56" i="38"/>
  <c r="C40" i="38"/>
  <c r="C24" i="38"/>
  <c r="C8" i="38"/>
  <c r="D51" i="38"/>
  <c r="D35" i="38"/>
  <c r="D19" i="38"/>
  <c r="B52" i="38"/>
  <c r="B36" i="38"/>
  <c r="B20" i="38"/>
  <c r="C23" i="38"/>
  <c r="C7" i="38"/>
  <c r="D50" i="38"/>
  <c r="D34" i="38"/>
  <c r="D18" i="38"/>
  <c r="B51" i="38"/>
  <c r="B35" i="38"/>
  <c r="B19" i="38"/>
  <c r="D17" i="38"/>
  <c r="B50" i="38"/>
  <c r="B34" i="38"/>
  <c r="B18" i="38"/>
  <c r="D48" i="38"/>
  <c r="D32" i="38"/>
  <c r="D16" i="38"/>
  <c r="B49" i="38"/>
  <c r="B33" i="38"/>
  <c r="B17" i="38"/>
  <c r="D47" i="38"/>
  <c r="D31" i="38"/>
  <c r="D15" i="38"/>
  <c r="B48" i="38"/>
  <c r="B32" i="38"/>
  <c r="B16" i="38"/>
  <c r="D46" i="38"/>
  <c r="D30" i="38"/>
  <c r="D14" i="38"/>
  <c r="B47" i="38"/>
  <c r="B31" i="38"/>
  <c r="B15" i="38"/>
  <c r="D45" i="38"/>
  <c r="D29" i="38"/>
  <c r="D13" i="38"/>
  <c r="B46" i="38"/>
  <c r="B30" i="38"/>
  <c r="B14" i="38"/>
  <c r="B7" i="38"/>
  <c r="D44" i="38"/>
  <c r="D28" i="38"/>
  <c r="D12" i="38"/>
  <c r="B45" i="38"/>
  <c r="B29" i="38"/>
  <c r="B13" i="38"/>
  <c r="D43" i="38"/>
  <c r="D27" i="38"/>
  <c r="D11" i="38"/>
  <c r="B44" i="38"/>
  <c r="B28" i="38"/>
  <c r="B12" i="38"/>
  <c r="D42" i="38"/>
  <c r="D26" i="38"/>
  <c r="D10" i="38"/>
  <c r="D41" i="38"/>
  <c r="D25" i="38"/>
  <c r="D9" i="38"/>
  <c r="F9" i="35"/>
  <c r="F93" i="35"/>
  <c r="F52" i="35"/>
  <c r="F83" i="35"/>
  <c r="F84" i="35" s="1"/>
  <c r="D59" i="35"/>
  <c r="D83" i="35"/>
  <c r="D84" i="35" s="1"/>
  <c r="D59" i="30"/>
  <c r="F83" i="30"/>
  <c r="F84" i="30" s="1"/>
  <c r="D83" i="30"/>
  <c r="D84" i="30" s="1"/>
  <c r="F9" i="30"/>
  <c r="F8" i="30"/>
  <c r="F10" i="30" s="1"/>
  <c r="F85" i="30" s="1"/>
  <c r="F86" i="30" s="1"/>
  <c r="F63" i="30"/>
  <c r="F64" i="30" s="1"/>
  <c r="F65" i="30" s="1"/>
  <c r="F66" i="30" s="1"/>
  <c r="F67" i="30" s="1"/>
  <c r="D93" i="30"/>
  <c r="F51" i="30"/>
  <c r="F52" i="30" s="1"/>
  <c r="F53" i="30" s="1"/>
  <c r="F93" i="30"/>
  <c r="E54" i="37"/>
  <c r="E55" i="37" s="1"/>
  <c r="D8" i="30"/>
  <c r="D10" i="30" s="1"/>
  <c r="D85" i="30" s="1"/>
  <c r="D86" i="30" s="1"/>
  <c r="F21" i="37"/>
  <c r="D9" i="30"/>
  <c r="E82" i="37"/>
  <c r="E83" i="37" s="1"/>
  <c r="D8" i="35"/>
  <c r="F63" i="35"/>
  <c r="F64" i="35" s="1"/>
  <c r="F65" i="35" s="1"/>
  <c r="F66" i="35" s="1"/>
  <c r="F67" i="35" s="1"/>
  <c r="D93" i="35"/>
  <c r="E68" i="37"/>
  <c r="E69" i="37" s="1"/>
  <c r="F8" i="35"/>
  <c r="F10" i="35" s="1"/>
  <c r="F85" i="35" s="1"/>
  <c r="F86" i="35" s="1"/>
  <c r="D9" i="35"/>
  <c r="K43" i="38" l="1"/>
  <c r="F25" i="37"/>
  <c r="F85" i="37"/>
  <c r="D91" i="37"/>
  <c r="D92" i="37" s="1"/>
  <c r="E56" i="37"/>
  <c r="E63" i="37"/>
  <c r="E64" i="37" s="1"/>
  <c r="E85" i="37"/>
  <c r="E91" i="37"/>
  <c r="E92" i="37" s="1"/>
  <c r="E77" i="37"/>
  <c r="E78" i="37" s="1"/>
  <c r="E76" i="37"/>
  <c r="K38" i="38"/>
  <c r="K33" i="38"/>
  <c r="K35" i="38"/>
  <c r="K34" i="38"/>
  <c r="K17" i="38"/>
  <c r="D68" i="37"/>
  <c r="D69" i="37" s="1"/>
  <c r="D72" i="37" s="1"/>
  <c r="F74" i="37" s="1"/>
  <c r="D54" i="37"/>
  <c r="D55" i="37" s="1"/>
  <c r="K42" i="38"/>
  <c r="E37" i="38"/>
  <c r="G9" i="38"/>
  <c r="E8" i="38"/>
  <c r="G40" i="38"/>
  <c r="G41" i="38"/>
  <c r="K54" i="38"/>
  <c r="E21" i="38"/>
  <c r="K49" i="38"/>
  <c r="K50" i="38"/>
  <c r="E40" i="38"/>
  <c r="K18" i="38"/>
  <c r="G21" i="38"/>
  <c r="G8" i="38"/>
  <c r="G37" i="38"/>
  <c r="J22" i="38"/>
  <c r="K52" i="38"/>
  <c r="G42" i="38"/>
  <c r="G23" i="38"/>
  <c r="G11" i="38"/>
  <c r="G6" i="38"/>
  <c r="G24" i="38"/>
  <c r="E25" i="38"/>
  <c r="G25" i="38"/>
  <c r="G56" i="38"/>
  <c r="F40" i="38"/>
  <c r="G27" i="38"/>
  <c r="K51" i="38"/>
  <c r="K27" i="38"/>
  <c r="N10" i="38"/>
  <c r="N11" i="38" s="1"/>
  <c r="P9" i="38"/>
  <c r="W9" i="38" s="1"/>
  <c r="U9" i="38"/>
  <c r="AB9" i="38" s="1"/>
  <c r="T9" i="38"/>
  <c r="AA9" i="38" s="1"/>
  <c r="R9" i="38"/>
  <c r="Y9" i="38" s="1"/>
  <c r="Q9" i="38"/>
  <c r="X9" i="38" s="1"/>
  <c r="S9" i="38"/>
  <c r="Z9" i="38" s="1"/>
  <c r="O9" i="38"/>
  <c r="V9" i="38" s="1"/>
  <c r="E56" i="38"/>
  <c r="K19" i="38"/>
  <c r="K46" i="38"/>
  <c r="J28" i="38"/>
  <c r="K21" i="38"/>
  <c r="F56" i="38"/>
  <c r="G26" i="38"/>
  <c r="F9" i="38"/>
  <c r="K32" i="38"/>
  <c r="K53" i="38"/>
  <c r="K16" i="38"/>
  <c r="K14" i="38"/>
  <c r="E26" i="38"/>
  <c r="J45" i="38"/>
  <c r="F27" i="38"/>
  <c r="J20" i="38"/>
  <c r="E41" i="38"/>
  <c r="F41" i="38"/>
  <c r="E27" i="38"/>
  <c r="E53" i="38"/>
  <c r="K29" i="38"/>
  <c r="J44" i="38"/>
  <c r="E24" i="38"/>
  <c r="J10" i="38"/>
  <c r="K37" i="38"/>
  <c r="E23" i="38"/>
  <c r="K15" i="38"/>
  <c r="F24" i="38"/>
  <c r="G10" i="38"/>
  <c r="K36" i="38"/>
  <c r="J30" i="38"/>
  <c r="E6" i="38"/>
  <c r="E11" i="38"/>
  <c r="F11" i="38"/>
  <c r="F6" i="38"/>
  <c r="E43" i="38"/>
  <c r="F23" i="38"/>
  <c r="G53" i="38"/>
  <c r="G43" i="38"/>
  <c r="K12" i="38"/>
  <c r="J6" i="38"/>
  <c r="K6" i="38"/>
  <c r="J11" i="38"/>
  <c r="K11" i="38"/>
  <c r="J13" i="38"/>
  <c r="E42" i="38"/>
  <c r="F42" i="38"/>
  <c r="K55" i="38"/>
  <c r="K26" i="38"/>
  <c r="K47" i="38"/>
  <c r="J39" i="38"/>
  <c r="K31" i="38"/>
  <c r="K48" i="38"/>
  <c r="E10" i="38"/>
  <c r="G7" i="38"/>
  <c r="F7" i="38"/>
  <c r="E7" i="38"/>
  <c r="E15" i="38"/>
  <c r="G15" i="38"/>
  <c r="F15" i="38"/>
  <c r="E17" i="38"/>
  <c r="F17" i="38"/>
  <c r="G17" i="38"/>
  <c r="J25" i="38"/>
  <c r="K25" i="38"/>
  <c r="G31" i="38"/>
  <c r="E31" i="38"/>
  <c r="F31" i="38"/>
  <c r="E33" i="38"/>
  <c r="G33" i="38"/>
  <c r="F33" i="38"/>
  <c r="J41" i="38"/>
  <c r="K41" i="38"/>
  <c r="E47" i="38"/>
  <c r="G47" i="38"/>
  <c r="F47" i="38"/>
  <c r="E49" i="38"/>
  <c r="G49" i="38"/>
  <c r="F49" i="38"/>
  <c r="J7" i="38"/>
  <c r="K7" i="38"/>
  <c r="G22" i="38"/>
  <c r="F22" i="38"/>
  <c r="E22" i="38"/>
  <c r="G12" i="38"/>
  <c r="F12" i="38"/>
  <c r="E12" i="38"/>
  <c r="J23" i="38"/>
  <c r="K23" i="38"/>
  <c r="G38" i="38"/>
  <c r="F38" i="38"/>
  <c r="E38" i="38"/>
  <c r="G28" i="38"/>
  <c r="F28" i="38"/>
  <c r="E28" i="38"/>
  <c r="F20" i="38"/>
  <c r="E20" i="38"/>
  <c r="G20" i="38"/>
  <c r="G54" i="38"/>
  <c r="F54" i="38"/>
  <c r="E54" i="38"/>
  <c r="G44" i="38"/>
  <c r="F44" i="38"/>
  <c r="E44" i="38"/>
  <c r="F36" i="38"/>
  <c r="E36" i="38"/>
  <c r="G36" i="38"/>
  <c r="G39" i="38"/>
  <c r="F39" i="38"/>
  <c r="E39" i="38"/>
  <c r="J9" i="38"/>
  <c r="K9" i="38"/>
  <c r="E16" i="38"/>
  <c r="G16" i="38"/>
  <c r="F16" i="38"/>
  <c r="E18" i="38"/>
  <c r="G18" i="38"/>
  <c r="F18" i="38"/>
  <c r="F52" i="38"/>
  <c r="E52" i="38"/>
  <c r="G52" i="38"/>
  <c r="G55" i="38"/>
  <c r="F55" i="38"/>
  <c r="E55" i="38"/>
  <c r="E32" i="38"/>
  <c r="G32" i="38"/>
  <c r="F32" i="38"/>
  <c r="E34" i="38"/>
  <c r="G34" i="38"/>
  <c r="F34" i="38"/>
  <c r="E14" i="38"/>
  <c r="G14" i="38"/>
  <c r="F14" i="38"/>
  <c r="E48" i="38"/>
  <c r="G48" i="38"/>
  <c r="F48" i="38"/>
  <c r="F50" i="38"/>
  <c r="E50" i="38"/>
  <c r="G50" i="38"/>
  <c r="G13" i="38"/>
  <c r="F13" i="38"/>
  <c r="E13" i="38"/>
  <c r="E30" i="38"/>
  <c r="G30" i="38"/>
  <c r="F30" i="38"/>
  <c r="G29" i="38"/>
  <c r="F29" i="38"/>
  <c r="E29" i="38"/>
  <c r="E46" i="38"/>
  <c r="G46" i="38"/>
  <c r="F46" i="38"/>
  <c r="J8" i="38"/>
  <c r="K8" i="38"/>
  <c r="G45" i="38"/>
  <c r="F45" i="38"/>
  <c r="E45" i="38"/>
  <c r="F19" i="38"/>
  <c r="E19" i="38"/>
  <c r="G19" i="38"/>
  <c r="J24" i="38"/>
  <c r="K24" i="38"/>
  <c r="F35" i="38"/>
  <c r="E35" i="38"/>
  <c r="G35" i="38"/>
  <c r="K40" i="38"/>
  <c r="J40" i="38"/>
  <c r="F51" i="38"/>
  <c r="E51" i="38"/>
  <c r="G51" i="38"/>
  <c r="J56" i="38"/>
  <c r="K56" i="38"/>
  <c r="F69" i="30"/>
  <c r="E84" i="37"/>
  <c r="F84" i="37"/>
  <c r="D103" i="37"/>
  <c r="D87" i="30"/>
  <c r="D88" i="30" s="1"/>
  <c r="D92" i="30" s="1"/>
  <c r="F91" i="30"/>
  <c r="D91" i="35"/>
  <c r="F87" i="35"/>
  <c r="F88" i="35" s="1"/>
  <c r="F92" i="35" s="1"/>
  <c r="D60" i="30"/>
  <c r="D69" i="30" s="1"/>
  <c r="E59" i="37"/>
  <c r="E61" i="37" s="1"/>
  <c r="E58" i="37"/>
  <c r="E60" i="37" s="1"/>
  <c r="E62" i="37"/>
  <c r="E73" i="37"/>
  <c r="E75" i="37" s="1"/>
  <c r="E72" i="37"/>
  <c r="E74" i="37" s="1"/>
  <c r="D87" i="37"/>
  <c r="F89" i="37" s="1"/>
  <c r="D86" i="37"/>
  <c r="F88" i="37" s="1"/>
  <c r="D90" i="37"/>
  <c r="E70" i="37"/>
  <c r="F53" i="35"/>
  <c r="F69" i="35" s="1"/>
  <c r="D10" i="35"/>
  <c r="D85" i="35" s="1"/>
  <c r="D86" i="35" s="1"/>
  <c r="F72" i="30"/>
  <c r="F73" i="30" s="1"/>
  <c r="F70" i="30"/>
  <c r="F71" i="30" s="1"/>
  <c r="D76" i="30" s="1"/>
  <c r="E86" i="37"/>
  <c r="E88" i="37" s="1"/>
  <c r="E90" i="37"/>
  <c r="E87" i="37"/>
  <c r="E89" i="37" s="1"/>
  <c r="E57" i="37"/>
  <c r="E71" i="37"/>
  <c r="F56" i="37"/>
  <c r="F87" i="30"/>
  <c r="F88" i="30" s="1"/>
  <c r="F92" i="30" s="1"/>
  <c r="D91" i="30"/>
  <c r="F57" i="37"/>
  <c r="F70" i="37" l="1"/>
  <c r="D73" i="37"/>
  <c r="F75" i="37" s="1"/>
  <c r="F71" i="37"/>
  <c r="F27" i="37"/>
  <c r="F98" i="37" s="1"/>
  <c r="Q6" i="38"/>
  <c r="X6" i="38" s="1"/>
  <c r="P8" i="38"/>
  <c r="W8" i="38" s="1"/>
  <c r="P6" i="38"/>
  <c r="W6" i="38" s="1"/>
  <c r="S8" i="38"/>
  <c r="Z8" i="38" s="1"/>
  <c r="O6" i="38"/>
  <c r="V6" i="38" s="1"/>
  <c r="Q8" i="38"/>
  <c r="X8" i="38" s="1"/>
  <c r="O8" i="38"/>
  <c r="V8" i="38" s="1"/>
  <c r="Q7" i="38"/>
  <c r="X7" i="38" s="1"/>
  <c r="R8" i="38"/>
  <c r="Y8" i="38" s="1"/>
  <c r="T8" i="38"/>
  <c r="AA8" i="38" s="1"/>
  <c r="R6" i="38"/>
  <c r="Y6" i="38" s="1"/>
  <c r="S7" i="38"/>
  <c r="Z7" i="38" s="1"/>
  <c r="U8" i="38"/>
  <c r="AB8" i="38" s="1"/>
  <c r="F82" i="37"/>
  <c r="F83" i="37" s="1"/>
  <c r="T7" i="38"/>
  <c r="AA7" i="38" s="1"/>
  <c r="R7" i="38"/>
  <c r="Y7" i="38" s="1"/>
  <c r="U7" i="38"/>
  <c r="AB7" i="38" s="1"/>
  <c r="O7" i="38"/>
  <c r="V7" i="38" s="1"/>
  <c r="P7" i="38"/>
  <c r="W7" i="38" s="1"/>
  <c r="U6" i="38"/>
  <c r="AB6" i="38" s="1"/>
  <c r="F54" i="37"/>
  <c r="F55" i="37" s="1"/>
  <c r="T6" i="38"/>
  <c r="AA6" i="38" s="1"/>
  <c r="F68" i="37"/>
  <c r="F69" i="37" s="1"/>
  <c r="S6" i="38"/>
  <c r="Z6" i="38" s="1"/>
  <c r="D62" i="37"/>
  <c r="D63" i="37"/>
  <c r="D64" i="37" s="1"/>
  <c r="D77" i="37"/>
  <c r="D78" i="37" s="1"/>
  <c r="D76" i="37"/>
  <c r="D58" i="37"/>
  <c r="F60" i="37" s="1"/>
  <c r="D59" i="37"/>
  <c r="F61" i="37" s="1"/>
  <c r="F103" i="37"/>
  <c r="P11" i="38"/>
  <c r="W11" i="38" s="1"/>
  <c r="O11" i="38"/>
  <c r="V11" i="38" s="1"/>
  <c r="Q11" i="38"/>
  <c r="X11" i="38" s="1"/>
  <c r="R11" i="38"/>
  <c r="Y11" i="38" s="1"/>
  <c r="S11" i="38"/>
  <c r="Z11" i="38" s="1"/>
  <c r="T11" i="38"/>
  <c r="AA11" i="38" s="1"/>
  <c r="U11" i="38"/>
  <c r="AB11" i="38" s="1"/>
  <c r="AG9" i="38"/>
  <c r="AO9" i="38"/>
  <c r="AE9" i="38"/>
  <c r="AM9" i="38"/>
  <c r="AF9" i="38"/>
  <c r="AN9" i="38"/>
  <c r="AP9" i="38"/>
  <c r="AH9" i="38"/>
  <c r="AQ9" i="38"/>
  <c r="AI9" i="38"/>
  <c r="AL9" i="38"/>
  <c r="AD9" i="38"/>
  <c r="Q10" i="38"/>
  <c r="X10" i="38" s="1"/>
  <c r="U10" i="38"/>
  <c r="AB10" i="38" s="1"/>
  <c r="T10" i="38"/>
  <c r="AA10" i="38" s="1"/>
  <c r="P10" i="38"/>
  <c r="W10" i="38" s="1"/>
  <c r="R10" i="38"/>
  <c r="Y10" i="38" s="1"/>
  <c r="O10" i="38"/>
  <c r="V10" i="38" s="1"/>
  <c r="S10" i="38"/>
  <c r="Z10" i="38" s="1"/>
  <c r="AK9" i="38"/>
  <c r="AC9" i="38"/>
  <c r="D70" i="30"/>
  <c r="D71" i="30" s="1"/>
  <c r="D72" i="30"/>
  <c r="D73" i="30" s="1"/>
  <c r="F72" i="35"/>
  <c r="F73" i="35" s="1"/>
  <c r="F70" i="35"/>
  <c r="F71" i="35" s="1"/>
  <c r="D76" i="35" s="1"/>
  <c r="D60" i="35"/>
  <c r="D69" i="35" s="1"/>
  <c r="D78" i="30"/>
  <c r="F74" i="30"/>
  <c r="F75" i="30" s="1"/>
  <c r="F79" i="30" s="1"/>
  <c r="D87" i="35"/>
  <c r="D88" i="35" s="1"/>
  <c r="D92" i="35" s="1"/>
  <c r="F91" i="35"/>
  <c r="E103" i="37"/>
  <c r="D77" i="30"/>
  <c r="F80" i="30" s="1"/>
  <c r="F76" i="30"/>
  <c r="F77" i="30" s="1"/>
  <c r="D80" i="30" s="1"/>
  <c r="D101" i="37"/>
  <c r="D102" i="37"/>
  <c r="AH7" i="38" l="1"/>
  <c r="AP7" i="38"/>
  <c r="AQ8" i="38"/>
  <c r="AI8" i="38"/>
  <c r="AG7" i="38"/>
  <c r="AO7" i="38"/>
  <c r="AF6" i="38"/>
  <c r="AN6" i="38"/>
  <c r="D85" i="37"/>
  <c r="F91" i="37"/>
  <c r="F92" i="37" s="1"/>
  <c r="D84" i="37"/>
  <c r="F86" i="37"/>
  <c r="D88" i="37" s="1"/>
  <c r="F90" i="37"/>
  <c r="F87" i="37"/>
  <c r="D89" i="37" s="1"/>
  <c r="AP8" i="38"/>
  <c r="AH8" i="38"/>
  <c r="AF8" i="38"/>
  <c r="AN8" i="38"/>
  <c r="AO6" i="38"/>
  <c r="AG6" i="38"/>
  <c r="AE7" i="38"/>
  <c r="AM7" i="38"/>
  <c r="D70" i="37"/>
  <c r="F72" i="37"/>
  <c r="D74" i="37" s="1"/>
  <c r="D71" i="37"/>
  <c r="F73" i="37"/>
  <c r="D75" i="37" s="1"/>
  <c r="F76" i="37"/>
  <c r="F77" i="37"/>
  <c r="F78" i="37" s="1"/>
  <c r="AK8" i="38"/>
  <c r="AC8" i="38"/>
  <c r="AP6" i="38"/>
  <c r="AH6" i="38"/>
  <c r="AE8" i="38"/>
  <c r="AM8" i="38"/>
  <c r="F63" i="37"/>
  <c r="F64" i="37" s="1"/>
  <c r="D56" i="37"/>
  <c r="F58" i="37"/>
  <c r="D60" i="37" s="1"/>
  <c r="F62" i="37"/>
  <c r="D94" i="37" s="1"/>
  <c r="F59" i="37"/>
  <c r="D61" i="37" s="1"/>
  <c r="D57" i="37"/>
  <c r="AK6" i="38"/>
  <c r="AC6" i="38"/>
  <c r="AQ6" i="38"/>
  <c r="AI6" i="38"/>
  <c r="AG8" i="38"/>
  <c r="AO8" i="38"/>
  <c r="AL7" i="38"/>
  <c r="AD7" i="38"/>
  <c r="AD6" i="38"/>
  <c r="AL6" i="38"/>
  <c r="F102" i="37"/>
  <c r="AK7" i="38"/>
  <c r="AC7" i="38"/>
  <c r="AL8" i="38"/>
  <c r="AD8" i="38"/>
  <c r="F101" i="37"/>
  <c r="AQ7" i="38"/>
  <c r="AI7" i="38"/>
  <c r="AE6" i="38"/>
  <c r="AM6" i="38"/>
  <c r="AF7" i="38"/>
  <c r="AN7" i="38"/>
  <c r="AI11" i="38"/>
  <c r="AQ11" i="38"/>
  <c r="AH11" i="38"/>
  <c r="AP11" i="38"/>
  <c r="AG11" i="38"/>
  <c r="AO11" i="38"/>
  <c r="AF11" i="38"/>
  <c r="AN11" i="38"/>
  <c r="AE11" i="38"/>
  <c r="AM11" i="38"/>
  <c r="AK11" i="38"/>
  <c r="AC11" i="38"/>
  <c r="AD11" i="38"/>
  <c r="AL11" i="38"/>
  <c r="AM10" i="38"/>
  <c r="AE10" i="38"/>
  <c r="AH10" i="38"/>
  <c r="AP10" i="38"/>
  <c r="N12" i="38"/>
  <c r="AG10" i="38"/>
  <c r="AO10" i="38"/>
  <c r="AC10" i="38"/>
  <c r="AK10" i="38"/>
  <c r="AF10" i="38"/>
  <c r="AN10" i="38"/>
  <c r="AQ10" i="38"/>
  <c r="AI10" i="38"/>
  <c r="AL10" i="38"/>
  <c r="AD10" i="38"/>
  <c r="D72" i="35"/>
  <c r="D73" i="35" s="1"/>
  <c r="D70" i="35"/>
  <c r="D71" i="35" s="1"/>
  <c r="D77" i="35"/>
  <c r="F80" i="35" s="1"/>
  <c r="F76" i="35"/>
  <c r="F77" i="35" s="1"/>
  <c r="D80" i="35" s="1"/>
  <c r="D78" i="35"/>
  <c r="F74" i="35"/>
  <c r="F75" i="35" s="1"/>
  <c r="F79" i="35" s="1"/>
  <c r="E101" i="37"/>
  <c r="E102" i="37"/>
  <c r="D74" i="30"/>
  <c r="D75" i="30" s="1"/>
  <c r="D79" i="30" s="1"/>
  <c r="F78" i="30"/>
  <c r="N13" i="38" l="1"/>
  <c r="Q12" i="38"/>
  <c r="X12" i="38" s="1"/>
  <c r="P12" i="38"/>
  <c r="W12" i="38" s="1"/>
  <c r="U12" i="38"/>
  <c r="AB12" i="38" s="1"/>
  <c r="S12" i="38"/>
  <c r="Z12" i="38" s="1"/>
  <c r="O12" i="38"/>
  <c r="V12" i="38" s="1"/>
  <c r="T12" i="38"/>
  <c r="AA12" i="38" s="1"/>
  <c r="R12" i="38"/>
  <c r="Y12" i="38" s="1"/>
  <c r="F78" i="35"/>
  <c r="D74" i="35"/>
  <c r="D75" i="35" s="1"/>
  <c r="D79" i="35" s="1"/>
  <c r="AM12" i="38" l="1"/>
  <c r="AE12" i="38"/>
  <c r="AF12" i="38"/>
  <c r="AN12" i="38"/>
  <c r="AC12" i="38"/>
  <c r="AK12" i="38"/>
  <c r="AG12" i="38"/>
  <c r="AO12" i="38"/>
  <c r="AQ12" i="38"/>
  <c r="AI12" i="38"/>
  <c r="N14" i="38"/>
  <c r="R13" i="38"/>
  <c r="Y13" i="38" s="1"/>
  <c r="U13" i="38"/>
  <c r="AB13" i="38" s="1"/>
  <c r="T13" i="38"/>
  <c r="AA13" i="38" s="1"/>
  <c r="O13" i="38"/>
  <c r="V13" i="38" s="1"/>
  <c r="P13" i="38"/>
  <c r="W13" i="38" s="1"/>
  <c r="S13" i="38"/>
  <c r="Z13" i="38" s="1"/>
  <c r="Q13" i="38"/>
  <c r="X13" i="38" s="1"/>
  <c r="AH12" i="38"/>
  <c r="AP12" i="38"/>
  <c r="AL12" i="38"/>
  <c r="AD12" i="38"/>
  <c r="AC13" i="38" l="1"/>
  <c r="AK13" i="38"/>
  <c r="AN13" i="38"/>
  <c r="AF13" i="38"/>
  <c r="AH13" i="38"/>
  <c r="AP13" i="38"/>
  <c r="N15" i="38"/>
  <c r="Q14" i="38"/>
  <c r="X14" i="38" s="1"/>
  <c r="P14" i="38"/>
  <c r="W14" i="38" s="1"/>
  <c r="O14" i="38"/>
  <c r="V14" i="38" s="1"/>
  <c r="T14" i="38"/>
  <c r="AA14" i="38" s="1"/>
  <c r="U14" i="38"/>
  <c r="AB14" i="38" s="1"/>
  <c r="S14" i="38"/>
  <c r="Z14" i="38" s="1"/>
  <c r="R14" i="38"/>
  <c r="Y14" i="38" s="1"/>
  <c r="AL13" i="38"/>
  <c r="AD13" i="38"/>
  <c r="AM13" i="38"/>
  <c r="AE13" i="38"/>
  <c r="AI13" i="38"/>
  <c r="AQ13" i="38"/>
  <c r="AG13" i="38"/>
  <c r="AO13" i="38"/>
  <c r="AI14" i="38" l="1"/>
  <c r="AQ14" i="38"/>
  <c r="AG14" i="38"/>
  <c r="AO14" i="38"/>
  <c r="N16" i="38"/>
  <c r="R15" i="38"/>
  <c r="Y15" i="38" s="1"/>
  <c r="Q15" i="38"/>
  <c r="X15" i="38" s="1"/>
  <c r="T15" i="38"/>
  <c r="AA15" i="38" s="1"/>
  <c r="S15" i="38"/>
  <c r="Z15" i="38" s="1"/>
  <c r="P15" i="38"/>
  <c r="W15" i="38" s="1"/>
  <c r="O15" i="38"/>
  <c r="V15" i="38" s="1"/>
  <c r="U15" i="38"/>
  <c r="AB15" i="38" s="1"/>
  <c r="AN14" i="38"/>
  <c r="AF14" i="38"/>
  <c r="AH14" i="38"/>
  <c r="AP14" i="38"/>
  <c r="AM14" i="38"/>
  <c r="AE14" i="38"/>
  <c r="AC14" i="38"/>
  <c r="AK14" i="38"/>
  <c r="AD14" i="38"/>
  <c r="AL14" i="38"/>
  <c r="AI15" i="38" l="1"/>
  <c r="AQ15" i="38"/>
  <c r="AC15" i="38"/>
  <c r="AK15" i="38"/>
  <c r="AD15" i="38"/>
  <c r="AL15" i="38"/>
  <c r="AG15" i="38"/>
  <c r="AO15" i="38"/>
  <c r="AH15" i="38"/>
  <c r="AP15" i="38"/>
  <c r="AM15" i="38"/>
  <c r="AE15" i="38"/>
  <c r="AN15" i="38"/>
  <c r="AF15" i="38"/>
  <c r="N17" i="38"/>
  <c r="S16" i="38"/>
  <c r="Z16" i="38" s="1"/>
  <c r="U16" i="38"/>
  <c r="AB16" i="38" s="1"/>
  <c r="T16" i="38"/>
  <c r="AA16" i="38" s="1"/>
  <c r="P16" i="38"/>
  <c r="W16" i="38" s="1"/>
  <c r="O16" i="38"/>
  <c r="V16" i="38" s="1"/>
  <c r="Q16" i="38"/>
  <c r="X16" i="38" s="1"/>
  <c r="R16" i="38"/>
  <c r="Y16" i="38" s="1"/>
  <c r="AO16" i="38" l="1"/>
  <c r="AG16" i="38"/>
  <c r="N18" i="38"/>
  <c r="R17" i="38"/>
  <c r="Y17" i="38" s="1"/>
  <c r="Q17" i="38"/>
  <c r="X17" i="38" s="1"/>
  <c r="U17" i="38"/>
  <c r="AB17" i="38" s="1"/>
  <c r="S17" i="38"/>
  <c r="Z17" i="38" s="1"/>
  <c r="T17" i="38"/>
  <c r="AA17" i="38" s="1"/>
  <c r="P17" i="38"/>
  <c r="W17" i="38" s="1"/>
  <c r="O17" i="38"/>
  <c r="V17" i="38" s="1"/>
  <c r="AK16" i="38"/>
  <c r="AC16" i="38"/>
  <c r="AD16" i="38"/>
  <c r="AL16" i="38"/>
  <c r="AN16" i="38"/>
  <c r="AF16" i="38"/>
  <c r="AH16" i="38"/>
  <c r="AP16" i="38"/>
  <c r="AM16" i="38"/>
  <c r="AE16" i="38"/>
  <c r="AI16" i="38"/>
  <c r="AQ16" i="38"/>
  <c r="AO17" i="38" l="1"/>
  <c r="AG17" i="38"/>
  <c r="AD17" i="38"/>
  <c r="AL17" i="38"/>
  <c r="AK17" i="38"/>
  <c r="AC17" i="38"/>
  <c r="AE17" i="38"/>
  <c r="AM17" i="38"/>
  <c r="AH17" i="38"/>
  <c r="AP17" i="38"/>
  <c r="AN17" i="38"/>
  <c r="AF17" i="38"/>
  <c r="AI17" i="38"/>
  <c r="AQ17" i="38"/>
  <c r="N19" i="38"/>
  <c r="S18" i="38"/>
  <c r="Z18" i="38" s="1"/>
  <c r="R18" i="38"/>
  <c r="Y18" i="38" s="1"/>
  <c r="U18" i="38"/>
  <c r="AB18" i="38" s="1"/>
  <c r="Q18" i="38"/>
  <c r="X18" i="38" s="1"/>
  <c r="P18" i="38"/>
  <c r="W18" i="38" s="1"/>
  <c r="O18" i="38"/>
  <c r="V18" i="38" s="1"/>
  <c r="T18" i="38"/>
  <c r="AA18" i="38" s="1"/>
  <c r="N20" i="38" l="1"/>
  <c r="T19" i="38"/>
  <c r="AA19" i="38" s="1"/>
  <c r="U19" i="38"/>
  <c r="AB19" i="38" s="1"/>
  <c r="S19" i="38"/>
  <c r="Z19" i="38" s="1"/>
  <c r="Q19" i="38"/>
  <c r="X19" i="38" s="1"/>
  <c r="R19" i="38"/>
  <c r="Y19" i="38" s="1"/>
  <c r="O19" i="38"/>
  <c r="V19" i="38" s="1"/>
  <c r="P19" i="38"/>
  <c r="W19" i="38" s="1"/>
  <c r="AO18" i="38"/>
  <c r="AG18" i="38"/>
  <c r="AP18" i="38"/>
  <c r="AH18" i="38"/>
  <c r="AD18" i="38"/>
  <c r="AL18" i="38"/>
  <c r="AC18" i="38"/>
  <c r="AK18" i="38"/>
  <c r="AI18" i="38"/>
  <c r="AQ18" i="38"/>
  <c r="AE18" i="38"/>
  <c r="AM18" i="38"/>
  <c r="AN18" i="38"/>
  <c r="AF18" i="38"/>
  <c r="AC19" i="38" l="1"/>
  <c r="AK19" i="38"/>
  <c r="AN19" i="38"/>
  <c r="AF19" i="38"/>
  <c r="AE19" i="38"/>
  <c r="AM19" i="38"/>
  <c r="AD19" i="38"/>
  <c r="AL19" i="38"/>
  <c r="AO19" i="38"/>
  <c r="AG19" i="38"/>
  <c r="AI19" i="38"/>
  <c r="AQ19" i="38"/>
  <c r="AP19" i="38"/>
  <c r="AH19" i="38"/>
  <c r="N21" i="38"/>
  <c r="T20" i="38"/>
  <c r="AA20" i="38" s="1"/>
  <c r="S20" i="38"/>
  <c r="Z20" i="38" s="1"/>
  <c r="R20" i="38"/>
  <c r="Y20" i="38" s="1"/>
  <c r="U20" i="38"/>
  <c r="AB20" i="38" s="1"/>
  <c r="Q20" i="38"/>
  <c r="X20" i="38" s="1"/>
  <c r="O20" i="38"/>
  <c r="V20" i="38" s="1"/>
  <c r="P20" i="38"/>
  <c r="W20" i="38" s="1"/>
  <c r="AD20" i="38" l="1"/>
  <c r="AL20" i="38"/>
  <c r="N22" i="38"/>
  <c r="T21" i="38"/>
  <c r="AA21" i="38" s="1"/>
  <c r="S21" i="38"/>
  <c r="Z21" i="38" s="1"/>
  <c r="R21" i="38"/>
  <c r="Y21" i="38" s="1"/>
  <c r="Q21" i="38"/>
  <c r="X21" i="38" s="1"/>
  <c r="P21" i="38"/>
  <c r="W21" i="38" s="1"/>
  <c r="O21" i="38"/>
  <c r="V21" i="38" s="1"/>
  <c r="U21" i="38"/>
  <c r="AB21" i="38" s="1"/>
  <c r="AE20" i="38"/>
  <c r="AM20" i="38"/>
  <c r="AI20" i="38"/>
  <c r="AQ20" i="38"/>
  <c r="AF20" i="38"/>
  <c r="AN20" i="38"/>
  <c r="AP20" i="38"/>
  <c r="AH20" i="38"/>
  <c r="AK20" i="38"/>
  <c r="AC20" i="38"/>
  <c r="AO20" i="38"/>
  <c r="AG20" i="38"/>
  <c r="AQ21" i="38" l="1"/>
  <c r="AI21" i="38"/>
  <c r="AF21" i="38"/>
  <c r="AN21" i="38"/>
  <c r="AO21" i="38"/>
  <c r="AG21" i="38"/>
  <c r="AP21" i="38"/>
  <c r="AH21" i="38"/>
  <c r="AE21" i="38"/>
  <c r="AM21" i="38"/>
  <c r="AK21" i="38"/>
  <c r="AC21" i="38"/>
  <c r="AD21" i="38"/>
  <c r="AL21" i="38"/>
  <c r="N23" i="38"/>
  <c r="U22" i="38"/>
  <c r="AB22" i="38" s="1"/>
  <c r="S22" i="38"/>
  <c r="Z22" i="38" s="1"/>
  <c r="R22" i="38"/>
  <c r="Y22" i="38" s="1"/>
  <c r="O22" i="38"/>
  <c r="V22" i="38" s="1"/>
  <c r="Q22" i="38"/>
  <c r="X22" i="38" s="1"/>
  <c r="P22" i="38"/>
  <c r="W22" i="38" s="1"/>
  <c r="T22" i="38"/>
  <c r="AA22" i="38" s="1"/>
  <c r="AQ22" i="38" l="1"/>
  <c r="AI22" i="38"/>
  <c r="N24" i="38"/>
  <c r="U23" i="38"/>
  <c r="AB23" i="38" s="1"/>
  <c r="T23" i="38"/>
  <c r="AA23" i="38" s="1"/>
  <c r="S23" i="38"/>
  <c r="Z23" i="38" s="1"/>
  <c r="R23" i="38"/>
  <c r="Y23" i="38" s="1"/>
  <c r="P23" i="38"/>
  <c r="W23" i="38" s="1"/>
  <c r="Q23" i="38"/>
  <c r="X23" i="38" s="1"/>
  <c r="O23" i="38"/>
  <c r="V23" i="38" s="1"/>
  <c r="AL22" i="38"/>
  <c r="AD22" i="38"/>
  <c r="AP22" i="38"/>
  <c r="AH22" i="38"/>
  <c r="AK22" i="38"/>
  <c r="AC22" i="38"/>
  <c r="AE22" i="38"/>
  <c r="AM22" i="38"/>
  <c r="AF22" i="38"/>
  <c r="AN22" i="38"/>
  <c r="AO22" i="38"/>
  <c r="AG22" i="38"/>
  <c r="AK23" i="38" l="1"/>
  <c r="AC23" i="38"/>
  <c r="AG23" i="38"/>
  <c r="AO23" i="38"/>
  <c r="AE23" i="38"/>
  <c r="AM23" i="38"/>
  <c r="AL23" i="38"/>
  <c r="AD23" i="38"/>
  <c r="AP23" i="38"/>
  <c r="AH23" i="38"/>
  <c r="AF23" i="38"/>
  <c r="AN23" i="38"/>
  <c r="AQ23" i="38"/>
  <c r="AI23" i="38"/>
  <c r="N25" i="38"/>
  <c r="U24" i="38"/>
  <c r="AB24" i="38" s="1"/>
  <c r="T24" i="38"/>
  <c r="AA24" i="38" s="1"/>
  <c r="S24" i="38"/>
  <c r="Z24" i="38" s="1"/>
  <c r="R24" i="38"/>
  <c r="Y24" i="38" s="1"/>
  <c r="Q24" i="38"/>
  <c r="X24" i="38" s="1"/>
  <c r="P24" i="38"/>
  <c r="W24" i="38" s="1"/>
  <c r="O24" i="38"/>
  <c r="V24" i="38" s="1"/>
  <c r="AL24" i="38" l="1"/>
  <c r="AD24" i="38"/>
  <c r="AK24" i="38"/>
  <c r="AC24" i="38"/>
  <c r="AF24" i="38"/>
  <c r="AN24" i="38"/>
  <c r="AQ24" i="38"/>
  <c r="AI24" i="38"/>
  <c r="AG24" i="38"/>
  <c r="AO24" i="38"/>
  <c r="N26" i="38"/>
  <c r="P25" i="38"/>
  <c r="W25" i="38" s="1"/>
  <c r="T25" i="38"/>
  <c r="AA25" i="38" s="1"/>
  <c r="R25" i="38"/>
  <c r="Y25" i="38" s="1"/>
  <c r="S25" i="38"/>
  <c r="Z25" i="38" s="1"/>
  <c r="Q25" i="38"/>
  <c r="X25" i="38" s="1"/>
  <c r="U25" i="38"/>
  <c r="AB25" i="38" s="1"/>
  <c r="O25" i="38"/>
  <c r="V25" i="38" s="1"/>
  <c r="AE24" i="38"/>
  <c r="AM24" i="38"/>
  <c r="AP24" i="38"/>
  <c r="AH24" i="38"/>
  <c r="AG25" i="38" l="1"/>
  <c r="AO25" i="38"/>
  <c r="AL25" i="38"/>
  <c r="AD25" i="38"/>
  <c r="AF25" i="38"/>
  <c r="AN25" i="38"/>
  <c r="AE25" i="38"/>
  <c r="AM25" i="38"/>
  <c r="AP25" i="38"/>
  <c r="AH25" i="38"/>
  <c r="N27" i="38"/>
  <c r="Q26" i="38"/>
  <c r="X26" i="38" s="1"/>
  <c r="U26" i="38"/>
  <c r="AB26" i="38" s="1"/>
  <c r="T26" i="38"/>
  <c r="AA26" i="38" s="1"/>
  <c r="S26" i="38"/>
  <c r="Z26" i="38" s="1"/>
  <c r="R26" i="38"/>
  <c r="Y26" i="38" s="1"/>
  <c r="P26" i="38"/>
  <c r="W26" i="38" s="1"/>
  <c r="O26" i="38"/>
  <c r="V26" i="38" s="1"/>
  <c r="AK25" i="38"/>
  <c r="AC25" i="38"/>
  <c r="AQ25" i="38"/>
  <c r="AI25" i="38"/>
  <c r="AF26" i="38" l="1"/>
  <c r="AN26" i="38"/>
  <c r="AH26" i="38"/>
  <c r="AP26" i="38"/>
  <c r="N28" i="38"/>
  <c r="P27" i="38"/>
  <c r="W27" i="38" s="1"/>
  <c r="U27" i="38"/>
  <c r="AB27" i="38" s="1"/>
  <c r="Q27" i="38"/>
  <c r="X27" i="38" s="1"/>
  <c r="O27" i="38"/>
  <c r="V27" i="38" s="1"/>
  <c r="S27" i="38"/>
  <c r="Z27" i="38" s="1"/>
  <c r="R27" i="38"/>
  <c r="Y27" i="38" s="1"/>
  <c r="T27" i="38"/>
  <c r="AA27" i="38" s="1"/>
  <c r="AQ26" i="38"/>
  <c r="AI26" i="38"/>
  <c r="AM26" i="38"/>
  <c r="AE26" i="38"/>
  <c r="AC26" i="38"/>
  <c r="AK26" i="38"/>
  <c r="AG26" i="38"/>
  <c r="AO26" i="38"/>
  <c r="AL26" i="38"/>
  <c r="AD26" i="38"/>
  <c r="AF27" i="38" l="1"/>
  <c r="AN27" i="38"/>
  <c r="AQ27" i="38"/>
  <c r="AI27" i="38"/>
  <c r="N29" i="38"/>
  <c r="Q28" i="38"/>
  <c r="X28" i="38" s="1"/>
  <c r="U28" i="38"/>
  <c r="AB28" i="38" s="1"/>
  <c r="S28" i="38"/>
  <c r="Z28" i="38" s="1"/>
  <c r="O28" i="38"/>
  <c r="V28" i="38" s="1"/>
  <c r="R28" i="38"/>
  <c r="Y28" i="38" s="1"/>
  <c r="T28" i="38"/>
  <c r="AA28" i="38" s="1"/>
  <c r="P28" i="38"/>
  <c r="W28" i="38" s="1"/>
  <c r="AC27" i="38"/>
  <c r="AK27" i="38"/>
  <c r="AG27" i="38"/>
  <c r="AO27" i="38"/>
  <c r="AM27" i="38"/>
  <c r="AE27" i="38"/>
  <c r="AH27" i="38"/>
  <c r="AP27" i="38"/>
  <c r="AL27" i="38"/>
  <c r="AD27" i="38"/>
  <c r="AL28" i="38" l="1"/>
  <c r="AD28" i="38"/>
  <c r="AH28" i="38"/>
  <c r="AP28" i="38"/>
  <c r="AC28" i="38"/>
  <c r="AK28" i="38"/>
  <c r="AG28" i="38"/>
  <c r="AO28" i="38"/>
  <c r="AQ28" i="38"/>
  <c r="AI28" i="38"/>
  <c r="AN28" i="38"/>
  <c r="AF28" i="38"/>
  <c r="AM28" i="38"/>
  <c r="AE28" i="38"/>
  <c r="N30" i="38"/>
  <c r="R29" i="38"/>
  <c r="Y29" i="38" s="1"/>
  <c r="U29" i="38"/>
  <c r="AB29" i="38" s="1"/>
  <c r="O29" i="38"/>
  <c r="V29" i="38" s="1"/>
  <c r="Q29" i="38"/>
  <c r="X29" i="38" s="1"/>
  <c r="P29" i="38"/>
  <c r="W29" i="38" s="1"/>
  <c r="S29" i="38"/>
  <c r="Z29" i="38" s="1"/>
  <c r="T29" i="38"/>
  <c r="AA29" i="38" s="1"/>
  <c r="AN29" i="38" l="1"/>
  <c r="AF29" i="38"/>
  <c r="AL29" i="38"/>
  <c r="AD29" i="38"/>
  <c r="AH29" i="38"/>
  <c r="AP29" i="38"/>
  <c r="AM29" i="38"/>
  <c r="AE29" i="38"/>
  <c r="AC29" i="38"/>
  <c r="AK29" i="38"/>
  <c r="N31" i="38"/>
  <c r="Q30" i="38"/>
  <c r="X30" i="38" s="1"/>
  <c r="P30" i="38"/>
  <c r="W30" i="38" s="1"/>
  <c r="O30" i="38"/>
  <c r="V30" i="38" s="1"/>
  <c r="U30" i="38"/>
  <c r="AB30" i="38" s="1"/>
  <c r="S30" i="38"/>
  <c r="Z30" i="38" s="1"/>
  <c r="R30" i="38"/>
  <c r="Y30" i="38" s="1"/>
  <c r="T30" i="38"/>
  <c r="AA30" i="38" s="1"/>
  <c r="AG29" i="38"/>
  <c r="AO29" i="38"/>
  <c r="AI29" i="38"/>
  <c r="AQ29" i="38"/>
  <c r="AI30" i="38" l="1"/>
  <c r="AQ30" i="38"/>
  <c r="AG30" i="38"/>
  <c r="AO30" i="38"/>
  <c r="AM30" i="38"/>
  <c r="AE30" i="38"/>
  <c r="AD30" i="38"/>
  <c r="AL30" i="38"/>
  <c r="N32" i="38"/>
  <c r="R31" i="38"/>
  <c r="Y31" i="38" s="1"/>
  <c r="Q31" i="38"/>
  <c r="X31" i="38" s="1"/>
  <c r="T31" i="38"/>
  <c r="AA31" i="38" s="1"/>
  <c r="U31" i="38"/>
  <c r="AB31" i="38" s="1"/>
  <c r="P31" i="38"/>
  <c r="W31" i="38" s="1"/>
  <c r="O31" i="38"/>
  <c r="V31" i="38" s="1"/>
  <c r="S31" i="38"/>
  <c r="Z31" i="38" s="1"/>
  <c r="AC30" i="38"/>
  <c r="AK30" i="38"/>
  <c r="AH30" i="38"/>
  <c r="AP30" i="38"/>
  <c r="AN30" i="38"/>
  <c r="AF30" i="38"/>
  <c r="AG31" i="38" l="1"/>
  <c r="AO31" i="38"/>
  <c r="AC31" i="38"/>
  <c r="AK31" i="38"/>
  <c r="AH31" i="38"/>
  <c r="AP31" i="38"/>
  <c r="AD31" i="38"/>
  <c r="AL31" i="38"/>
  <c r="N33" i="38"/>
  <c r="S32" i="38"/>
  <c r="Z32" i="38" s="1"/>
  <c r="U32" i="38"/>
  <c r="AB32" i="38" s="1"/>
  <c r="P32" i="38"/>
  <c r="W32" i="38" s="1"/>
  <c r="T32" i="38"/>
  <c r="AA32" i="38" s="1"/>
  <c r="R32" i="38"/>
  <c r="Y32" i="38" s="1"/>
  <c r="O32" i="38"/>
  <c r="V32" i="38" s="1"/>
  <c r="Q32" i="38"/>
  <c r="X32" i="38" s="1"/>
  <c r="AM31" i="38"/>
  <c r="AE31" i="38"/>
  <c r="AI31" i="38"/>
  <c r="AQ31" i="38"/>
  <c r="AN31" i="38"/>
  <c r="AF31" i="38"/>
  <c r="AM32" i="38" l="1"/>
  <c r="AE32" i="38"/>
  <c r="AK32" i="38"/>
  <c r="AC32" i="38"/>
  <c r="AO32" i="38"/>
  <c r="AG32" i="38"/>
  <c r="AN32" i="38"/>
  <c r="AF32" i="38"/>
  <c r="N34" i="38"/>
  <c r="R33" i="38"/>
  <c r="Y33" i="38" s="1"/>
  <c r="Q33" i="38"/>
  <c r="X33" i="38" s="1"/>
  <c r="U33" i="38"/>
  <c r="AB33" i="38" s="1"/>
  <c r="P33" i="38"/>
  <c r="W33" i="38" s="1"/>
  <c r="O33" i="38"/>
  <c r="V33" i="38" s="1"/>
  <c r="T33" i="38"/>
  <c r="AA33" i="38" s="1"/>
  <c r="S33" i="38"/>
  <c r="Z33" i="38" s="1"/>
  <c r="AH32" i="38"/>
  <c r="AP32" i="38"/>
  <c r="AI32" i="38"/>
  <c r="AQ32" i="38"/>
  <c r="AD32" i="38"/>
  <c r="AL32" i="38"/>
  <c r="AO33" i="38" l="1"/>
  <c r="AG33" i="38"/>
  <c r="AH33" i="38"/>
  <c r="AP33" i="38"/>
  <c r="AI33" i="38"/>
  <c r="AQ33" i="38"/>
  <c r="AN33" i="38"/>
  <c r="AF33" i="38"/>
  <c r="AD33" i="38"/>
  <c r="AL33" i="38"/>
  <c r="AK33" i="38"/>
  <c r="AC33" i="38"/>
  <c r="N35" i="38"/>
  <c r="S34" i="38"/>
  <c r="Z34" i="38" s="1"/>
  <c r="R34" i="38"/>
  <c r="Y34" i="38" s="1"/>
  <c r="U34" i="38"/>
  <c r="AB34" i="38" s="1"/>
  <c r="P34" i="38"/>
  <c r="W34" i="38" s="1"/>
  <c r="Q34" i="38"/>
  <c r="X34" i="38" s="1"/>
  <c r="O34" i="38"/>
  <c r="V34" i="38" s="1"/>
  <c r="T34" i="38"/>
  <c r="AA34" i="38" s="1"/>
  <c r="AE33" i="38"/>
  <c r="AM33" i="38"/>
  <c r="AN34" i="38" l="1"/>
  <c r="AF34" i="38"/>
  <c r="AO34" i="38"/>
  <c r="AG34" i="38"/>
  <c r="N36" i="38"/>
  <c r="T35" i="38"/>
  <c r="AA35" i="38" s="1"/>
  <c r="U35" i="38"/>
  <c r="AB35" i="38" s="1"/>
  <c r="P35" i="38"/>
  <c r="W35" i="38" s="1"/>
  <c r="R35" i="38"/>
  <c r="Y35" i="38" s="1"/>
  <c r="O35" i="38"/>
  <c r="V35" i="38" s="1"/>
  <c r="S35" i="38"/>
  <c r="Z35" i="38" s="1"/>
  <c r="Q35" i="38"/>
  <c r="X35" i="38" s="1"/>
  <c r="AC34" i="38"/>
  <c r="AK34" i="38"/>
  <c r="AE34" i="38"/>
  <c r="AM34" i="38"/>
  <c r="AI34" i="38"/>
  <c r="AQ34" i="38"/>
  <c r="AH34" i="38"/>
  <c r="AP34" i="38"/>
  <c r="AD34" i="38"/>
  <c r="AL34" i="38"/>
  <c r="AE35" i="38" l="1"/>
  <c r="AM35" i="38"/>
  <c r="AC35" i="38"/>
  <c r="AK35" i="38"/>
  <c r="AP35" i="38"/>
  <c r="AH35" i="38"/>
  <c r="AD35" i="38"/>
  <c r="AL35" i="38"/>
  <c r="N37" i="38"/>
  <c r="T36" i="38"/>
  <c r="AA36" i="38" s="1"/>
  <c r="S36" i="38"/>
  <c r="Z36" i="38" s="1"/>
  <c r="R36" i="38"/>
  <c r="Y36" i="38" s="1"/>
  <c r="U36" i="38"/>
  <c r="AB36" i="38" s="1"/>
  <c r="O36" i="38"/>
  <c r="V36" i="38" s="1"/>
  <c r="P36" i="38"/>
  <c r="W36" i="38" s="1"/>
  <c r="Q36" i="38"/>
  <c r="X36" i="38" s="1"/>
  <c r="AI35" i="38"/>
  <c r="AQ35" i="38"/>
  <c r="AN35" i="38"/>
  <c r="AF35" i="38"/>
  <c r="AO35" i="38"/>
  <c r="AG35" i="38"/>
  <c r="AE36" i="38" l="1"/>
  <c r="AM36" i="38"/>
  <c r="AD36" i="38"/>
  <c r="AL36" i="38"/>
  <c r="AF36" i="38"/>
  <c r="AN36" i="38"/>
  <c r="AO36" i="38"/>
  <c r="AG36" i="38"/>
  <c r="N38" i="38"/>
  <c r="T37" i="38"/>
  <c r="AA37" i="38" s="1"/>
  <c r="S37" i="38"/>
  <c r="Z37" i="38" s="1"/>
  <c r="O37" i="38"/>
  <c r="V37" i="38" s="1"/>
  <c r="Q37" i="38"/>
  <c r="X37" i="38" s="1"/>
  <c r="U37" i="38"/>
  <c r="AB37" i="38" s="1"/>
  <c r="P37" i="38"/>
  <c r="W37" i="38" s="1"/>
  <c r="R37" i="38"/>
  <c r="Y37" i="38" s="1"/>
  <c r="AK36" i="38"/>
  <c r="AC36" i="38"/>
  <c r="AI36" i="38"/>
  <c r="AQ36" i="38"/>
  <c r="AP36" i="38"/>
  <c r="AH36" i="38"/>
  <c r="AI37" i="38" l="1"/>
  <c r="AQ37" i="38"/>
  <c r="AF37" i="38"/>
  <c r="AN37" i="38"/>
  <c r="AO37" i="38"/>
  <c r="AG37" i="38"/>
  <c r="AK37" i="38"/>
  <c r="AC37" i="38"/>
  <c r="AE37" i="38"/>
  <c r="AM37" i="38"/>
  <c r="AD37" i="38"/>
  <c r="AL37" i="38"/>
  <c r="AP37" i="38"/>
  <c r="AH37" i="38"/>
  <c r="N39" i="38"/>
  <c r="U38" i="38"/>
  <c r="AB38" i="38" s="1"/>
  <c r="P38" i="38"/>
  <c r="W38" i="38" s="1"/>
  <c r="O38" i="38"/>
  <c r="V38" i="38" s="1"/>
  <c r="R38" i="38"/>
  <c r="Y38" i="38" s="1"/>
  <c r="S38" i="38"/>
  <c r="Z38" i="38" s="1"/>
  <c r="Q38" i="38"/>
  <c r="X38" i="38" s="1"/>
  <c r="T38" i="38"/>
  <c r="AA38" i="38" s="1"/>
  <c r="AQ38" i="38" l="1"/>
  <c r="AI38" i="38"/>
  <c r="AP38" i="38"/>
  <c r="AH38" i="38"/>
  <c r="N40" i="38"/>
  <c r="U39" i="38"/>
  <c r="AB39" i="38" s="1"/>
  <c r="T39" i="38"/>
  <c r="AA39" i="38" s="1"/>
  <c r="S39" i="38"/>
  <c r="Z39" i="38" s="1"/>
  <c r="Q39" i="38"/>
  <c r="X39" i="38" s="1"/>
  <c r="P39" i="38"/>
  <c r="W39" i="38" s="1"/>
  <c r="O39" i="38"/>
  <c r="V39" i="38" s="1"/>
  <c r="R39" i="38"/>
  <c r="Y39" i="38" s="1"/>
  <c r="AE38" i="38"/>
  <c r="AM38" i="38"/>
  <c r="AF38" i="38"/>
  <c r="AN38" i="38"/>
  <c r="AK38" i="38"/>
  <c r="AC38" i="38"/>
  <c r="AO38" i="38"/>
  <c r="AG38" i="38"/>
  <c r="AD38" i="38"/>
  <c r="AL38" i="38"/>
  <c r="AF39" i="38" l="1"/>
  <c r="AN39" i="38"/>
  <c r="AK39" i="38"/>
  <c r="AC39" i="38"/>
  <c r="AE39" i="38"/>
  <c r="AM39" i="38"/>
  <c r="N41" i="38"/>
  <c r="U40" i="38"/>
  <c r="AB40" i="38" s="1"/>
  <c r="T40" i="38"/>
  <c r="AA40" i="38" s="1"/>
  <c r="Q40" i="38"/>
  <c r="X40" i="38" s="1"/>
  <c r="O40" i="38"/>
  <c r="V40" i="38" s="1"/>
  <c r="P40" i="38"/>
  <c r="W40" i="38" s="1"/>
  <c r="S40" i="38"/>
  <c r="Z40" i="38" s="1"/>
  <c r="R40" i="38"/>
  <c r="Y40" i="38" s="1"/>
  <c r="AG39" i="38"/>
  <c r="AO39" i="38"/>
  <c r="AL39" i="38"/>
  <c r="AD39" i="38"/>
  <c r="AQ39" i="38"/>
  <c r="AI39" i="38"/>
  <c r="AP39" i="38"/>
  <c r="AH39" i="38"/>
  <c r="AG40" i="38" l="1"/>
  <c r="AO40" i="38"/>
  <c r="AF40" i="38"/>
  <c r="AN40" i="38"/>
  <c r="AE40" i="38"/>
  <c r="AM40" i="38"/>
  <c r="AP40" i="38"/>
  <c r="AH40" i="38"/>
  <c r="AK40" i="38"/>
  <c r="AC40" i="38"/>
  <c r="N42" i="38"/>
  <c r="T41" i="38"/>
  <c r="AA41" i="38" s="1"/>
  <c r="Q41" i="38"/>
  <c r="X41" i="38" s="1"/>
  <c r="P41" i="38"/>
  <c r="W41" i="38" s="1"/>
  <c r="U41" i="38"/>
  <c r="AB41" i="38" s="1"/>
  <c r="R41" i="38"/>
  <c r="Y41" i="38" s="1"/>
  <c r="S41" i="38"/>
  <c r="Z41" i="38" s="1"/>
  <c r="O41" i="38"/>
  <c r="V41" i="38" s="1"/>
  <c r="AL40" i="38"/>
  <c r="AD40" i="38"/>
  <c r="AQ40" i="38"/>
  <c r="AI40" i="38"/>
  <c r="AQ41" i="38" l="1"/>
  <c r="AI41" i="38"/>
  <c r="AP41" i="38"/>
  <c r="AH41" i="38"/>
  <c r="N43" i="38"/>
  <c r="U42" i="38"/>
  <c r="AB42" i="38" s="1"/>
  <c r="T42" i="38"/>
  <c r="AA42" i="38" s="1"/>
  <c r="O42" i="38"/>
  <c r="V42" i="38" s="1"/>
  <c r="Q42" i="38"/>
  <c r="X42" i="38" s="1"/>
  <c r="P42" i="38"/>
  <c r="W42" i="38" s="1"/>
  <c r="S42" i="38"/>
  <c r="Z42" i="38" s="1"/>
  <c r="R42" i="38"/>
  <c r="Y42" i="38" s="1"/>
  <c r="AL41" i="38"/>
  <c r="AD41" i="38"/>
  <c r="AF41" i="38"/>
  <c r="AN41" i="38"/>
  <c r="AK41" i="38"/>
  <c r="AC41" i="38"/>
  <c r="AM41" i="38"/>
  <c r="AE41" i="38"/>
  <c r="AG41" i="38"/>
  <c r="AO41" i="38"/>
  <c r="AF42" i="38" l="1"/>
  <c r="AN42" i="38"/>
  <c r="AG42" i="38"/>
  <c r="AO42" i="38"/>
  <c r="AC42" i="38"/>
  <c r="AK42" i="38"/>
  <c r="AL42" i="38"/>
  <c r="AD42" i="38"/>
  <c r="AM42" i="38"/>
  <c r="AE42" i="38"/>
  <c r="AQ42" i="38"/>
  <c r="AI42" i="38"/>
  <c r="AH42" i="38"/>
  <c r="AP42" i="38"/>
  <c r="N44" i="38"/>
  <c r="U43" i="38"/>
  <c r="AB43" i="38" s="1"/>
  <c r="R43" i="38"/>
  <c r="Y43" i="38" s="1"/>
  <c r="P43" i="38"/>
  <c r="W43" i="38" s="1"/>
  <c r="Q43" i="38"/>
  <c r="X43" i="38" s="1"/>
  <c r="T43" i="38"/>
  <c r="AA43" i="38" s="1"/>
  <c r="S43" i="38"/>
  <c r="Z43" i="38" s="1"/>
  <c r="O43" i="38"/>
  <c r="V43" i="38" s="1"/>
  <c r="N45" i="38" l="1"/>
  <c r="Q44" i="38"/>
  <c r="X44" i="38" s="1"/>
  <c r="U44" i="38"/>
  <c r="AB44" i="38" s="1"/>
  <c r="S44" i="38"/>
  <c r="Z44" i="38" s="1"/>
  <c r="O44" i="38"/>
  <c r="V44" i="38" s="1"/>
  <c r="R44" i="38"/>
  <c r="Y44" i="38" s="1"/>
  <c r="T44" i="38"/>
  <c r="AA44" i="38" s="1"/>
  <c r="P44" i="38"/>
  <c r="W44" i="38" s="1"/>
  <c r="AC43" i="38"/>
  <c r="AK43" i="38"/>
  <c r="AG43" i="38"/>
  <c r="AO43" i="38"/>
  <c r="AM43" i="38"/>
  <c r="AE43" i="38"/>
  <c r="AQ43" i="38"/>
  <c r="AI43" i="38"/>
  <c r="AL43" i="38"/>
  <c r="AD43" i="38"/>
  <c r="AH43" i="38"/>
  <c r="AP43" i="38"/>
  <c r="AF43" i="38"/>
  <c r="AN43" i="38"/>
  <c r="AL44" i="38" l="1"/>
  <c r="AD44" i="38"/>
  <c r="AH44" i="38"/>
  <c r="AP44" i="38"/>
  <c r="AF44" i="38"/>
  <c r="AN44" i="38"/>
  <c r="AC44" i="38"/>
  <c r="AK44" i="38"/>
  <c r="AG44" i="38"/>
  <c r="AO44" i="38"/>
  <c r="AQ44" i="38"/>
  <c r="AI44" i="38"/>
  <c r="AM44" i="38"/>
  <c r="AE44" i="38"/>
  <c r="N46" i="38"/>
  <c r="R45" i="38"/>
  <c r="Y45" i="38" s="1"/>
  <c r="U45" i="38"/>
  <c r="AB45" i="38" s="1"/>
  <c r="T45" i="38"/>
  <c r="AA45" i="38" s="1"/>
  <c r="S45" i="38"/>
  <c r="Z45" i="38" s="1"/>
  <c r="O45" i="38"/>
  <c r="V45" i="38" s="1"/>
  <c r="P45" i="38"/>
  <c r="W45" i="38" s="1"/>
  <c r="Q45" i="38"/>
  <c r="X45" i="38" s="1"/>
  <c r="AN45" i="38" l="1"/>
  <c r="AF45" i="38"/>
  <c r="AM45" i="38"/>
  <c r="AE45" i="38"/>
  <c r="N47" i="38"/>
  <c r="Q46" i="38"/>
  <c r="X46" i="38" s="1"/>
  <c r="R46" i="38"/>
  <c r="Y46" i="38" s="1"/>
  <c r="T46" i="38"/>
  <c r="AA46" i="38" s="1"/>
  <c r="S46" i="38"/>
  <c r="Z46" i="38" s="1"/>
  <c r="O46" i="38"/>
  <c r="V46" i="38" s="1"/>
  <c r="U46" i="38"/>
  <c r="AB46" i="38" s="1"/>
  <c r="P46" i="38"/>
  <c r="W46" i="38" s="1"/>
  <c r="AL45" i="38"/>
  <c r="AD45" i="38"/>
  <c r="AG45" i="38"/>
  <c r="AO45" i="38"/>
  <c r="AH45" i="38"/>
  <c r="AP45" i="38"/>
  <c r="AC45" i="38"/>
  <c r="AK45" i="38"/>
  <c r="AI45" i="38"/>
  <c r="AQ45" i="38"/>
  <c r="AD46" i="38" l="1"/>
  <c r="AL46" i="38"/>
  <c r="AI46" i="38"/>
  <c r="AQ46" i="38"/>
  <c r="AH46" i="38"/>
  <c r="AP46" i="38"/>
  <c r="N48" i="38"/>
  <c r="R47" i="38"/>
  <c r="Y47" i="38" s="1"/>
  <c r="Q47" i="38"/>
  <c r="X47" i="38" s="1"/>
  <c r="T47" i="38"/>
  <c r="AA47" i="38" s="1"/>
  <c r="P47" i="38"/>
  <c r="W47" i="38" s="1"/>
  <c r="S47" i="38"/>
  <c r="Z47" i="38" s="1"/>
  <c r="O47" i="38"/>
  <c r="V47" i="38" s="1"/>
  <c r="U47" i="38"/>
  <c r="AB47" i="38" s="1"/>
  <c r="AC46" i="38"/>
  <c r="AK46" i="38"/>
  <c r="AM46" i="38"/>
  <c r="AE46" i="38"/>
  <c r="AG46" i="38"/>
  <c r="AO46" i="38"/>
  <c r="AN46" i="38"/>
  <c r="AF46" i="38"/>
  <c r="AI47" i="38" l="1"/>
  <c r="AQ47" i="38"/>
  <c r="AC47" i="38"/>
  <c r="AK47" i="38"/>
  <c r="AD47" i="38"/>
  <c r="AL47" i="38"/>
  <c r="AM47" i="38"/>
  <c r="AE47" i="38"/>
  <c r="AH47" i="38"/>
  <c r="AP47" i="38"/>
  <c r="N49" i="38"/>
  <c r="S48" i="38"/>
  <c r="Z48" i="38" s="1"/>
  <c r="P48" i="38"/>
  <c r="W48" i="38" s="1"/>
  <c r="T48" i="38"/>
  <c r="AA48" i="38" s="1"/>
  <c r="R48" i="38"/>
  <c r="Y48" i="38" s="1"/>
  <c r="O48" i="38"/>
  <c r="V48" i="38" s="1"/>
  <c r="Q48" i="38"/>
  <c r="X48" i="38" s="1"/>
  <c r="U48" i="38"/>
  <c r="AB48" i="38" s="1"/>
  <c r="AG47" i="38"/>
  <c r="AO47" i="38"/>
  <c r="AN47" i="38"/>
  <c r="AF47" i="38"/>
  <c r="AK48" i="38" l="1"/>
  <c r="AC48" i="38"/>
  <c r="AD48" i="38"/>
  <c r="AL48" i="38"/>
  <c r="AN48" i="38"/>
  <c r="AF48" i="38"/>
  <c r="AH48" i="38"/>
  <c r="AP48" i="38"/>
  <c r="AI48" i="38"/>
  <c r="AQ48" i="38"/>
  <c r="AO48" i="38"/>
  <c r="AG48" i="38"/>
  <c r="N50" i="38"/>
  <c r="R49" i="38"/>
  <c r="Y49" i="38" s="1"/>
  <c r="Q49" i="38"/>
  <c r="X49" i="38" s="1"/>
  <c r="P49" i="38"/>
  <c r="W49" i="38" s="1"/>
  <c r="T49" i="38"/>
  <c r="AA49" i="38" s="1"/>
  <c r="S49" i="38"/>
  <c r="Z49" i="38" s="1"/>
  <c r="O49" i="38"/>
  <c r="V49" i="38" s="1"/>
  <c r="U49" i="38"/>
  <c r="AB49" i="38" s="1"/>
  <c r="AM48" i="38"/>
  <c r="AE48" i="38"/>
  <c r="AD49" i="38" l="1"/>
  <c r="AL49" i="38"/>
  <c r="AN49" i="38"/>
  <c r="AF49" i="38"/>
  <c r="N51" i="38"/>
  <c r="S50" i="38"/>
  <c r="Z50" i="38" s="1"/>
  <c r="R50" i="38"/>
  <c r="Y50" i="38" s="1"/>
  <c r="U50" i="38"/>
  <c r="AB50" i="38" s="1"/>
  <c r="P50" i="38"/>
  <c r="W50" i="38" s="1"/>
  <c r="T50" i="38"/>
  <c r="AA50" i="38" s="1"/>
  <c r="O50" i="38"/>
  <c r="V50" i="38" s="1"/>
  <c r="Q50" i="38"/>
  <c r="X50" i="38" s="1"/>
  <c r="AK49" i="38"/>
  <c r="AC49" i="38"/>
  <c r="AE49" i="38"/>
  <c r="AM49" i="38"/>
  <c r="AO49" i="38"/>
  <c r="AG49" i="38"/>
  <c r="AI49" i="38"/>
  <c r="AQ49" i="38"/>
  <c r="AH49" i="38"/>
  <c r="AP49" i="38"/>
  <c r="AP50" i="38" l="1"/>
  <c r="AH50" i="38"/>
  <c r="AD50" i="38"/>
  <c r="AL50" i="38"/>
  <c r="AC50" i="38"/>
  <c r="AK50" i="38"/>
  <c r="AI50" i="38"/>
  <c r="AQ50" i="38"/>
  <c r="AN50" i="38"/>
  <c r="AF50" i="38"/>
  <c r="AE50" i="38"/>
  <c r="AM50" i="38"/>
  <c r="AO50" i="38"/>
  <c r="AG50" i="38"/>
  <c r="N52" i="38"/>
  <c r="T51" i="38"/>
  <c r="AA51" i="38" s="1"/>
  <c r="O51" i="38"/>
  <c r="V51" i="38" s="1"/>
  <c r="Q51" i="38"/>
  <c r="X51" i="38" s="1"/>
  <c r="S51" i="38"/>
  <c r="Z51" i="38" s="1"/>
  <c r="R51" i="38"/>
  <c r="Y51" i="38" s="1"/>
  <c r="P51" i="38"/>
  <c r="W51" i="38" s="1"/>
  <c r="U51" i="38"/>
  <c r="AB51" i="38" s="1"/>
  <c r="AP51" i="38" l="1"/>
  <c r="AH51" i="38"/>
  <c r="AI51" i="38"/>
  <c r="AQ51" i="38"/>
  <c r="N53" i="38"/>
  <c r="S52" i="38"/>
  <c r="Z52" i="38" s="1"/>
  <c r="R52" i="38"/>
  <c r="Y52" i="38" s="1"/>
  <c r="U52" i="38"/>
  <c r="AB52" i="38" s="1"/>
  <c r="P52" i="38"/>
  <c r="W52" i="38" s="1"/>
  <c r="T52" i="38"/>
  <c r="AA52" i="38" s="1"/>
  <c r="O52" i="38"/>
  <c r="V52" i="38" s="1"/>
  <c r="Q52" i="38"/>
  <c r="X52" i="38" s="1"/>
  <c r="AD51" i="38"/>
  <c r="AL51" i="38"/>
  <c r="AO51" i="38"/>
  <c r="AG51" i="38"/>
  <c r="AE51" i="38"/>
  <c r="AM51" i="38"/>
  <c r="AN51" i="38"/>
  <c r="AF51" i="38"/>
  <c r="AC51" i="38"/>
  <c r="AK51" i="38"/>
  <c r="AE52" i="38" l="1"/>
  <c r="AM52" i="38"/>
  <c r="AP52" i="38"/>
  <c r="AH52" i="38"/>
  <c r="AF52" i="38"/>
  <c r="AN52" i="38"/>
  <c r="AI52" i="38"/>
  <c r="AQ52" i="38"/>
  <c r="AO52" i="38"/>
  <c r="AG52" i="38"/>
  <c r="AK52" i="38"/>
  <c r="AC52" i="38"/>
  <c r="AD52" i="38"/>
  <c r="AL52" i="38"/>
  <c r="N54" i="38"/>
  <c r="T53" i="38"/>
  <c r="AA53" i="38" s="1"/>
  <c r="S53" i="38"/>
  <c r="Z53" i="38" s="1"/>
  <c r="U53" i="38"/>
  <c r="AB53" i="38" s="1"/>
  <c r="P53" i="38"/>
  <c r="W53" i="38" s="1"/>
  <c r="O53" i="38"/>
  <c r="V53" i="38" s="1"/>
  <c r="R53" i="38"/>
  <c r="Y53" i="38" s="1"/>
  <c r="Q53" i="38"/>
  <c r="X53" i="38" s="1"/>
  <c r="AE53" i="38" l="1"/>
  <c r="AM53" i="38"/>
  <c r="N55" i="38"/>
  <c r="U54" i="38"/>
  <c r="AB54" i="38" s="1"/>
  <c r="Q54" i="38"/>
  <c r="X54" i="38" s="1"/>
  <c r="P54" i="38"/>
  <c r="W54" i="38" s="1"/>
  <c r="T54" i="38"/>
  <c r="AA54" i="38" s="1"/>
  <c r="S54" i="38"/>
  <c r="Z54" i="38" s="1"/>
  <c r="R54" i="38"/>
  <c r="Y54" i="38" s="1"/>
  <c r="O54" i="38"/>
  <c r="V54" i="38" s="1"/>
  <c r="AK53" i="38"/>
  <c r="AC53" i="38"/>
  <c r="AP53" i="38"/>
  <c r="AH53" i="38"/>
  <c r="AD53" i="38"/>
  <c r="AL53" i="38"/>
  <c r="AI53" i="38"/>
  <c r="AQ53" i="38"/>
  <c r="AF53" i="38"/>
  <c r="AN53" i="38"/>
  <c r="AO53" i="38"/>
  <c r="AG53" i="38"/>
  <c r="AK54" i="38" l="1"/>
  <c r="AC54" i="38"/>
  <c r="AP54" i="38"/>
  <c r="AH54" i="38"/>
  <c r="AQ54" i="38"/>
  <c r="AI54" i="38"/>
  <c r="AF54" i="38"/>
  <c r="AN54" i="38"/>
  <c r="AE54" i="38"/>
  <c r="AM54" i="38"/>
  <c r="N56" i="38"/>
  <c r="U55" i="38"/>
  <c r="AB55" i="38" s="1"/>
  <c r="T55" i="38"/>
  <c r="AA55" i="38" s="1"/>
  <c r="S55" i="38"/>
  <c r="Z55" i="38" s="1"/>
  <c r="Q55" i="38"/>
  <c r="X55" i="38" s="1"/>
  <c r="P55" i="38"/>
  <c r="W55" i="38" s="1"/>
  <c r="R55" i="38"/>
  <c r="Y55" i="38" s="1"/>
  <c r="O55" i="38"/>
  <c r="V55" i="38" s="1"/>
  <c r="AO54" i="38"/>
  <c r="AG54" i="38"/>
  <c r="AD54" i="38"/>
  <c r="AL54" i="38"/>
  <c r="AL55" i="38" l="1"/>
  <c r="AD55" i="38"/>
  <c r="AP55" i="38"/>
  <c r="AH55" i="38"/>
  <c r="AQ55" i="38"/>
  <c r="AI55" i="38"/>
  <c r="AE55" i="38"/>
  <c r="AM55" i="38"/>
  <c r="AK55" i="38"/>
  <c r="AC55" i="38"/>
  <c r="AG55" i="38"/>
  <c r="AO55" i="38"/>
  <c r="U56" i="38"/>
  <c r="AB56" i="38" s="1"/>
  <c r="T56" i="38"/>
  <c r="AA56" i="38" s="1"/>
  <c r="S56" i="38"/>
  <c r="Z56" i="38" s="1"/>
  <c r="R56" i="38"/>
  <c r="Y56" i="38" s="1"/>
  <c r="P56" i="38"/>
  <c r="W56" i="38" s="1"/>
  <c r="O56" i="38"/>
  <c r="V56" i="38" s="1"/>
  <c r="Q56" i="38"/>
  <c r="X56" i="38" s="1"/>
  <c r="AF55" i="38"/>
  <c r="AN55" i="38"/>
  <c r="AG56" i="38" l="1"/>
  <c r="AO56" i="38"/>
  <c r="AF56" i="38"/>
  <c r="AN56" i="38"/>
  <c r="AQ56" i="38"/>
  <c r="AI56" i="38"/>
  <c r="AP56" i="38"/>
  <c r="AH56" i="38"/>
  <c r="AE56" i="38"/>
  <c r="AM56" i="38"/>
  <c r="AK56" i="38"/>
  <c r="AC56" i="38"/>
  <c r="AL56" i="38"/>
  <c r="AD5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C14" authorId="0" shapeId="0" xr:uid="{0B52B2B5-9890-41AF-BC8A-B097427218BA}">
      <text>
        <r>
          <rPr>
            <b/>
            <sz val="9"/>
            <color indexed="81"/>
            <rFont val="MS P ゴシック"/>
            <family val="3"/>
            <charset val="128"/>
          </rPr>
          <t>作成者:</t>
        </r>
        <r>
          <rPr>
            <sz val="9"/>
            <color indexed="81"/>
            <rFont val="MS P ゴシック"/>
            <family val="3"/>
            <charset val="128"/>
          </rPr>
          <t xml:space="preserve">
軸方向に垂直な面</t>
        </r>
      </text>
    </comment>
    <comment ref="C64" authorId="0" shapeId="0" xr:uid="{CA07B60D-38C6-4F85-9638-E83078C33441}">
      <text>
        <r>
          <rPr>
            <b/>
            <sz val="9"/>
            <color indexed="81"/>
            <rFont val="MS P ゴシック"/>
            <family val="3"/>
            <charset val="128"/>
          </rPr>
          <t>作成者:</t>
        </r>
        <r>
          <rPr>
            <sz val="9"/>
            <color indexed="81"/>
            <rFont val="MS P ゴシック"/>
            <family val="3"/>
            <charset val="128"/>
          </rPr>
          <t xml:space="preserve">
軸方向の荷重</t>
        </r>
      </text>
    </comment>
    <comment ref="C65" authorId="0" shapeId="0" xr:uid="{B42383B1-90CD-4CDF-80F0-F4558F6BE8FC}">
      <text>
        <r>
          <rPr>
            <b/>
            <sz val="9"/>
            <color indexed="81"/>
            <rFont val="MS P ゴシック"/>
            <family val="3"/>
            <charset val="128"/>
          </rPr>
          <t>作成者:</t>
        </r>
        <r>
          <rPr>
            <sz val="9"/>
            <color indexed="81"/>
            <rFont val="MS P ゴシック"/>
            <family val="3"/>
            <charset val="128"/>
          </rPr>
          <t xml:space="preserve">
締め代部に垂直な荷重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C14" authorId="0" shapeId="0" xr:uid="{FCF661D2-7A84-4746-A363-5F230A73C548}">
      <text>
        <r>
          <rPr>
            <b/>
            <sz val="9"/>
            <color indexed="81"/>
            <rFont val="MS P ゴシック"/>
            <family val="3"/>
            <charset val="128"/>
          </rPr>
          <t>作成者:</t>
        </r>
        <r>
          <rPr>
            <sz val="9"/>
            <color indexed="81"/>
            <rFont val="MS P ゴシック"/>
            <family val="3"/>
            <charset val="128"/>
          </rPr>
          <t xml:space="preserve">
軸方向に垂直な面</t>
        </r>
      </text>
    </comment>
    <comment ref="C64" authorId="0" shapeId="0" xr:uid="{60DFA4C0-B9BA-48E0-A71F-B6035826E92C}">
      <text>
        <r>
          <rPr>
            <b/>
            <sz val="9"/>
            <color indexed="81"/>
            <rFont val="MS P ゴシック"/>
            <family val="3"/>
            <charset val="128"/>
          </rPr>
          <t>作成者:</t>
        </r>
        <r>
          <rPr>
            <sz val="9"/>
            <color indexed="81"/>
            <rFont val="MS P ゴシック"/>
            <family val="3"/>
            <charset val="128"/>
          </rPr>
          <t xml:space="preserve">
軸方向の荷重</t>
        </r>
      </text>
    </comment>
    <comment ref="C65" authorId="0" shapeId="0" xr:uid="{4E49857B-AD7E-4099-BCB4-3998CC7B32C0}">
      <text>
        <r>
          <rPr>
            <b/>
            <sz val="9"/>
            <color indexed="81"/>
            <rFont val="MS P ゴシック"/>
            <family val="3"/>
            <charset val="128"/>
          </rPr>
          <t>作成者:</t>
        </r>
        <r>
          <rPr>
            <sz val="9"/>
            <color indexed="81"/>
            <rFont val="MS P ゴシック"/>
            <family val="3"/>
            <charset val="128"/>
          </rPr>
          <t xml:space="preserve">
締め代部に垂直な荷重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94434DE-A6B6-4D05-9C74-0D5272635B45}" keepAlive="1" name="クエリ - テーブル1" description="ブック内の 'テーブル1' クエリへの接続です。" type="5" refreshedVersion="6" background="1">
    <dbPr connection="Provider=Microsoft.Mashup.OleDb.1;Data Source=$Workbook$;Location=テーブル1;Extended Properties=&quot;&quot;" command="SELECT * FROM [テーブル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<sst xmlns="http://schemas.openxmlformats.org/spreadsheetml/2006/main" count="1335" uniqueCount="365">
  <si>
    <t>ポアソン比</t>
    <rPh sb="4" eb="5">
      <t>ヒ</t>
    </rPh>
    <phoneticPr fontId="1"/>
  </si>
  <si>
    <t>接触長</t>
    <rPh sb="0" eb="2">
      <t>セッショク</t>
    </rPh>
    <rPh sb="2" eb="3">
      <t>チョウ</t>
    </rPh>
    <phoneticPr fontId="1"/>
  </si>
  <si>
    <t>面圧</t>
    <rPh sb="0" eb="1">
      <t>メン</t>
    </rPh>
    <rPh sb="1" eb="2">
      <t>アツ</t>
    </rPh>
    <phoneticPr fontId="1"/>
  </si>
  <si>
    <t>摩擦係数</t>
    <rPh sb="0" eb="2">
      <t>マサツ</t>
    </rPh>
    <rPh sb="2" eb="4">
      <t>ケイスウ</t>
    </rPh>
    <phoneticPr fontId="1"/>
  </si>
  <si>
    <t>μ</t>
    <phoneticPr fontId="1"/>
  </si>
  <si>
    <t>弾性係数</t>
    <rPh sb="0" eb="4">
      <t>ダンセイケイスウ</t>
    </rPh>
    <phoneticPr fontId="1"/>
  </si>
  <si>
    <t>はめあい面径</t>
    <rPh sb="4" eb="5">
      <t>メン</t>
    </rPh>
    <rPh sb="5" eb="6">
      <t>ケイ</t>
    </rPh>
    <phoneticPr fontId="1"/>
  </si>
  <si>
    <t>線膨張係数</t>
    <rPh sb="0" eb="5">
      <t>センボウチョウケイスウ</t>
    </rPh>
    <phoneticPr fontId="1"/>
  </si>
  <si>
    <t>非はめあい径</t>
    <rPh sb="0" eb="1">
      <t>ヒ</t>
    </rPh>
    <rPh sb="5" eb="6">
      <t>ケイ</t>
    </rPh>
    <phoneticPr fontId="1"/>
  </si>
  <si>
    <t>圧入力</t>
    <rPh sb="0" eb="1">
      <t>アツ</t>
    </rPh>
    <rPh sb="1" eb="3">
      <t>ニュウリョク</t>
    </rPh>
    <phoneticPr fontId="1"/>
  </si>
  <si>
    <t>はめあい面積</t>
    <rPh sb="4" eb="6">
      <t>メンセキ</t>
    </rPh>
    <phoneticPr fontId="1"/>
  </si>
  <si>
    <t>減少しめしろ</t>
    <rPh sb="0" eb="2">
      <t>ゲンショウ</t>
    </rPh>
    <phoneticPr fontId="1"/>
  </si>
  <si>
    <t>圧入温度</t>
    <rPh sb="0" eb="2">
      <t>アツニュウ</t>
    </rPh>
    <rPh sb="2" eb="4">
      <t>オンド</t>
    </rPh>
    <phoneticPr fontId="1"/>
  </si>
  <si>
    <t>しめしろ(両側）</t>
    <rPh sb="5" eb="7">
      <t>リョウガワ</t>
    </rPh>
    <phoneticPr fontId="1"/>
  </si>
  <si>
    <t>計算用</t>
    <rPh sb="0" eb="3">
      <t>ケイサンヨウ</t>
    </rPh>
    <phoneticPr fontId="1"/>
  </si>
  <si>
    <t>有効しめしろ</t>
    <rPh sb="0" eb="2">
      <t>ユウコウ</t>
    </rPh>
    <phoneticPr fontId="1"/>
  </si>
  <si>
    <t>減少すきま</t>
    <rPh sb="0" eb="2">
      <t>ゲンショウ</t>
    </rPh>
    <phoneticPr fontId="1"/>
  </si>
  <si>
    <t>内径　</t>
    <rPh sb="0" eb="2">
      <t>ナイケイ</t>
    </rPh>
    <phoneticPr fontId="1"/>
  </si>
  <si>
    <t>ヤング率</t>
    <rPh sb="3" eb="4">
      <t>リツ</t>
    </rPh>
    <phoneticPr fontId="1"/>
  </si>
  <si>
    <t>内径変位</t>
    <rPh sb="0" eb="2">
      <t>ナイケイ</t>
    </rPh>
    <rPh sb="2" eb="4">
      <t>ヘンイ</t>
    </rPh>
    <phoneticPr fontId="1"/>
  </si>
  <si>
    <t>面圧　</t>
    <rPh sb="0" eb="1">
      <t>メン</t>
    </rPh>
    <rPh sb="1" eb="2">
      <t>アツ</t>
    </rPh>
    <phoneticPr fontId="1"/>
  </si>
  <si>
    <t>内径変位D=100</t>
    <rPh sb="0" eb="2">
      <t>ナイケイ</t>
    </rPh>
    <rPh sb="2" eb="4">
      <t>ヘンイ</t>
    </rPh>
    <phoneticPr fontId="1"/>
  </si>
  <si>
    <t>内径変位D=110</t>
    <rPh sb="0" eb="2">
      <t>ナイケイ</t>
    </rPh>
    <rPh sb="2" eb="4">
      <t>ヘンイ</t>
    </rPh>
    <phoneticPr fontId="1"/>
  </si>
  <si>
    <t>内径変位D=120</t>
    <rPh sb="0" eb="2">
      <t>ナイケイ</t>
    </rPh>
    <rPh sb="2" eb="4">
      <t>ヘンイ</t>
    </rPh>
    <phoneticPr fontId="1"/>
  </si>
  <si>
    <t>内径変位D=130</t>
    <rPh sb="0" eb="2">
      <t>ナイケイ</t>
    </rPh>
    <rPh sb="2" eb="4">
      <t>ヘンイ</t>
    </rPh>
    <phoneticPr fontId="1"/>
  </si>
  <si>
    <t>内径変位D=140</t>
    <rPh sb="0" eb="2">
      <t>ナイケイ</t>
    </rPh>
    <rPh sb="2" eb="4">
      <t>ヘンイ</t>
    </rPh>
    <phoneticPr fontId="1"/>
  </si>
  <si>
    <t>内径変位D=150</t>
    <rPh sb="0" eb="2">
      <t>ナイケイ</t>
    </rPh>
    <rPh sb="2" eb="4">
      <t>ヘンイ</t>
    </rPh>
    <phoneticPr fontId="1"/>
  </si>
  <si>
    <t>近似外径D=110</t>
    <rPh sb="0" eb="2">
      <t>キンジ</t>
    </rPh>
    <rPh sb="2" eb="4">
      <t>ガイケイ</t>
    </rPh>
    <phoneticPr fontId="1"/>
  </si>
  <si>
    <t>近似外径D=100</t>
    <rPh sb="0" eb="2">
      <t>キンジ</t>
    </rPh>
    <rPh sb="2" eb="4">
      <t>ガイケイ</t>
    </rPh>
    <phoneticPr fontId="1"/>
  </si>
  <si>
    <t>近似外径D=120</t>
    <rPh sb="0" eb="2">
      <t>キンジ</t>
    </rPh>
    <rPh sb="2" eb="4">
      <t>ガイケイ</t>
    </rPh>
    <phoneticPr fontId="1"/>
  </si>
  <si>
    <t>近似外径D=130</t>
    <rPh sb="0" eb="2">
      <t>キンジ</t>
    </rPh>
    <rPh sb="2" eb="4">
      <t>ガイケイ</t>
    </rPh>
    <phoneticPr fontId="1"/>
  </si>
  <si>
    <t>近似外径D=140</t>
    <rPh sb="0" eb="2">
      <t>キンジ</t>
    </rPh>
    <rPh sb="2" eb="4">
      <t>ガイケイ</t>
    </rPh>
    <phoneticPr fontId="1"/>
  </si>
  <si>
    <t>近似外径D=150</t>
    <rPh sb="0" eb="2">
      <t>キンジ</t>
    </rPh>
    <rPh sb="2" eb="4">
      <t>ガイケイ</t>
    </rPh>
    <phoneticPr fontId="1"/>
  </si>
  <si>
    <t>内面圧[MPa]</t>
    <rPh sb="0" eb="1">
      <t>ウチ</t>
    </rPh>
    <rPh sb="1" eb="2">
      <t>メン</t>
    </rPh>
    <rPh sb="2" eb="3">
      <t>アツ</t>
    </rPh>
    <phoneticPr fontId="1"/>
  </si>
  <si>
    <t>http://www.sml.k.u-tokyo.ac.jp/members/nabe/lecture2012/B3_20120608.pdf</t>
  </si>
  <si>
    <t>半径の変位</t>
    <rPh sb="0" eb="2">
      <t>ハンケイ</t>
    </rPh>
    <rPh sb="3" eb="5">
      <t>ヘンイ</t>
    </rPh>
    <phoneticPr fontId="1"/>
  </si>
  <si>
    <t>内筒</t>
    <rPh sb="0" eb="1">
      <t>ウチ</t>
    </rPh>
    <rPh sb="1" eb="2">
      <t>ツツ</t>
    </rPh>
    <phoneticPr fontId="1"/>
  </si>
  <si>
    <t>はめあい径</t>
    <rPh sb="4" eb="5">
      <t>ケイ</t>
    </rPh>
    <phoneticPr fontId="1"/>
  </si>
  <si>
    <t>外筒</t>
    <rPh sb="0" eb="1">
      <t>ソト</t>
    </rPh>
    <rPh sb="1" eb="2">
      <t>ツツ</t>
    </rPh>
    <phoneticPr fontId="1"/>
  </si>
  <si>
    <t>Assy</t>
    <phoneticPr fontId="1"/>
  </si>
  <si>
    <t>加工方法(非BRG面)</t>
    <rPh sb="0" eb="2">
      <t>カコウ</t>
    </rPh>
    <rPh sb="2" eb="4">
      <t>ホウホウ</t>
    </rPh>
    <rPh sb="5" eb="6">
      <t>ヒ</t>
    </rPh>
    <rPh sb="9" eb="10">
      <t>メン</t>
    </rPh>
    <phoneticPr fontId="1"/>
  </si>
  <si>
    <t>[mm]</t>
    <phoneticPr fontId="1"/>
  </si>
  <si>
    <t>d3[mm]</t>
    <phoneticPr fontId="1"/>
  </si>
  <si>
    <t>m</t>
    <phoneticPr fontId="1"/>
  </si>
  <si>
    <t>k:研削,s:切削,m:無視</t>
    <rPh sb="2" eb="4">
      <t>ケンサク</t>
    </rPh>
    <rPh sb="7" eb="9">
      <t>セッサク</t>
    </rPh>
    <rPh sb="12" eb="14">
      <t>ムシ</t>
    </rPh>
    <phoneticPr fontId="1"/>
  </si>
  <si>
    <t>[℃]</t>
    <phoneticPr fontId="1"/>
  </si>
  <si>
    <t>[1/℃]</t>
    <phoneticPr fontId="1"/>
  </si>
  <si>
    <t>d1[mm]</t>
    <phoneticPr fontId="1"/>
  </si>
  <si>
    <t>d2[mm]</t>
    <phoneticPr fontId="1"/>
  </si>
  <si>
    <t>B[mm]</t>
    <phoneticPr fontId="1"/>
  </si>
  <si>
    <t>E1[MPa]</t>
    <phoneticPr fontId="1"/>
  </si>
  <si>
    <t>v1</t>
    <phoneticPr fontId="1"/>
  </si>
  <si>
    <t>E2[MPa]</t>
    <phoneticPr fontId="1"/>
  </si>
  <si>
    <t>v2</t>
    <phoneticPr fontId="1"/>
  </si>
  <si>
    <t>δ[mm]</t>
    <phoneticPr fontId="1"/>
  </si>
  <si>
    <t>A[mm²]</t>
    <phoneticPr fontId="1"/>
  </si>
  <si>
    <t>pm[MPa]</t>
    <phoneticPr fontId="1"/>
  </si>
  <si>
    <t>F[N]</t>
    <phoneticPr fontId="1"/>
  </si>
  <si>
    <t>nor</t>
    <phoneticPr fontId="1"/>
  </si>
  <si>
    <t>min</t>
    <phoneticPr fontId="1"/>
  </si>
  <si>
    <t>max</t>
    <phoneticPr fontId="1"/>
  </si>
  <si>
    <t>m</t>
    <phoneticPr fontId="1"/>
  </si>
  <si>
    <t>m</t>
    <phoneticPr fontId="1"/>
  </si>
  <si>
    <t>min</t>
    <phoneticPr fontId="1"/>
  </si>
  <si>
    <t>nor</t>
    <phoneticPr fontId="1"/>
  </si>
  <si>
    <t>max</t>
    <phoneticPr fontId="1"/>
  </si>
  <si>
    <t>有効1/無効0</t>
    <rPh sb="0" eb="2">
      <t>ユウコウ</t>
    </rPh>
    <rPh sb="4" eb="6">
      <t>ムコウ</t>
    </rPh>
    <phoneticPr fontId="1"/>
  </si>
  <si>
    <t>グラフ用</t>
    <rPh sb="3" eb="4">
      <t>ヨウ</t>
    </rPh>
    <phoneticPr fontId="1"/>
  </si>
  <si>
    <t>use
(min:-1,nor:0,max,1)</t>
    <phoneticPr fontId="1"/>
  </si>
  <si>
    <t>材料</t>
    <rPh sb="0" eb="2">
      <t>ザイリョウ</t>
    </rPh>
    <phoneticPr fontId="1"/>
  </si>
  <si>
    <t>ポアソン比[-]</t>
  </si>
  <si>
    <t>線膨張係数[10^-6/K]</t>
  </si>
  <si>
    <t>ADC12</t>
    <phoneticPr fontId="1"/>
  </si>
  <si>
    <t>降伏点(耐力)[MPa]</t>
    <phoneticPr fontId="1"/>
  </si>
  <si>
    <t>外形[mm]</t>
    <rPh sb="0" eb="2">
      <t>ガイケイ</t>
    </rPh>
    <phoneticPr fontId="1"/>
  </si>
  <si>
    <t>Material Name</t>
    <phoneticPr fontId="1"/>
  </si>
  <si>
    <t>Poisson's Ratio[-]</t>
    <phoneticPr fontId="1"/>
  </si>
  <si>
    <t>Linear Expansion Coefficient[10^-6/K]</t>
    <phoneticPr fontId="1"/>
  </si>
  <si>
    <t>材料名</t>
    <rPh sb="0" eb="2">
      <t>ザイリョウ</t>
    </rPh>
    <rPh sb="2" eb="3">
      <t>メイ</t>
    </rPh>
    <phoneticPr fontId="1"/>
  </si>
  <si>
    <t>Yield Point[MPa]</t>
    <phoneticPr fontId="1"/>
  </si>
  <si>
    <t>内径公差[mm]</t>
  </si>
  <si>
    <t>内径[mm]</t>
    <phoneticPr fontId="1"/>
  </si>
  <si>
    <t>S45C</t>
    <phoneticPr fontId="1"/>
  </si>
  <si>
    <t>Young's Modulus[MPa]</t>
    <phoneticPr fontId="1"/>
  </si>
  <si>
    <t>圧入力[kN]</t>
    <rPh sb="0" eb="1">
      <t>アツ</t>
    </rPh>
    <rPh sb="1" eb="3">
      <t>ニュウリョク</t>
    </rPh>
    <phoneticPr fontId="1"/>
  </si>
  <si>
    <t>内径[mm]</t>
    <rPh sb="0" eb="2">
      <t>ナイケイ</t>
    </rPh>
    <phoneticPr fontId="1"/>
  </si>
  <si>
    <t>外形公差[mm]</t>
  </si>
  <si>
    <t>Outer Part</t>
    <phoneticPr fontId="1"/>
  </si>
  <si>
    <t>Inner Part</t>
    <phoneticPr fontId="1"/>
  </si>
  <si>
    <t>SCM435</t>
  </si>
  <si>
    <t>SCM435</t>
    <phoneticPr fontId="1"/>
  </si>
  <si>
    <t>ADC12</t>
  </si>
  <si>
    <t>押切荷重[kN]</t>
    <rPh sb="0" eb="2">
      <t>オシキリ</t>
    </rPh>
    <rPh sb="2" eb="4">
      <t>カジュウ</t>
    </rPh>
    <phoneticPr fontId="1"/>
  </si>
  <si>
    <t>押切荷重面圧安全率[-]</t>
    <rPh sb="0" eb="2">
      <t>オシキリ</t>
    </rPh>
    <rPh sb="2" eb="4">
      <t>カジュウ</t>
    </rPh>
    <rPh sb="4" eb="5">
      <t>メン</t>
    </rPh>
    <rPh sb="5" eb="6">
      <t>アツ</t>
    </rPh>
    <rPh sb="6" eb="9">
      <t>アンゼンリツ</t>
    </rPh>
    <phoneticPr fontId="1"/>
  </si>
  <si>
    <t>押し当て部面圧[MPa]</t>
    <rPh sb="0" eb="1">
      <t>オ</t>
    </rPh>
    <rPh sb="2" eb="3">
      <t>ア</t>
    </rPh>
    <rPh sb="4" eb="5">
      <t>ブ</t>
    </rPh>
    <rPh sb="5" eb="6">
      <t>メン</t>
    </rPh>
    <rPh sb="6" eb="7">
      <t>アツ</t>
    </rPh>
    <phoneticPr fontId="1"/>
  </si>
  <si>
    <t>縦弾性係数[MPa]</t>
    <phoneticPr fontId="1"/>
  </si>
  <si>
    <t>input</t>
    <phoneticPr fontId="1"/>
  </si>
  <si>
    <t>auto</t>
    <phoneticPr fontId="1"/>
  </si>
  <si>
    <t>result</t>
    <phoneticPr fontId="1"/>
  </si>
  <si>
    <t>C1100</t>
    <phoneticPr fontId="1"/>
  </si>
  <si>
    <t>S45C</t>
  </si>
  <si>
    <t>Press Fit Force Result</t>
    <phoneticPr fontId="1"/>
  </si>
  <si>
    <t>[Input] Inner Part Basic Parameter</t>
    <phoneticPr fontId="1"/>
  </si>
  <si>
    <t>[Input] Outer Part Basic Parameter</t>
    <phoneticPr fontId="1"/>
  </si>
  <si>
    <t>[Input] Assy Basic Parameter</t>
    <phoneticPr fontId="1"/>
  </si>
  <si>
    <t>締め代部面圧安全率</t>
  </si>
  <si>
    <t>温度差(Outer-Inner)[℃]</t>
    <rPh sb="0" eb="3">
      <t>オンドサ</t>
    </rPh>
    <phoneticPr fontId="1"/>
  </si>
  <si>
    <t>[Input] External Force</t>
    <phoneticPr fontId="1"/>
  </si>
  <si>
    <t>部品重量[kg]</t>
    <rPh sb="0" eb="2">
      <t>ブヒン</t>
    </rPh>
    <rPh sb="2" eb="4">
      <t>ジュウリョウ</t>
    </rPh>
    <phoneticPr fontId="1"/>
  </si>
  <si>
    <t>加速度[G]</t>
    <rPh sb="0" eb="3">
      <t>カソクド</t>
    </rPh>
    <phoneticPr fontId="1"/>
  </si>
  <si>
    <t>押し当て部面圧安全率</t>
    <phoneticPr fontId="1"/>
  </si>
  <si>
    <t>押し当て部面積[mm2]</t>
    <rPh sb="0" eb="1">
      <t>オ</t>
    </rPh>
    <rPh sb="2" eb="3">
      <t>ア</t>
    </rPh>
    <rPh sb="4" eb="5">
      <t>ブ</t>
    </rPh>
    <rPh sb="5" eb="7">
      <t>メンセキ</t>
    </rPh>
    <phoneticPr fontId="1"/>
  </si>
  <si>
    <t>-</t>
    <phoneticPr fontId="1"/>
  </si>
  <si>
    <t>重量加速度外力[N]</t>
    <rPh sb="0" eb="2">
      <t>ジュウリョウ</t>
    </rPh>
    <rPh sb="2" eb="5">
      <t>カソクド</t>
    </rPh>
    <rPh sb="5" eb="7">
      <t>ガイリョク</t>
    </rPh>
    <phoneticPr fontId="1"/>
  </si>
  <si>
    <t>締め代部面積[mm2]</t>
    <rPh sb="0" eb="1">
      <t>シ</t>
    </rPh>
    <rPh sb="2" eb="3">
      <t>シロ</t>
    </rPh>
    <rPh sb="3" eb="4">
      <t>ブ</t>
    </rPh>
    <rPh sb="4" eb="6">
      <t>メンセキ</t>
    </rPh>
    <phoneticPr fontId="1"/>
  </si>
  <si>
    <t>締め代部長さ[mm]</t>
    <rPh sb="0" eb="1">
      <t>シ</t>
    </rPh>
    <rPh sb="2" eb="3">
      <t>シロ</t>
    </rPh>
    <rPh sb="3" eb="4">
      <t>ブ</t>
    </rPh>
    <rPh sb="4" eb="5">
      <t>ナガ</t>
    </rPh>
    <phoneticPr fontId="1"/>
  </si>
  <si>
    <t>はめあい径[mm]</t>
    <rPh sb="4" eb="5">
      <t>ケイ</t>
    </rPh>
    <phoneticPr fontId="1"/>
  </si>
  <si>
    <t>締め代(常温)[mm]</t>
    <rPh sb="0" eb="1">
      <t>シ</t>
    </rPh>
    <rPh sb="2" eb="3">
      <t>シロ</t>
    </rPh>
    <phoneticPr fontId="1"/>
  </si>
  <si>
    <t>締め代部面圧(常温)[MPa]</t>
    <rPh sb="0" eb="1">
      <t>シ</t>
    </rPh>
    <rPh sb="2" eb="3">
      <t>シロ</t>
    </rPh>
    <rPh sb="3" eb="4">
      <t>ブ</t>
    </rPh>
    <rPh sb="4" eb="5">
      <t>メン</t>
    </rPh>
    <rPh sb="5" eb="6">
      <t>アツ</t>
    </rPh>
    <phoneticPr fontId="1"/>
  </si>
  <si>
    <t>[Input] Target Safety Factor</t>
    <phoneticPr fontId="1"/>
  </si>
  <si>
    <t>[calclation] Interference from interference surface pressure</t>
    <phoneticPr fontId="1"/>
  </si>
  <si>
    <t>締め代(最悪温度)[mm]</t>
    <rPh sb="0" eb="1">
      <t>シ</t>
    </rPh>
    <rPh sb="2" eb="3">
      <t>シロ</t>
    </rPh>
    <phoneticPr fontId="1"/>
  </si>
  <si>
    <t>必要抜け抗力[N]</t>
    <rPh sb="0" eb="2">
      <t>ヒツヨウ</t>
    </rPh>
    <rPh sb="2" eb="3">
      <t>ヌ</t>
    </rPh>
    <rPh sb="4" eb="6">
      <t>コウリョク</t>
    </rPh>
    <phoneticPr fontId="1"/>
  </si>
  <si>
    <t>[calclation] Interference from Fall-off Resistance Force</t>
    <phoneticPr fontId="1"/>
  </si>
  <si>
    <t>許容締め代部面圧(最悪温度)[MPa]</t>
    <rPh sb="0" eb="2">
      <t>キョヨウ</t>
    </rPh>
    <rPh sb="2" eb="3">
      <t>シ</t>
    </rPh>
    <rPh sb="4" eb="5">
      <t>シロ</t>
    </rPh>
    <rPh sb="5" eb="6">
      <t>ブ</t>
    </rPh>
    <rPh sb="6" eb="7">
      <t>メン</t>
    </rPh>
    <rPh sb="7" eb="8">
      <t>アツ</t>
    </rPh>
    <rPh sb="9" eb="11">
      <t>サイアク</t>
    </rPh>
    <rPh sb="11" eb="13">
      <t>オンド</t>
    </rPh>
    <phoneticPr fontId="1"/>
  </si>
  <si>
    <t>[calclation] Interference from Pressing Suface Pressure</t>
    <phoneticPr fontId="1"/>
  </si>
  <si>
    <t>許容圧入面圧[MPa]</t>
    <rPh sb="0" eb="2">
      <t>キョヨウ</t>
    </rPh>
    <rPh sb="2" eb="4">
      <t>アツニュウ</t>
    </rPh>
    <rPh sb="4" eb="5">
      <t>メン</t>
    </rPh>
    <rPh sb="5" eb="6">
      <t>アツ</t>
    </rPh>
    <phoneticPr fontId="1"/>
  </si>
  <si>
    <t>許容圧入荷重[N]</t>
    <rPh sb="0" eb="2">
      <t>キョヨウ</t>
    </rPh>
    <rPh sb="2" eb="4">
      <t>アツニュウ</t>
    </rPh>
    <rPh sb="4" eb="6">
      <t>カジュウ</t>
    </rPh>
    <phoneticPr fontId="1"/>
  </si>
  <si>
    <t>許容押し当て部面圧[MPa]</t>
    <rPh sb="2" eb="3">
      <t>オ</t>
    </rPh>
    <rPh sb="4" eb="5">
      <t>ア</t>
    </rPh>
    <rPh sb="6" eb="7">
      <t>ブ</t>
    </rPh>
    <phoneticPr fontId="1"/>
  </si>
  <si>
    <t>温度[℃]</t>
    <rPh sb="0" eb="2">
      <t>オンド</t>
    </rPh>
    <phoneticPr fontId="1"/>
  </si>
  <si>
    <t>最大締め代差が起きる温度(Inner)[mm]</t>
    <rPh sb="0" eb="2">
      <t>サイダイ</t>
    </rPh>
    <rPh sb="2" eb="3">
      <t>シ</t>
    </rPh>
    <rPh sb="4" eb="5">
      <t>シロ</t>
    </rPh>
    <rPh sb="5" eb="6">
      <t>サ</t>
    </rPh>
    <rPh sb="7" eb="8">
      <t>オ</t>
    </rPh>
    <rPh sb="10" eb="12">
      <t>オンド</t>
    </rPh>
    <phoneticPr fontId="1"/>
  </si>
  <si>
    <t>最大締め代差が起きる温度(Outer)[mm]</t>
    <rPh sb="0" eb="2">
      <t>サイダイ</t>
    </rPh>
    <rPh sb="2" eb="3">
      <t>シ</t>
    </rPh>
    <rPh sb="4" eb="5">
      <t>シロ</t>
    </rPh>
    <rPh sb="5" eb="6">
      <t>サ</t>
    </rPh>
    <rPh sb="7" eb="8">
      <t>オ</t>
    </rPh>
    <rPh sb="10" eb="12">
      <t>オンド</t>
    </rPh>
    <phoneticPr fontId="1"/>
  </si>
  <si>
    <t>温度変化による締め代変化量[mm]</t>
    <rPh sb="0" eb="2">
      <t>オンド</t>
    </rPh>
    <rPh sb="2" eb="4">
      <t>ヘンカ</t>
    </rPh>
    <rPh sb="7" eb="8">
      <t>シ</t>
    </rPh>
    <rPh sb="9" eb="10">
      <t>シロ</t>
    </rPh>
    <rPh sb="10" eb="12">
      <t>ヘンカ</t>
    </rPh>
    <rPh sb="12" eb="13">
      <t>リョウ</t>
    </rPh>
    <phoneticPr fontId="1"/>
  </si>
  <si>
    <t>抜け抗力[N]</t>
    <rPh sb="0" eb="1">
      <t>ヌ</t>
    </rPh>
    <rPh sb="2" eb="4">
      <t>コウリョク</t>
    </rPh>
    <phoneticPr fontId="1"/>
  </si>
  <si>
    <t>抜け抗力安全率</t>
    <rPh sb="2" eb="4">
      <t>コウリョク</t>
    </rPh>
    <phoneticPr fontId="1"/>
  </si>
  <si>
    <t>許容締め代(常温)[mm]</t>
    <rPh sb="0" eb="2">
      <t>キョヨウ</t>
    </rPh>
    <rPh sb="2" eb="3">
      <t>シ</t>
    </rPh>
    <rPh sb="4" eb="5">
      <t>シロ</t>
    </rPh>
    <phoneticPr fontId="1"/>
  </si>
  <si>
    <t>[入力]外力</t>
    <rPh sb="1" eb="3">
      <t>ニュウリョク</t>
    </rPh>
    <rPh sb="4" eb="6">
      <t>ガイリョク</t>
    </rPh>
    <phoneticPr fontId="1"/>
  </si>
  <si>
    <t>[入力]
アセンブリの基本項目</t>
    <rPh sb="1" eb="3">
      <t>ニュウリョク</t>
    </rPh>
    <phoneticPr fontId="1"/>
  </si>
  <si>
    <t>[入力]内側のパーツの基本項目</t>
    <rPh sb="1" eb="3">
      <t>ニュウリョク</t>
    </rPh>
    <rPh sb="4" eb="6">
      <t>ウチガワ</t>
    </rPh>
    <rPh sb="11" eb="13">
      <t>キホン</t>
    </rPh>
    <rPh sb="13" eb="15">
      <t>コウモク</t>
    </rPh>
    <phoneticPr fontId="1"/>
  </si>
  <si>
    <t>[入力]外側のパーツの基本項目</t>
    <rPh sb="1" eb="3">
      <t>ニュウリョク</t>
    </rPh>
    <rPh sb="4" eb="6">
      <t>ソトガワ</t>
    </rPh>
    <rPh sb="11" eb="13">
      <t>キホン</t>
    </rPh>
    <rPh sb="13" eb="15">
      <t>コウモク</t>
    </rPh>
    <phoneticPr fontId="1"/>
  </si>
  <si>
    <t>[Input] 目標安全率</t>
    <rPh sb="8" eb="10">
      <t>モクヒョウ</t>
    </rPh>
    <rPh sb="10" eb="12">
      <t>アンゼン</t>
    </rPh>
    <rPh sb="12" eb="13">
      <t>リツ</t>
    </rPh>
    <phoneticPr fontId="1"/>
  </si>
  <si>
    <t>[計算] 締め代部の面圧からの締め代検討</t>
    <rPh sb="1" eb="3">
      <t>ケイサン</t>
    </rPh>
    <rPh sb="5" eb="6">
      <t>シ</t>
    </rPh>
    <rPh sb="7" eb="8">
      <t>シロ</t>
    </rPh>
    <rPh sb="8" eb="9">
      <t>ブ</t>
    </rPh>
    <rPh sb="10" eb="11">
      <t>メン</t>
    </rPh>
    <rPh sb="11" eb="12">
      <t>アツ</t>
    </rPh>
    <rPh sb="15" eb="16">
      <t>シ</t>
    </rPh>
    <rPh sb="17" eb="18">
      <t>シロ</t>
    </rPh>
    <rPh sb="18" eb="20">
      <t>ケントウ</t>
    </rPh>
    <phoneticPr fontId="1"/>
  </si>
  <si>
    <t>[計算] 抜け抗力からの締め代検討</t>
    <rPh sb="1" eb="3">
      <t>ケイサン</t>
    </rPh>
    <rPh sb="5" eb="6">
      <t>ヌ</t>
    </rPh>
    <rPh sb="7" eb="9">
      <t>コウリョク</t>
    </rPh>
    <rPh sb="12" eb="13">
      <t>シ</t>
    </rPh>
    <rPh sb="14" eb="15">
      <t>シロ</t>
    </rPh>
    <rPh sb="15" eb="17">
      <t>ケントウ</t>
    </rPh>
    <phoneticPr fontId="1"/>
  </si>
  <si>
    <t>[計算] 押しつけ部面圧からの締め代検討</t>
    <rPh sb="1" eb="3">
      <t>ケイサン</t>
    </rPh>
    <rPh sb="5" eb="6">
      <t>オ</t>
    </rPh>
    <rPh sb="9" eb="10">
      <t>ブ</t>
    </rPh>
    <rPh sb="10" eb="11">
      <t>メン</t>
    </rPh>
    <rPh sb="11" eb="12">
      <t>アツ</t>
    </rPh>
    <rPh sb="15" eb="16">
      <t>シ</t>
    </rPh>
    <rPh sb="17" eb="18">
      <t>シロ</t>
    </rPh>
    <rPh sb="18" eb="20">
      <t>ケントウ</t>
    </rPh>
    <phoneticPr fontId="1"/>
  </si>
  <si>
    <t>許容締め代(最悪温度)[mm]</t>
    <rPh sb="0" eb="2">
      <t>キョヨウ</t>
    </rPh>
    <rPh sb="2" eb="3">
      <t>シ</t>
    </rPh>
    <rPh sb="4" eb="5">
      <t>シロ</t>
    </rPh>
    <phoneticPr fontId="1"/>
  </si>
  <si>
    <t>許容締め代締め代(常温)[mm]</t>
    <rPh sb="5" eb="6">
      <t>シ</t>
    </rPh>
    <rPh sb="7" eb="8">
      <t>シロ</t>
    </rPh>
    <phoneticPr fontId="1"/>
  </si>
  <si>
    <t>必要抜け抗力(最悪温度)[N]</t>
    <rPh sb="0" eb="2">
      <t>ヒツヨウ</t>
    </rPh>
    <rPh sb="2" eb="3">
      <t>ヌ</t>
    </rPh>
    <rPh sb="4" eb="6">
      <t>コウリョク</t>
    </rPh>
    <rPh sb="7" eb="9">
      <t>サイアク</t>
    </rPh>
    <rPh sb="9" eb="11">
      <t>オンド</t>
    </rPh>
    <phoneticPr fontId="1"/>
  </si>
  <si>
    <t>必要垂直抗力(最悪温度)[N]</t>
    <rPh sb="2" eb="4">
      <t>スイチョク</t>
    </rPh>
    <rPh sb="4" eb="6">
      <t>コウリョク</t>
    </rPh>
    <rPh sb="7" eb="11">
      <t>サイアクオンド</t>
    </rPh>
    <phoneticPr fontId="1"/>
  </si>
  <si>
    <t>必要締め代部面圧(最悪温度)[MPa]</t>
    <rPh sb="2" eb="3">
      <t>シ</t>
    </rPh>
    <rPh sb="4" eb="5">
      <t>シロ</t>
    </rPh>
    <rPh sb="5" eb="6">
      <t>ブ</t>
    </rPh>
    <rPh sb="6" eb="7">
      <t>メン</t>
    </rPh>
    <rPh sb="7" eb="8">
      <t>アツ</t>
    </rPh>
    <phoneticPr fontId="1"/>
  </si>
  <si>
    <t>必要締め代(最悪温度)[mm]</t>
    <rPh sb="2" eb="3">
      <t>シ</t>
    </rPh>
    <rPh sb="4" eb="5">
      <t>シロ</t>
    </rPh>
    <phoneticPr fontId="1"/>
  </si>
  <si>
    <t>必要締め代(常温)[mm]</t>
    <rPh sb="2" eb="3">
      <t>シ</t>
    </rPh>
    <rPh sb="4" eb="5">
      <t>シロ</t>
    </rPh>
    <rPh sb="6" eb="8">
      <t>ジョウオン</t>
    </rPh>
    <phoneticPr fontId="1"/>
  </si>
  <si>
    <t>許容垂直抗力[N]</t>
    <rPh sb="2" eb="4">
      <t>スイチョク</t>
    </rPh>
    <rPh sb="4" eb="6">
      <t>コウリョク</t>
    </rPh>
    <phoneticPr fontId="1"/>
  </si>
  <si>
    <t>許容締め代[mm]</t>
    <rPh sb="2" eb="3">
      <t>シ</t>
    </rPh>
    <rPh sb="4" eb="5">
      <t>シロ</t>
    </rPh>
    <phoneticPr fontId="1"/>
  </si>
  <si>
    <t>面圧(最悪温度)[MPa]</t>
    <rPh sb="0" eb="1">
      <t>メン</t>
    </rPh>
    <rPh sb="1" eb="2">
      <t>アツ</t>
    </rPh>
    <phoneticPr fontId="1"/>
  </si>
  <si>
    <t>垂直抗力(面圧方向)[N]</t>
    <rPh sb="0" eb="2">
      <t>スイチョク</t>
    </rPh>
    <rPh sb="2" eb="4">
      <t>コウリョク</t>
    </rPh>
    <rPh sb="5" eb="6">
      <t>メン</t>
    </rPh>
    <rPh sb="6" eb="7">
      <t>アツ</t>
    </rPh>
    <rPh sb="7" eb="9">
      <t>ホウコウ</t>
    </rPh>
    <phoneticPr fontId="1"/>
  </si>
  <si>
    <t>抜け抗力安全率</t>
    <phoneticPr fontId="1"/>
  </si>
  <si>
    <t>発生圧入荷重(常温)[N]</t>
    <rPh sb="0" eb="2">
      <t>ハッセイ</t>
    </rPh>
    <rPh sb="2" eb="4">
      <t>アツニュウ</t>
    </rPh>
    <rPh sb="4" eb="6">
      <t>カジュウ</t>
    </rPh>
    <rPh sb="7" eb="9">
      <t>ジョウオン</t>
    </rPh>
    <phoneticPr fontId="1"/>
  </si>
  <si>
    <t>仮圧入押切荷重[N]</t>
    <rPh sb="0" eb="1">
      <t>カリ</t>
    </rPh>
    <rPh sb="1" eb="3">
      <t>アツニュウ</t>
    </rPh>
    <rPh sb="3" eb="5">
      <t>オシキリ</t>
    </rPh>
    <rPh sb="5" eb="7">
      <t>カジュウ</t>
    </rPh>
    <phoneticPr fontId="1"/>
  </si>
  <si>
    <t>仮押切荷重による面圧[MPa]</t>
    <rPh sb="0" eb="1">
      <t>カリ</t>
    </rPh>
    <rPh sb="1" eb="3">
      <t>オシキリ</t>
    </rPh>
    <rPh sb="3" eb="5">
      <t>カジュウ</t>
    </rPh>
    <rPh sb="8" eb="9">
      <t>メン</t>
    </rPh>
    <rPh sb="9" eb="10">
      <t>アツ</t>
    </rPh>
    <phoneticPr fontId="1"/>
  </si>
  <si>
    <t>[calclation] 許容締め代範囲と最終安全率</t>
    <rPh sb="13" eb="15">
      <t>キョヨウ</t>
    </rPh>
    <rPh sb="15" eb="16">
      <t>シ</t>
    </rPh>
    <rPh sb="17" eb="18">
      <t>シロ</t>
    </rPh>
    <rPh sb="18" eb="20">
      <t>ハンイ</t>
    </rPh>
    <rPh sb="21" eb="23">
      <t>サイシュウ</t>
    </rPh>
    <rPh sb="23" eb="25">
      <t>アンゼン</t>
    </rPh>
    <rPh sb="25" eb="26">
      <t>リツ</t>
    </rPh>
    <phoneticPr fontId="1"/>
  </si>
  <si>
    <t>[Input] 決定締め代範囲</t>
    <rPh sb="8" eb="10">
      <t>ケッテイ</t>
    </rPh>
    <rPh sb="10" eb="11">
      <t>シ</t>
    </rPh>
    <rPh sb="12" eb="13">
      <t>シロ</t>
    </rPh>
    <rPh sb="13" eb="15">
      <t>ハンイ</t>
    </rPh>
    <phoneticPr fontId="1"/>
  </si>
  <si>
    <t>-</t>
  </si>
  <si>
    <t>圧入押切荷重[N]</t>
    <rPh sb="0" eb="2">
      <t>アツニュウ</t>
    </rPh>
    <rPh sb="2" eb="4">
      <t>オシキリ</t>
    </rPh>
    <rPh sb="4" eb="6">
      <t>カジュウ</t>
    </rPh>
    <phoneticPr fontId="1"/>
  </si>
  <si>
    <t>押切荷重による面圧[MPa]</t>
    <rPh sb="0" eb="2">
      <t>オシキリ</t>
    </rPh>
    <rPh sb="2" eb="4">
      <t>カジュウ</t>
    </rPh>
    <rPh sb="7" eb="8">
      <t>メン</t>
    </rPh>
    <rPh sb="8" eb="9">
      <t>アツ</t>
    </rPh>
    <phoneticPr fontId="1"/>
  </si>
  <si>
    <t>を超え</t>
  </si>
  <si>
    <t>以下</t>
  </si>
  <si>
    <t>e9</t>
  </si>
  <si>
    <t>f6</t>
  </si>
  <si>
    <t>f7</t>
  </si>
  <si>
    <t>f8</t>
  </si>
  <si>
    <t>g5</t>
  </si>
  <si>
    <t>g6</t>
  </si>
  <si>
    <t>h5</t>
  </si>
  <si>
    <t>h6</t>
  </si>
  <si>
    <t>h7</t>
  </si>
  <si>
    <t>h8</t>
  </si>
  <si>
    <t>h9</t>
  </si>
  <si>
    <t>js5</t>
  </si>
  <si>
    <t>js6</t>
  </si>
  <si>
    <t>js7</t>
  </si>
  <si>
    <t>k5</t>
  </si>
  <si>
    <t>k6</t>
  </si>
  <si>
    <t>m5</t>
  </si>
  <si>
    <t>m6</t>
  </si>
  <si>
    <t>n6</t>
  </si>
  <si>
    <t>p6</t>
  </si>
  <si>
    <t>E9</t>
  </si>
  <si>
    <t>F6</t>
  </si>
  <si>
    <t>F7</t>
  </si>
  <si>
    <t>F8</t>
  </si>
  <si>
    <t>G6</t>
  </si>
  <si>
    <t>G7</t>
  </si>
  <si>
    <t>H6</t>
  </si>
  <si>
    <t>H7</t>
  </si>
  <si>
    <t>H8</t>
  </si>
  <si>
    <t>H9</t>
  </si>
  <si>
    <t>H10</t>
  </si>
  <si>
    <t>JS6</t>
  </si>
  <si>
    <t>JS7</t>
  </si>
  <si>
    <t>K6</t>
  </si>
  <si>
    <t>K7</t>
  </si>
  <si>
    <t>M6</t>
  </si>
  <si>
    <t>M7</t>
  </si>
  <si>
    <t>N6</t>
  </si>
  <si>
    <t>N7</t>
  </si>
  <si>
    <t>P6</t>
  </si>
  <si>
    <t>軸の公差域クラス[μm]</t>
    <phoneticPr fontId="1"/>
  </si>
  <si>
    <t>穴の公差域クラス[μm]</t>
    <phoneticPr fontId="1"/>
  </si>
  <si>
    <t>上公差</t>
    <rPh sb="0" eb="1">
      <t>カミ</t>
    </rPh>
    <rPh sb="1" eb="3">
      <t>コウサ</t>
    </rPh>
    <phoneticPr fontId="1"/>
  </si>
  <si>
    <t>下公差</t>
    <rPh sb="0" eb="1">
      <t>シタ</t>
    </rPh>
    <rPh sb="1" eb="3">
      <t>コウサ</t>
    </rPh>
    <phoneticPr fontId="1"/>
  </si>
  <si>
    <t>u</t>
    <phoneticPr fontId="1"/>
  </si>
  <si>
    <t>l</t>
    <phoneticPr fontId="1"/>
  </si>
  <si>
    <t>穴</t>
    <rPh sb="0" eb="1">
      <t>アナ</t>
    </rPh>
    <phoneticPr fontId="1"/>
  </si>
  <si>
    <t>軸</t>
    <rPh sb="0" eb="1">
      <t>ジク</t>
    </rPh>
    <phoneticPr fontId="1"/>
  </si>
  <si>
    <t>=</t>
    <phoneticPr fontId="1"/>
  </si>
  <si>
    <t>すきま公差(max/min)</t>
    <rPh sb="3" eb="5">
      <t>コウサ</t>
    </rPh>
    <phoneticPr fontId="1"/>
  </si>
  <si>
    <t>b9</t>
  </si>
  <si>
    <t>b9</t>
    <phoneticPr fontId="1"/>
  </si>
  <si>
    <t>c9</t>
  </si>
  <si>
    <t>c9</t>
    <phoneticPr fontId="1"/>
  </si>
  <si>
    <t>d8</t>
  </si>
  <si>
    <t>d8</t>
    <phoneticPr fontId="1"/>
  </si>
  <si>
    <t>d9</t>
  </si>
  <si>
    <t>d9</t>
    <phoneticPr fontId="1"/>
  </si>
  <si>
    <t>e7</t>
  </si>
  <si>
    <t>e7</t>
    <phoneticPr fontId="1"/>
  </si>
  <si>
    <t>e8</t>
  </si>
  <si>
    <t>e8</t>
    <phoneticPr fontId="1"/>
  </si>
  <si>
    <t>基準寸法の</t>
  </si>
  <si>
    <t>区分(mm)</t>
  </si>
  <si>
    <t>を越え</t>
  </si>
  <si>
    <t>軸の公差域クラス b9～f8</t>
  </si>
  <si>
    <t>s6</t>
  </si>
  <si>
    <t>t6</t>
    <phoneticPr fontId="1"/>
  </si>
  <si>
    <t>u6</t>
    <phoneticPr fontId="1"/>
  </si>
  <si>
    <t>x6</t>
    <phoneticPr fontId="1"/>
  </si>
  <si>
    <t>r6</t>
    <phoneticPr fontId="1"/>
  </si>
  <si>
    <t>B10</t>
    <phoneticPr fontId="1"/>
  </si>
  <si>
    <t>C9</t>
    <phoneticPr fontId="1"/>
  </si>
  <si>
    <t>C10</t>
    <phoneticPr fontId="1"/>
  </si>
  <si>
    <t>D8</t>
    <phoneticPr fontId="1"/>
  </si>
  <si>
    <t>D9</t>
    <phoneticPr fontId="1"/>
  </si>
  <si>
    <t>D10</t>
    <phoneticPr fontId="1"/>
  </si>
  <si>
    <t>E7</t>
    <phoneticPr fontId="1"/>
  </si>
  <si>
    <t>E8</t>
    <phoneticPr fontId="1"/>
  </si>
  <si>
    <t>R7</t>
    <phoneticPr fontId="1"/>
  </si>
  <si>
    <t>S7</t>
    <phoneticPr fontId="1"/>
  </si>
  <si>
    <t>T7</t>
    <phoneticPr fontId="1"/>
  </si>
  <si>
    <t>U7</t>
    <phoneticPr fontId="1"/>
  </si>
  <si>
    <t>X7</t>
    <phoneticPr fontId="1"/>
  </si>
  <si>
    <t>P7</t>
    <phoneticPr fontId="1"/>
  </si>
  <si>
    <t>回転トルク外力[Nm]</t>
    <rPh sb="0" eb="2">
      <t>カイテン</t>
    </rPh>
    <rPh sb="5" eb="7">
      <t>ガイリョク</t>
    </rPh>
    <phoneticPr fontId="1"/>
  </si>
  <si>
    <t>その他抜け外力[N]</t>
    <rPh sb="2" eb="3">
      <t>タ</t>
    </rPh>
    <rPh sb="3" eb="4">
      <t>ヌ</t>
    </rPh>
    <rPh sb="5" eb="7">
      <t>ガイリョク</t>
    </rPh>
    <phoneticPr fontId="1"/>
  </si>
  <si>
    <t>必要滑り抗力[N]</t>
    <rPh sb="0" eb="2">
      <t>ヒツヨウ</t>
    </rPh>
    <rPh sb="2" eb="3">
      <t>スベ</t>
    </rPh>
    <rPh sb="4" eb="6">
      <t>コウリョク</t>
    </rPh>
    <phoneticPr fontId="1"/>
  </si>
  <si>
    <t>必要接線抗力[N]</t>
    <rPh sb="0" eb="2">
      <t>ヒツヨウ</t>
    </rPh>
    <rPh sb="2" eb="4">
      <t>セッセン</t>
    </rPh>
    <rPh sb="4" eb="6">
      <t>コウリョク</t>
    </rPh>
    <rPh sb="5" eb="6">
      <t>リョク</t>
    </rPh>
    <phoneticPr fontId="1"/>
  </si>
  <si>
    <t>非締め代部面積[mm2]</t>
    <rPh sb="0" eb="1">
      <t>ヒ</t>
    </rPh>
    <rPh sb="1" eb="2">
      <t>シ</t>
    </rPh>
    <rPh sb="3" eb="4">
      <t>シロ</t>
    </rPh>
    <rPh sb="4" eb="5">
      <t>ブ</t>
    </rPh>
    <rPh sb="5" eb="7">
      <t>メンセキ</t>
    </rPh>
    <phoneticPr fontId="1"/>
  </si>
  <si>
    <t>rin</t>
    <phoneticPr fontId="1"/>
  </si>
  <si>
    <t>rout</t>
    <phoneticPr fontId="1"/>
  </si>
  <si>
    <t>P</t>
    <phoneticPr fontId="1"/>
  </si>
  <si>
    <t>r</t>
    <phoneticPr fontId="1"/>
  </si>
  <si>
    <t>σθ</t>
    <phoneticPr fontId="1"/>
  </si>
  <si>
    <t>http://todoroki.arrow.jp/cylinder.pdf</t>
  </si>
  <si>
    <t>https://seihin-sekkei.com/calculation-tool/internal_pressure_thick_cylinder/</t>
  </si>
  <si>
    <t>円周方向応力(内径部)[MPa]</t>
    <rPh sb="0" eb="4">
      <t>エンシュウホウコウ</t>
    </rPh>
    <rPh sb="4" eb="6">
      <t>オウリョク</t>
    </rPh>
    <rPh sb="7" eb="10">
      <t>ナイケイブ</t>
    </rPh>
    <phoneticPr fontId="1"/>
  </si>
  <si>
    <t>外圧p2</t>
    <rPh sb="0" eb="2">
      <t>ガイアツ</t>
    </rPh>
    <phoneticPr fontId="1"/>
  </si>
  <si>
    <t>内圧p1</t>
    <rPh sb="0" eb="2">
      <t>ナイアツ</t>
    </rPh>
    <phoneticPr fontId="1"/>
  </si>
  <si>
    <t>https://em.ten-navi.com/dictionary/6/</t>
  </si>
  <si>
    <t>https://www.nsk.com/jp/common/data/ctrgPdf/split/728/nsk_cat_728h_62-85.pdf</t>
  </si>
  <si>
    <t>半径方向応力(常温)[MPa]</t>
    <phoneticPr fontId="1"/>
  </si>
  <si>
    <t>半径方向応力[MPa]</t>
    <phoneticPr fontId="1"/>
  </si>
  <si>
    <t>角加速度[rad/s2]</t>
    <rPh sb="0" eb="4">
      <t>カクカソクド</t>
    </rPh>
    <phoneticPr fontId="1"/>
  </si>
  <si>
    <t>慣性モーメント[	kg m2]</t>
    <rPh sb="0" eb="2">
      <t>カンセイ</t>
    </rPh>
    <phoneticPr fontId="1"/>
  </si>
  <si>
    <t>外力合力[N]</t>
    <rPh sb="0" eb="2">
      <t>ガイリョク</t>
    </rPh>
    <rPh sb="2" eb="4">
      <t>ゴウリョク</t>
    </rPh>
    <phoneticPr fontId="1"/>
  </si>
  <si>
    <t>軸方向加速度[G]</t>
    <rPh sb="0" eb="3">
      <t>ジクホウコウ</t>
    </rPh>
    <rPh sb="3" eb="6">
      <t>カソクド</t>
    </rPh>
    <phoneticPr fontId="1"/>
  </si>
  <si>
    <t>その他軸方向外力[N]</t>
    <rPh sb="2" eb="3">
      <t>タ</t>
    </rPh>
    <rPh sb="3" eb="6">
      <t>ジクホウコウ</t>
    </rPh>
    <rPh sb="6" eb="8">
      <t>ガイリョク</t>
    </rPh>
    <phoneticPr fontId="1"/>
  </si>
  <si>
    <t>その他円周方向外力[N]</t>
    <rPh sb="2" eb="3">
      <t>タ</t>
    </rPh>
    <rPh sb="3" eb="7">
      <t>エンシュウホウコウ</t>
    </rPh>
    <rPh sb="7" eb="9">
      <t>ガイリョク</t>
    </rPh>
    <phoneticPr fontId="1"/>
  </si>
  <si>
    <t>圧入時摩擦係数</t>
    <rPh sb="0" eb="3">
      <t>アツニュウジ</t>
    </rPh>
    <rPh sb="3" eb="5">
      <t>マサツ</t>
    </rPh>
    <rPh sb="5" eb="7">
      <t>ケイスウ</t>
    </rPh>
    <phoneticPr fontId="1"/>
  </si>
  <si>
    <t>抜け、滑り時摩擦係数</t>
    <rPh sb="0" eb="1">
      <t>ヌ</t>
    </rPh>
    <rPh sb="3" eb="4">
      <t>スベ</t>
    </rPh>
    <rPh sb="5" eb="6">
      <t>ジ</t>
    </rPh>
    <rPh sb="6" eb="10">
      <t>マサツケイスウ</t>
    </rPh>
    <phoneticPr fontId="1"/>
  </si>
  <si>
    <t>step</t>
    <phoneticPr fontId="1"/>
  </si>
  <si>
    <t>締め代[mm]</t>
    <phoneticPr fontId="1"/>
  </si>
  <si>
    <t>半径方向応力[MPa]</t>
    <rPh sb="0" eb="4">
      <t>ハンケイホウコウ</t>
    </rPh>
    <rPh sb="4" eb="6">
      <t>オウリョク</t>
    </rPh>
    <phoneticPr fontId="1"/>
  </si>
  <si>
    <t>圧入力[kN]</t>
    <rPh sb="0" eb="3">
      <t>アツニュウリョク</t>
    </rPh>
    <phoneticPr fontId="1"/>
  </si>
  <si>
    <t>降伏点</t>
    <phoneticPr fontId="1"/>
  </si>
  <si>
    <t>円周方向応力[MPa]</t>
    <phoneticPr fontId="1"/>
  </si>
  <si>
    <t>締め代</t>
    <rPh sb="0" eb="1">
      <t>シ</t>
    </rPh>
    <rPh sb="2" eb="3">
      <t>シロ</t>
    </rPh>
    <phoneticPr fontId="1"/>
  </si>
  <si>
    <t>半径方向応力min</t>
    <rPh sb="0" eb="2">
      <t>ハンケイ</t>
    </rPh>
    <rPh sb="2" eb="4">
      <t>ホウコウ</t>
    </rPh>
    <rPh sb="4" eb="6">
      <t>オウリョク</t>
    </rPh>
    <phoneticPr fontId="1"/>
  </si>
  <si>
    <t>半径方向応力nor</t>
    <rPh sb="0" eb="2">
      <t>ハンケイホウコウ2</t>
    </rPh>
    <phoneticPr fontId="1"/>
  </si>
  <si>
    <t>半径方向応力max</t>
    <rPh sb="0" eb="2">
      <t>ハンケイホウコウ22</t>
    </rPh>
    <phoneticPr fontId="1"/>
  </si>
  <si>
    <t>圧入力min</t>
    <rPh sb="0" eb="3">
      <t>アツニュウリョク</t>
    </rPh>
    <phoneticPr fontId="1"/>
  </si>
  <si>
    <t>圧入力nor</t>
    <rPh sb="0" eb="3">
      <t>アツニュウリョク2</t>
    </rPh>
    <phoneticPr fontId="1"/>
  </si>
  <si>
    <t>圧入力max</t>
    <rPh sb="0" eb="3">
      <t>アツニュウリョク3</t>
    </rPh>
    <phoneticPr fontId="1"/>
  </si>
  <si>
    <t>降伏点inner</t>
    <rPh sb="0" eb="3">
      <t>コウフクテン</t>
    </rPh>
    <phoneticPr fontId="1"/>
  </si>
  <si>
    <t>降伏点outer</t>
    <rPh sb="0" eb="3">
      <t>コウフクテン</t>
    </rPh>
    <phoneticPr fontId="1"/>
  </si>
  <si>
    <t>円周方向応力inner</t>
    <phoneticPr fontId="1"/>
  </si>
  <si>
    <t>円周方向応力outer</t>
    <phoneticPr fontId="1"/>
  </si>
  <si>
    <t>inner応力[MPa]</t>
    <rPh sb="5" eb="7">
      <t>オウリョク</t>
    </rPh>
    <phoneticPr fontId="1"/>
  </si>
  <si>
    <t>締め代：Δ-30℃</t>
    <phoneticPr fontId="1"/>
  </si>
  <si>
    <t>締め代：Δ-20℃</t>
    <rPh sb="0" eb="1">
      <t>シ</t>
    </rPh>
    <rPh sb="2" eb="3">
      <t>シロ</t>
    </rPh>
    <phoneticPr fontId="1"/>
  </si>
  <si>
    <t>締め代：Δ-10℃</t>
    <rPh sb="0" eb="1">
      <t>シ</t>
    </rPh>
    <rPh sb="2" eb="3">
      <t>シロ</t>
    </rPh>
    <phoneticPr fontId="1"/>
  </si>
  <si>
    <t>締め代：Δ0℃</t>
    <rPh sb="0" eb="1">
      <t>シ</t>
    </rPh>
    <rPh sb="2" eb="3">
      <t>シロ</t>
    </rPh>
    <phoneticPr fontId="1"/>
  </si>
  <si>
    <t>締め代：Δ+10℃</t>
    <rPh sb="0" eb="1">
      <t>シ</t>
    </rPh>
    <rPh sb="2" eb="3">
      <t>シロ</t>
    </rPh>
    <phoneticPr fontId="1"/>
  </si>
  <si>
    <t>締め代：Δ+20℃</t>
    <rPh sb="0" eb="1">
      <t>シ</t>
    </rPh>
    <rPh sb="2" eb="3">
      <t>シロ</t>
    </rPh>
    <phoneticPr fontId="1"/>
  </si>
  <si>
    <t>締め代：Δ+30℃</t>
    <rPh sb="0" eb="1">
      <t>シ</t>
    </rPh>
    <rPh sb="2" eb="3">
      <t>シロ</t>
    </rPh>
    <phoneticPr fontId="1"/>
  </si>
  <si>
    <t>半径方向応力:Δ-30℃</t>
    <phoneticPr fontId="1"/>
  </si>
  <si>
    <t>inner応力:Δ-30℃</t>
    <rPh sb="5" eb="7">
      <t>オウリョク</t>
    </rPh>
    <phoneticPr fontId="1"/>
  </si>
  <si>
    <t>半径方向応力:Δ-20℃</t>
    <rPh sb="0" eb="2">
      <t>ハンケイ</t>
    </rPh>
    <rPh sb="2" eb="4">
      <t>ホウコウ</t>
    </rPh>
    <rPh sb="4" eb="6">
      <t>オウリョク</t>
    </rPh>
    <phoneticPr fontId="1"/>
  </si>
  <si>
    <t>半径方向応力:Δ-10℃</t>
    <rPh sb="0" eb="2">
      <t>ハンケイ</t>
    </rPh>
    <rPh sb="2" eb="4">
      <t>ホウコウ</t>
    </rPh>
    <rPh sb="4" eb="6">
      <t>オウリョク</t>
    </rPh>
    <phoneticPr fontId="1"/>
  </si>
  <si>
    <t>半径方向応力:Δ0℃</t>
    <rPh sb="0" eb="2">
      <t>ハンケイ</t>
    </rPh>
    <rPh sb="2" eb="4">
      <t>ホウコウ</t>
    </rPh>
    <rPh sb="4" eb="6">
      <t>オウリョク</t>
    </rPh>
    <phoneticPr fontId="1"/>
  </si>
  <si>
    <t>半径方向応力:Δ+10℃</t>
    <rPh sb="0" eb="2">
      <t>ハンケイ</t>
    </rPh>
    <rPh sb="2" eb="4">
      <t>ホウコウ</t>
    </rPh>
    <rPh sb="4" eb="6">
      <t>オウリョク</t>
    </rPh>
    <phoneticPr fontId="1"/>
  </si>
  <si>
    <t>半径方向応力:Δ+20℃</t>
    <rPh sb="0" eb="2">
      <t>ハンケイ</t>
    </rPh>
    <rPh sb="2" eb="4">
      <t>ホウコウ</t>
    </rPh>
    <rPh sb="4" eb="6">
      <t>オウリョク</t>
    </rPh>
    <phoneticPr fontId="1"/>
  </si>
  <si>
    <t>半径方向応力:Δ+30℃</t>
    <rPh sb="0" eb="2">
      <t>ハンケイ</t>
    </rPh>
    <rPh sb="2" eb="4">
      <t>ホウコウ</t>
    </rPh>
    <rPh sb="4" eb="6">
      <t>オウリョク</t>
    </rPh>
    <phoneticPr fontId="1"/>
  </si>
  <si>
    <t>inner温度[℃]</t>
    <rPh sb="5" eb="7">
      <t>オンド</t>
    </rPh>
    <phoneticPr fontId="1"/>
  </si>
  <si>
    <t>outer応力[MPa]</t>
    <rPh sb="5" eb="7">
      <t>オウリョク</t>
    </rPh>
    <phoneticPr fontId="1"/>
  </si>
  <si>
    <t>inner応力:Δ-20℃</t>
    <phoneticPr fontId="1"/>
  </si>
  <si>
    <t>inner応力:Δ-10℃</t>
    <rPh sb="5" eb="7">
      <t>オウリョク</t>
    </rPh>
    <phoneticPr fontId="1"/>
  </si>
  <si>
    <t>inner応力:Δ0℃</t>
    <rPh sb="5" eb="7">
      <t>オウリョク</t>
    </rPh>
    <phoneticPr fontId="1"/>
  </si>
  <si>
    <t>inner応力:Δ+10℃</t>
    <rPh sb="5" eb="7">
      <t>オウリョク</t>
    </rPh>
    <phoneticPr fontId="1"/>
  </si>
  <si>
    <t>inner応力:Δ+20℃</t>
    <rPh sb="5" eb="7">
      <t>オウリョク</t>
    </rPh>
    <phoneticPr fontId="1"/>
  </si>
  <si>
    <t>inner応力:Δ+30℃</t>
    <rPh sb="5" eb="7">
      <t>オウリョク</t>
    </rPh>
    <phoneticPr fontId="1"/>
  </si>
  <si>
    <t>outer応力:Δ-30℃</t>
    <rPh sb="5" eb="7">
      <t>オウリョク</t>
    </rPh>
    <phoneticPr fontId="1"/>
  </si>
  <si>
    <t>outer応力:Δ-20℃</t>
    <rPh sb="5" eb="7">
      <t>オウリョク</t>
    </rPh>
    <phoneticPr fontId="1"/>
  </si>
  <si>
    <t>outer応力:Δ-10℃</t>
    <rPh sb="5" eb="7">
      <t>オウリョク</t>
    </rPh>
    <phoneticPr fontId="1"/>
  </si>
  <si>
    <t>outer応力:Δ0℃</t>
    <rPh sb="5" eb="7">
      <t>オウリョク</t>
    </rPh>
    <phoneticPr fontId="1"/>
  </si>
  <si>
    <t>outer応力:Δ+10℃</t>
    <rPh sb="5" eb="7">
      <t>オウリョク</t>
    </rPh>
    <phoneticPr fontId="1"/>
  </si>
  <si>
    <t>outer応力:Δ+20℃</t>
    <rPh sb="5" eb="7">
      <t>オウリョク</t>
    </rPh>
    <phoneticPr fontId="1"/>
  </si>
  <si>
    <t>outer応力:Δ+30℃</t>
    <rPh sb="5" eb="7">
      <t>オウリョク</t>
    </rPh>
    <phoneticPr fontId="1"/>
  </si>
  <si>
    <t>inner降伏点</t>
    <rPh sb="5" eb="8">
      <t>コウフクテン</t>
    </rPh>
    <phoneticPr fontId="1"/>
  </si>
  <si>
    <t>outer降伏点</t>
    <rPh sb="5" eb="8">
      <t>コウフクテン</t>
    </rPh>
    <phoneticPr fontId="1"/>
  </si>
  <si>
    <t>慣性によるトルク[Nm]</t>
    <rPh sb="0" eb="2">
      <t>カンセイ</t>
    </rPh>
    <phoneticPr fontId="1"/>
  </si>
  <si>
    <t>慣性による円周方向外力[N]</t>
    <rPh sb="5" eb="9">
      <t>エンシュウホウコウ</t>
    </rPh>
    <rPh sb="9" eb="11">
      <t>ガイリョク</t>
    </rPh>
    <phoneticPr fontId="1"/>
  </si>
  <si>
    <t>慣性による軸方向外力[N]</t>
    <rPh sb="0" eb="2">
      <t>カンセイ</t>
    </rPh>
    <rPh sb="5" eb="8">
      <t>ジクホウコウ</t>
    </rPh>
    <rPh sb="8" eb="10">
      <t>ガイリョク</t>
    </rPh>
    <phoneticPr fontId="1"/>
  </si>
  <si>
    <t>円周の締め代部長さ割合</t>
    <rPh sb="0" eb="2">
      <t>エンシュウ</t>
    </rPh>
    <rPh sb="3" eb="4">
      <t>シ</t>
    </rPh>
    <rPh sb="5" eb="7">
      <t>シロブ</t>
    </rPh>
    <rPh sb="7" eb="8">
      <t>ナガ</t>
    </rPh>
    <rPh sb="9" eb="11">
      <t>ワリアイ</t>
    </rPh>
    <phoneticPr fontId="1"/>
  </si>
  <si>
    <t>実質はめあい径[mm]</t>
    <rPh sb="0" eb="2">
      <t>ジッシツ</t>
    </rPh>
    <rPh sb="6" eb="7">
      <t>ケイ</t>
    </rPh>
    <phoneticPr fontId="1"/>
  </si>
  <si>
    <t>圧入時押し当て面積[mm2]</t>
    <rPh sb="0" eb="3">
      <t>アツニュウジ</t>
    </rPh>
    <rPh sb="3" eb="4">
      <t>オ</t>
    </rPh>
    <rPh sb="5" eb="6">
      <t>ア</t>
    </rPh>
    <rPh sb="7" eb="9">
      <t>メンセキ</t>
    </rPh>
    <phoneticPr fontId="1"/>
  </si>
  <si>
    <t>締め代部面積[mm2]</t>
    <rPh sb="0" eb="1">
      <t>シ</t>
    </rPh>
    <rPh sb="2" eb="4">
      <t>シロブ</t>
    </rPh>
    <rPh sb="4" eb="6">
      <t>メンセキ</t>
    </rPh>
    <phoneticPr fontId="1"/>
  </si>
  <si>
    <t>軸方向の締め代部長さ[mm]</t>
    <rPh sb="0" eb="3">
      <t>ジクホウコウ</t>
    </rPh>
    <rPh sb="4" eb="5">
      <t>シ</t>
    </rPh>
    <rPh sb="6" eb="8">
      <t>シロブ</t>
    </rPh>
    <rPh sb="8" eb="9">
      <t>ナガ</t>
    </rPh>
    <phoneticPr fontId="1"/>
  </si>
  <si>
    <t>Assy Basic Parameter</t>
    <phoneticPr fontId="1"/>
  </si>
  <si>
    <t>External Force</t>
    <phoneticPr fontId="1"/>
  </si>
  <si>
    <t>Inner Part Basic Parameter</t>
    <phoneticPr fontId="1"/>
  </si>
  <si>
    <t>Assembly Dimmensions</t>
    <phoneticPr fontId="1"/>
  </si>
  <si>
    <t>必要押切荷重[kN]</t>
    <rPh sb="0" eb="2">
      <t>ヒツヨウ</t>
    </rPh>
    <rPh sb="2" eb="4">
      <t>オシキリ</t>
    </rPh>
    <rPh sb="4" eb="6">
      <t>カジュウ</t>
    </rPh>
    <phoneticPr fontId="1"/>
  </si>
  <si>
    <t>Outer Part Basic Parameter</t>
    <phoneticPr fontId="1"/>
  </si>
  <si>
    <t>Be Pushed Part Parameter</t>
    <phoneticPr fontId="1"/>
  </si>
  <si>
    <t>Be Pushed Part</t>
    <phoneticPr fontId="1"/>
  </si>
  <si>
    <t>抜け抗力[kN]</t>
    <rPh sb="0" eb="1">
      <t>ヌ</t>
    </rPh>
    <rPh sb="2" eb="4">
      <t>コウリョク</t>
    </rPh>
    <phoneticPr fontId="1"/>
  </si>
  <si>
    <t>抜け抗力安全率[N/N]</t>
    <rPh sb="0" eb="1">
      <t>ヌ</t>
    </rPh>
    <rPh sb="2" eb="4">
      <t>コウリョク</t>
    </rPh>
    <rPh sb="4" eb="7">
      <t>アンゼンリツ</t>
    </rPh>
    <phoneticPr fontId="1"/>
  </si>
  <si>
    <t>円周方向応力安全率(内径部)[Pa/Pa]</t>
    <rPh sb="0" eb="4">
      <t>エンシュウホウコウ</t>
    </rPh>
    <rPh sb="4" eb="6">
      <t>オウリョク</t>
    </rPh>
    <rPh sb="6" eb="9">
      <t>アンゼンリツ</t>
    </rPh>
    <rPh sb="10" eb="13">
      <t>ナイケイブ</t>
    </rPh>
    <phoneticPr fontId="1"/>
  </si>
  <si>
    <t>半径方向応力安全率[Pa/Pa]</t>
    <rPh sb="6" eb="8">
      <t>アンゼン</t>
    </rPh>
    <rPh sb="8" eb="9">
      <t>リツ</t>
    </rPh>
    <phoneticPr fontId="1"/>
  </si>
  <si>
    <t>半径方向応力安全率(常温)[Pa/Pa]</t>
    <rPh sb="0" eb="2">
      <t>ハンケイ</t>
    </rPh>
    <rPh sb="2" eb="4">
      <t>ホウコウ</t>
    </rPh>
    <rPh sb="4" eb="6">
      <t>オウリョク</t>
    </rPh>
    <rPh sb="6" eb="8">
      <t>アンゼン</t>
    </rPh>
    <rPh sb="8" eb="9">
      <t>リツ</t>
    </rPh>
    <rPh sb="10" eb="12">
      <t>ジョウオン</t>
    </rPh>
    <phoneticPr fontId="1"/>
  </si>
  <si>
    <t>半径方向応力安全率(常温)[Pa/Pa]</t>
    <rPh sb="0" eb="4">
      <t>ハンケイホウコウ</t>
    </rPh>
    <rPh sb="4" eb="6">
      <t>オウリョク</t>
    </rPh>
    <rPh sb="6" eb="8">
      <t>アンゼン</t>
    </rPh>
    <rPh sb="8" eb="9">
      <t>リツ</t>
    </rPh>
    <rPh sb="10" eb="12">
      <t>ジョウオン</t>
    </rPh>
    <phoneticPr fontId="1"/>
  </si>
  <si>
    <t>断面二次モーメント[mm4]</t>
    <rPh sb="0" eb="4">
      <t>ダンメンニジ</t>
    </rPh>
    <phoneticPr fontId="1"/>
  </si>
  <si>
    <t>座屈荷重[kN]</t>
    <rPh sb="0" eb="2">
      <t>ザクツ</t>
    </rPh>
    <rPh sb="2" eb="4">
      <t>カジュウ</t>
    </rPh>
    <phoneticPr fontId="1"/>
  </si>
  <si>
    <t>座屈係数</t>
    <rPh sb="0" eb="4">
      <t>ザクツケイスウ</t>
    </rPh>
    <phoneticPr fontId="1"/>
  </si>
  <si>
    <t>両端固定&amp;上端変位可</t>
  </si>
  <si>
    <t>押下点と座面の長さ[mm]</t>
    <rPh sb="0" eb="2">
      <t>オウカ</t>
    </rPh>
    <rPh sb="2" eb="3">
      <t>テン</t>
    </rPh>
    <rPh sb="4" eb="6">
      <t>ザメン</t>
    </rPh>
    <rPh sb="7" eb="8">
      <t>ナガ</t>
    </rPh>
    <phoneticPr fontId="1"/>
  </si>
  <si>
    <t>圧入方法</t>
    <rPh sb="0" eb="2">
      <t>アツニュウ</t>
    </rPh>
    <rPh sb="2" eb="4">
      <t>ホウホウ</t>
    </rPh>
    <phoneticPr fontId="1"/>
  </si>
  <si>
    <t>軸を穴に圧入</t>
    <phoneticPr fontId="1"/>
  </si>
  <si>
    <t>穴を軸に圧入</t>
  </si>
  <si>
    <t>穴を軸に圧入</t>
    <phoneticPr fontId="1"/>
  </si>
  <si>
    <t>サイズ</t>
    <phoneticPr fontId="1"/>
  </si>
  <si>
    <t>OuterTopView</t>
    <phoneticPr fontId="13"/>
  </si>
  <si>
    <t>InnerTopView</t>
    <phoneticPr fontId="13"/>
  </si>
  <si>
    <t>HoleTopView</t>
    <phoneticPr fontId="13"/>
  </si>
  <si>
    <t>ThinView</t>
    <phoneticPr fontId="13"/>
  </si>
  <si>
    <t>名前</t>
    <rPh sb="0" eb="2">
      <t>ナマエ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</si>
</sst>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00"/>
    <numFmt numFmtId="177" formatCode="0.000"/>
    <numFmt numFmtId="178" formatCode="0.000_ "/>
    <numFmt numFmtId="179" formatCode="0.00000"/>
    <numFmt numFmtId="180" formatCode="0.0"/>
    <numFmt numFmtId="181" formatCode="0.000000"/>
    <numFmt numFmtId="182" formatCode="0.0000_ "/>
    <numFmt numFmtId="183" formatCode="0.0_ "/>
    <numFmt numFmtId="184" formatCode="0_ "/>
  </numFmts>
  <fonts count="14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16"/>
      <color theme="1"/>
      <name val="游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name val="游ゴシック"/>
      <family val="2"/>
      <scheme val="minor"/>
    </font>
    <font>
      <sz val="10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5"/>
      <color rgb="FF333333"/>
      <name val="メイリオ"/>
      <family val="3"/>
      <charset val="128"/>
    </font>
    <font>
      <sz val="6"/>
      <name val="游ゴシック"/>
      <family val="2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38">
    <xf numFmtId="0" fontId="0" fillId="0" borderId="0" xfId="0"/>
    <xf numFmtId="0" fontId="0" fillId="2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6" fontId="0" fillId="0" borderId="0" xfId="0" applyNumberFormat="1"/>
    <xf numFmtId="0" fontId="4" fillId="0" borderId="0" xfId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77" fontId="0" fillId="2" borderId="6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177" fontId="3" fillId="2" borderId="6" xfId="0" applyNumberFormat="1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177" fontId="0" fillId="0" borderId="31" xfId="0" applyNumberFormat="1" applyBorder="1" applyAlignment="1">
      <alignment horizontal="center" vertical="center"/>
    </xf>
    <xf numFmtId="1" fontId="0" fillId="0" borderId="31" xfId="0" applyNumberFormat="1" applyBorder="1" applyAlignment="1">
      <alignment horizontal="center" vertical="center"/>
    </xf>
    <xf numFmtId="2" fontId="0" fillId="0" borderId="31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1" fontId="0" fillId="4" borderId="0" xfId="0" applyNumberFormat="1" applyFill="1" applyBorder="1" applyAlignment="1">
      <alignment horizontal="center" vertical="center"/>
    </xf>
    <xf numFmtId="1" fontId="0" fillId="4" borderId="9" xfId="0" applyNumberFormat="1" applyFill="1" applyBorder="1" applyAlignment="1">
      <alignment horizontal="center" vertical="center"/>
    </xf>
    <xf numFmtId="1" fontId="0" fillId="4" borderId="22" xfId="0" applyNumberFormat="1" applyFill="1" applyBorder="1" applyAlignment="1">
      <alignment horizontal="center" vertical="center"/>
    </xf>
    <xf numFmtId="2" fontId="0" fillId="4" borderId="22" xfId="0" applyNumberFormat="1" applyFill="1" applyBorder="1" applyAlignment="1">
      <alignment horizontal="center" vertical="center"/>
    </xf>
    <xf numFmtId="1" fontId="0" fillId="4" borderId="23" xfId="0" applyNumberFormat="1" applyFill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2" borderId="34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0" fontId="0" fillId="0" borderId="1" xfId="0" applyBorder="1"/>
    <xf numFmtId="0" fontId="0" fillId="6" borderId="1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6" borderId="1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0" fillId="6" borderId="0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5" borderId="1" xfId="0" applyFill="1" applyBorder="1" applyAlignment="1">
      <alignment vertical="center"/>
    </xf>
    <xf numFmtId="180" fontId="0" fillId="5" borderId="1" xfId="0" applyNumberFormat="1" applyFill="1" applyBorder="1" applyAlignment="1">
      <alignment vertical="center"/>
    </xf>
    <xf numFmtId="0" fontId="0" fillId="6" borderId="0" xfId="0" applyFill="1" applyBorder="1" applyAlignment="1">
      <alignment vertical="center"/>
    </xf>
    <xf numFmtId="0" fontId="5" fillId="0" borderId="0" xfId="0" applyFont="1" applyAlignment="1">
      <alignment vertical="center"/>
    </xf>
    <xf numFmtId="0" fontId="0" fillId="5" borderId="1" xfId="0" applyFill="1" applyBorder="1" applyAlignment="1">
      <alignment horizontal="center" vertical="center"/>
    </xf>
    <xf numFmtId="180" fontId="0" fillId="5" borderId="1" xfId="0" applyNumberFormat="1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180" fontId="0" fillId="0" borderId="0" xfId="0" applyNumberFormat="1"/>
    <xf numFmtId="2" fontId="0" fillId="0" borderId="0" xfId="0" applyNumberFormat="1"/>
    <xf numFmtId="177" fontId="0" fillId="5" borderId="1" xfId="0" applyNumberFormat="1" applyFill="1" applyBorder="1" applyAlignment="1">
      <alignment horizontal="center" vertical="center"/>
    </xf>
    <xf numFmtId="176" fontId="0" fillId="5" borderId="1" xfId="0" applyNumberFormat="1" applyFill="1" applyBorder="1" applyAlignment="1">
      <alignment horizontal="center" vertical="center"/>
    </xf>
    <xf numFmtId="180" fontId="0" fillId="7" borderId="1" xfId="0" applyNumberFormat="1" applyFill="1" applyBorder="1" applyAlignment="1">
      <alignment horizontal="center" vertical="center"/>
    </xf>
    <xf numFmtId="181" fontId="0" fillId="5" borderId="1" xfId="0" applyNumberFormat="1" applyFill="1" applyBorder="1" applyAlignment="1">
      <alignment horizontal="center" vertical="center"/>
    </xf>
    <xf numFmtId="179" fontId="0" fillId="5" borderId="1" xfId="0" applyNumberFormat="1" applyFill="1" applyBorder="1" applyAlignment="1">
      <alignment horizontal="center" vertical="center"/>
    </xf>
    <xf numFmtId="178" fontId="0" fillId="5" borderId="1" xfId="0" applyNumberFormat="1" applyFill="1" applyBorder="1" applyAlignment="1">
      <alignment horizontal="center" vertical="center"/>
    </xf>
    <xf numFmtId="182" fontId="0" fillId="5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1" fontId="0" fillId="5" borderId="1" xfId="0" applyNumberFormat="1" applyFill="1" applyBorder="1" applyAlignment="1">
      <alignment vertical="center"/>
    </xf>
    <xf numFmtId="177" fontId="0" fillId="5" borderId="1" xfId="0" applyNumberFormat="1" applyFill="1" applyBorder="1" applyAlignment="1">
      <alignment vertical="center"/>
    </xf>
    <xf numFmtId="177" fontId="0" fillId="7" borderId="1" xfId="0" applyNumberFormat="1" applyFill="1" applyBorder="1" applyAlignment="1">
      <alignment vertical="center"/>
    </xf>
    <xf numFmtId="182" fontId="0" fillId="7" borderId="1" xfId="0" applyNumberFormat="1" applyFill="1" applyBorder="1" applyAlignment="1">
      <alignment vertical="center"/>
    </xf>
    <xf numFmtId="181" fontId="0" fillId="5" borderId="1" xfId="0" applyNumberFormat="1" applyFill="1" applyBorder="1" applyAlignment="1">
      <alignment vertical="center"/>
    </xf>
    <xf numFmtId="183" fontId="0" fillId="5" borderId="1" xfId="0" applyNumberFormat="1" applyFill="1" applyBorder="1" applyAlignment="1">
      <alignment vertical="center"/>
    </xf>
    <xf numFmtId="182" fontId="0" fillId="5" borderId="1" xfId="0" applyNumberFormat="1" applyFill="1" applyBorder="1" applyAlignment="1">
      <alignment vertical="center"/>
    </xf>
    <xf numFmtId="178" fontId="0" fillId="5" borderId="1" xfId="0" applyNumberFormat="1" applyFill="1" applyBorder="1" applyAlignment="1">
      <alignment vertical="center"/>
    </xf>
    <xf numFmtId="184" fontId="0" fillId="7" borderId="1" xfId="0" applyNumberFormat="1" applyFill="1" applyBorder="1" applyAlignment="1">
      <alignment vertical="center"/>
    </xf>
    <xf numFmtId="180" fontId="0" fillId="7" borderId="1" xfId="0" applyNumberForma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0" fillId="8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1" fontId="0" fillId="5" borderId="1" xfId="0" applyNumberForma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10" fillId="0" borderId="1" xfId="0" applyFont="1" applyBorder="1" applyAlignment="1">
      <alignment horizontal="right" vertical="center" wrapText="1"/>
    </xf>
    <xf numFmtId="0" fontId="9" fillId="3" borderId="1" xfId="0" applyFont="1" applyFill="1" applyBorder="1" applyAlignment="1">
      <alignment vertical="center" wrapText="1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right" vertical="center" wrapText="1"/>
    </xf>
    <xf numFmtId="0" fontId="2" fillId="3" borderId="1" xfId="0" applyFont="1" applyFill="1" applyBorder="1" applyAlignment="1">
      <alignment horizontal="left" vertical="center" wrapText="1"/>
    </xf>
    <xf numFmtId="0" fontId="0" fillId="6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Continuous"/>
    </xf>
    <xf numFmtId="0" fontId="0" fillId="3" borderId="1" xfId="0" applyFill="1" applyBorder="1" applyAlignment="1">
      <alignment horizontal="centerContinuous" vertical="distributed"/>
    </xf>
    <xf numFmtId="0" fontId="10" fillId="0" borderId="1" xfId="0" applyFont="1" applyFill="1" applyBorder="1" applyAlignment="1">
      <alignment horizontal="righ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right" vertical="center" wrapText="1"/>
    </xf>
    <xf numFmtId="0" fontId="0" fillId="3" borderId="2" xfId="0" applyFill="1" applyBorder="1" applyAlignment="1">
      <alignment horizontal="centerContinuous" vertical="distributed"/>
    </xf>
    <xf numFmtId="0" fontId="10" fillId="0" borderId="2" xfId="0" applyFont="1" applyBorder="1" applyAlignment="1">
      <alignment horizontal="right" vertical="center" wrapText="1"/>
    </xf>
    <xf numFmtId="0" fontId="11" fillId="9" borderId="1" xfId="0" applyFont="1" applyFill="1" applyBorder="1" applyAlignment="1">
      <alignment horizontal="centerContinuous" vertical="center"/>
    </xf>
    <xf numFmtId="0" fontId="0" fillId="0" borderId="39" xfId="0" applyBorder="1" applyAlignment="1"/>
    <xf numFmtId="0" fontId="12" fillId="10" borderId="0" xfId="0" applyFont="1" applyFill="1" applyAlignment="1">
      <alignment horizontal="left" vertical="center" wrapText="1"/>
    </xf>
    <xf numFmtId="0" fontId="0" fillId="3" borderId="40" xfId="0" applyFill="1" applyBorder="1" applyAlignment="1">
      <alignment horizontal="right" vertical="center" wrapText="1"/>
    </xf>
    <xf numFmtId="0" fontId="2" fillId="3" borderId="38" xfId="0" applyFont="1" applyFill="1" applyBorder="1" applyAlignment="1">
      <alignment horizontal="left" vertical="center" wrapText="1"/>
    </xf>
    <xf numFmtId="0" fontId="0" fillId="3" borderId="1" xfId="0" applyFill="1" applyBorder="1"/>
    <xf numFmtId="0" fontId="0" fillId="3" borderId="13" xfId="0" applyFill="1" applyBorder="1" applyAlignment="1">
      <alignment horizontal="centerContinuous" vertical="distributed"/>
    </xf>
    <xf numFmtId="0" fontId="0" fillId="3" borderId="37" xfId="0" applyFill="1" applyBorder="1" applyAlignment="1">
      <alignment horizontal="centerContinuous" vertical="distributed"/>
    </xf>
    <xf numFmtId="0" fontId="2" fillId="3" borderId="13" xfId="0" applyFont="1" applyFill="1" applyBorder="1" applyAlignment="1">
      <alignment horizontal="center" vertical="center" wrapText="1"/>
    </xf>
    <xf numFmtId="0" fontId="10" fillId="0" borderId="13" xfId="0" applyFont="1" applyBorder="1" applyAlignment="1">
      <alignment horizontal="right" vertical="center" wrapText="1"/>
    </xf>
    <xf numFmtId="0" fontId="0" fillId="3" borderId="13" xfId="0" applyFill="1" applyBorder="1" applyAlignment="1">
      <alignment horizontal="centerContinuous"/>
    </xf>
    <xf numFmtId="0" fontId="0" fillId="3" borderId="37" xfId="0" applyFill="1" applyBorder="1" applyAlignment="1">
      <alignment horizontal="centerContinuous"/>
    </xf>
    <xf numFmtId="0" fontId="0" fillId="3" borderId="2" xfId="0" applyFill="1" applyBorder="1" applyAlignment="1">
      <alignment horizontal="centerContinuous"/>
    </xf>
    <xf numFmtId="0" fontId="0" fillId="0" borderId="0" xfId="0" applyBorder="1"/>
    <xf numFmtId="0" fontId="0" fillId="0" borderId="0" xfId="0" applyBorder="1" applyAlignment="1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1" fontId="0" fillId="5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180" fontId="0" fillId="6" borderId="1" xfId="0" applyNumberFormat="1" applyFill="1" applyBorder="1" applyAlignment="1">
      <alignment horizontal="center" vertical="center"/>
    </xf>
    <xf numFmtId="180" fontId="0" fillId="11" borderId="1" xfId="0" applyNumberFormat="1" applyFill="1" applyBorder="1" applyAlignment="1">
      <alignment horizontal="center" vertical="center"/>
    </xf>
    <xf numFmtId="0" fontId="0" fillId="6" borderId="0" xfId="0" applyFill="1" applyAlignment="1">
      <alignment vertical="center"/>
    </xf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177" fontId="0" fillId="0" borderId="0" xfId="0" applyNumberFormat="1"/>
    <xf numFmtId="177" fontId="0" fillId="0" borderId="1" xfId="0" applyNumberFormat="1" applyBorder="1"/>
    <xf numFmtId="177" fontId="0" fillId="0" borderId="1" xfId="0" applyNumberFormat="1" applyBorder="1" applyAlignment="1">
      <alignment horizontal="centerContinuous"/>
    </xf>
    <xf numFmtId="0" fontId="0" fillId="0" borderId="1" xfId="0" applyBorder="1" applyAlignment="1">
      <alignment horizontal="centerContinuous" wrapText="1"/>
    </xf>
    <xf numFmtId="0" fontId="0" fillId="0" borderId="1" xfId="0" applyBorder="1" applyAlignment="1">
      <alignment horizontal="centerContinuous"/>
    </xf>
    <xf numFmtId="0" fontId="0" fillId="0" borderId="1" xfId="0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180" fontId="0" fillId="6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Continuous" vertical="center" shrinkToFit="1"/>
    </xf>
    <xf numFmtId="0" fontId="0" fillId="0" borderId="1" xfId="0" applyBorder="1" applyAlignment="1">
      <alignment horizontal="centerContinuous" vertical="center" shrinkToFit="1"/>
    </xf>
    <xf numFmtId="0" fontId="0" fillId="6" borderId="1" xfId="0" applyFill="1" applyBorder="1" applyAlignment="1">
      <alignment horizontal="centerContinuous" vertical="center" shrinkToFit="1"/>
    </xf>
    <xf numFmtId="0" fontId="0" fillId="6" borderId="0" xfId="0" applyFill="1" applyAlignment="1">
      <alignment horizontal="centerContinuous" vertical="center" shrinkToFit="1"/>
    </xf>
    <xf numFmtId="0" fontId="0" fillId="0" borderId="0" xfId="0" applyBorder="1" applyAlignment="1">
      <alignment horizontal="centerContinuous" vertical="center" shrinkToFit="1"/>
    </xf>
    <xf numFmtId="0" fontId="0" fillId="0" borderId="1" xfId="0" applyBorder="1" applyAlignment="1">
      <alignment horizontal="centerContinuous" shrinkToFit="1"/>
    </xf>
    <xf numFmtId="0" fontId="0" fillId="0" borderId="0" xfId="0" applyAlignment="1">
      <alignment horizontal="centerContinuous" shrinkToFit="1"/>
    </xf>
    <xf numFmtId="0" fontId="0" fillId="0" borderId="1" xfId="0" applyFill="1" applyBorder="1" applyAlignment="1">
      <alignment horizontal="centerContinuous" vertical="center" shrinkToFit="1"/>
    </xf>
    <xf numFmtId="1" fontId="0" fillId="5" borderId="37" xfId="0" applyNumberFormat="1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0" fontId="3" fillId="0" borderId="1" xfId="0" applyFont="1" applyBorder="1" applyAlignment="1">
      <alignment vertical="center"/>
    </xf>
    <xf numFmtId="180" fontId="0" fillId="6" borderId="13" xfId="0" applyNumberFormat="1" applyFill="1" applyBorder="1" applyAlignment="1">
      <alignment horizontal="center"/>
    </xf>
    <xf numFmtId="180" fontId="0" fillId="6" borderId="37" xfId="0" applyNumberFormat="1" applyFill="1" applyBorder="1" applyAlignment="1">
      <alignment horizontal="center"/>
    </xf>
    <xf numFmtId="180" fontId="0" fillId="6" borderId="2" xfId="0" applyNumberFormat="1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2" fontId="0" fillId="5" borderId="37" xfId="0" applyNumberFormat="1" applyFill="1" applyBorder="1" applyAlignment="1">
      <alignment horizontal="center"/>
    </xf>
    <xf numFmtId="2" fontId="0" fillId="5" borderId="2" xfId="0" applyNumberForma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2" fontId="0" fillId="0" borderId="37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37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180" fontId="0" fillId="5" borderId="13" xfId="0" applyNumberFormat="1" applyFill="1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6" borderId="13" xfId="0" applyFill="1" applyBorder="1" applyAlignment="1">
      <alignment horizontal="center" vertical="center"/>
    </xf>
    <xf numFmtId="0" fontId="0" fillId="6" borderId="37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" fontId="0" fillId="5" borderId="13" xfId="0" applyNumberFormat="1" applyFill="1" applyBorder="1" applyAlignment="1">
      <alignment horizontal="center" vertical="center"/>
    </xf>
    <xf numFmtId="1" fontId="0" fillId="5" borderId="37" xfId="0" applyNumberFormat="1" applyFill="1" applyBorder="1" applyAlignment="1">
      <alignment horizontal="center" vertical="center"/>
    </xf>
    <xf numFmtId="1" fontId="0" fillId="5" borderId="2" xfId="0" applyNumberFormat="1" applyFill="1" applyBorder="1" applyAlignment="1">
      <alignment horizontal="center" vertical="center"/>
    </xf>
    <xf numFmtId="0" fontId="0" fillId="3" borderId="38" xfId="0" applyFill="1" applyBorder="1" applyAlignment="1">
      <alignment horizontal="center" vertical="center" textRotation="90"/>
    </xf>
    <xf numFmtId="0" fontId="0" fillId="3" borderId="40" xfId="0" applyFill="1" applyBorder="1" applyAlignment="1">
      <alignment horizontal="center" vertical="center" textRotation="90"/>
    </xf>
    <xf numFmtId="0" fontId="0" fillId="3" borderId="26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74">
    <dxf>
      <font>
        <b/>
        <i/>
        <color rgb="FFC00000"/>
      </font>
    </dxf>
    <dxf>
      <font>
        <b/>
        <i/>
        <color rgb="FFC00000"/>
      </font>
    </dxf>
    <dxf>
      <font>
        <b/>
        <i/>
        <strike val="0"/>
        <color rgb="FFC00000"/>
      </font>
    </dxf>
    <dxf>
      <font>
        <strike val="0"/>
      </font>
      <fill>
        <patternFill>
          <bgColor theme="2" tint="-0.24994659260841701"/>
        </patternFill>
      </fill>
      <border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77" formatCode="0.000"/>
    </dxf>
    <dxf>
      <numFmt numFmtId="177" formatCode="0.000"/>
    </dxf>
    <dxf>
      <numFmt numFmtId="177" formatCode="0.000"/>
    </dxf>
    <dxf>
      <numFmt numFmtId="177" formatCode="0.000"/>
    </dxf>
    <dxf>
      <numFmt numFmtId="177" formatCode="0.000"/>
    </dxf>
    <dxf>
      <numFmt numFmtId="177" formatCode="0.000"/>
    </dxf>
    <dxf>
      <numFmt numFmtId="177" formatCode="0.00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77" formatCode="0.000"/>
    </dxf>
    <dxf>
      <font>
        <color rgb="FFFF0000"/>
      </font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温度 </a:t>
            </a:r>
            <a:r>
              <a:rPr lang="en-US" altLang="ja-JP"/>
              <a:t>vs Inner</a:t>
            </a:r>
            <a:r>
              <a:rPr lang="ja-JP" altLang="en-US"/>
              <a:t>応力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14"/>
          <c:order val="14"/>
          <c:tx>
            <c:strRef>
              <c:f>グラフ!$AC$5</c:f>
              <c:strCache>
                <c:ptCount val="1"/>
                <c:pt idx="0">
                  <c:v>inner応力:Δ-30℃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グラフ!$AC$6:$AC$56</c:f>
              <c:numCache>
                <c:formatCode>0.0</c:formatCode>
                <c:ptCount val="51"/>
                <c:pt idx="0">
                  <c:v>302.16444084778072</c:v>
                </c:pt>
                <c:pt idx="1">
                  <c:v>298.4753433486145</c:v>
                </c:pt>
                <c:pt idx="2">
                  <c:v>294.78624584946107</c:v>
                </c:pt>
                <c:pt idx="3">
                  <c:v>291.09714835030763</c:v>
                </c:pt>
                <c:pt idx="4">
                  <c:v>287.40805085114141</c:v>
                </c:pt>
                <c:pt idx="5">
                  <c:v>283.71895335198803</c:v>
                </c:pt>
                <c:pt idx="6">
                  <c:v>280.0298558528346</c:v>
                </c:pt>
                <c:pt idx="7">
                  <c:v>276.34075835366838</c:v>
                </c:pt>
                <c:pt idx="8">
                  <c:v>272.65166085452779</c:v>
                </c:pt>
                <c:pt idx="9">
                  <c:v>268.96256335537441</c:v>
                </c:pt>
                <c:pt idx="10">
                  <c:v>265.27346585620813</c:v>
                </c:pt>
                <c:pt idx="11">
                  <c:v>261.58436835705476</c:v>
                </c:pt>
                <c:pt idx="12">
                  <c:v>257.89527085788853</c:v>
                </c:pt>
                <c:pt idx="13">
                  <c:v>254.20617335874798</c:v>
                </c:pt>
                <c:pt idx="14">
                  <c:v>250.51707585958169</c:v>
                </c:pt>
                <c:pt idx="15">
                  <c:v>246.82797836044122</c:v>
                </c:pt>
                <c:pt idx="16">
                  <c:v>243.13888086127491</c:v>
                </c:pt>
                <c:pt idx="17">
                  <c:v>239.44978336210866</c:v>
                </c:pt>
                <c:pt idx="18">
                  <c:v>235.76068586296813</c:v>
                </c:pt>
                <c:pt idx="19">
                  <c:v>232.07158836380185</c:v>
                </c:pt>
                <c:pt idx="20">
                  <c:v>228.3824908646356</c:v>
                </c:pt>
                <c:pt idx="21">
                  <c:v>224.6933933654951</c:v>
                </c:pt>
                <c:pt idx="22">
                  <c:v>221.00429586631594</c:v>
                </c:pt>
                <c:pt idx="23">
                  <c:v>217.31519836717538</c:v>
                </c:pt>
                <c:pt idx="24">
                  <c:v>213.62610086800913</c:v>
                </c:pt>
                <c:pt idx="25">
                  <c:v>209.93700336885576</c:v>
                </c:pt>
                <c:pt idx="26">
                  <c:v>206.24790586971525</c:v>
                </c:pt>
                <c:pt idx="27">
                  <c:v>202.558808370549</c:v>
                </c:pt>
                <c:pt idx="28">
                  <c:v>198.86971087140844</c:v>
                </c:pt>
                <c:pt idx="29">
                  <c:v>195.18061337222929</c:v>
                </c:pt>
                <c:pt idx="30">
                  <c:v>191.49151587308879</c:v>
                </c:pt>
                <c:pt idx="31">
                  <c:v>187.80241837392254</c:v>
                </c:pt>
                <c:pt idx="32">
                  <c:v>184.11332087476916</c:v>
                </c:pt>
                <c:pt idx="33">
                  <c:v>180.42422337560288</c:v>
                </c:pt>
                <c:pt idx="34">
                  <c:v>176.73512587644944</c:v>
                </c:pt>
                <c:pt idx="35">
                  <c:v>173.04602837728319</c:v>
                </c:pt>
                <c:pt idx="36">
                  <c:v>169.35693087815554</c:v>
                </c:pt>
                <c:pt idx="37">
                  <c:v>165.66783337900216</c:v>
                </c:pt>
                <c:pt idx="38">
                  <c:v>161.97873587983591</c:v>
                </c:pt>
                <c:pt idx="39">
                  <c:v>158.28963838069538</c:v>
                </c:pt>
                <c:pt idx="40">
                  <c:v>154.60054088151622</c:v>
                </c:pt>
                <c:pt idx="41">
                  <c:v>150.91144338236285</c:v>
                </c:pt>
                <c:pt idx="42">
                  <c:v>147.22234588320944</c:v>
                </c:pt>
                <c:pt idx="43">
                  <c:v>143.53324838404319</c:v>
                </c:pt>
                <c:pt idx="44">
                  <c:v>139.84415088487691</c:v>
                </c:pt>
                <c:pt idx="45">
                  <c:v>136.15505338573641</c:v>
                </c:pt>
                <c:pt idx="46">
                  <c:v>132.46595588658298</c:v>
                </c:pt>
                <c:pt idx="47">
                  <c:v>128.7768583874296</c:v>
                </c:pt>
                <c:pt idx="48">
                  <c:v>125.08776088827622</c:v>
                </c:pt>
                <c:pt idx="49">
                  <c:v>121.39866338912283</c:v>
                </c:pt>
                <c:pt idx="50">
                  <c:v>117.70956588995655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54-40B2-856D-0E15D739D60C}"/>
            </c:ext>
          </c:extLst>
        </c:ser>
        <c:ser>
          <c:idx val="15"/>
          <c:order val="15"/>
          <c:tx>
            <c:strRef>
              <c:f>グラフ!$AD$5</c:f>
              <c:strCache>
                <c:ptCount val="1"/>
                <c:pt idx="0">
                  <c:v>inner応力:Δ-20℃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グラフ!$AD$6:$AD$56</c:f>
              <c:numCache>
                <c:formatCode>0.0</c:formatCode>
                <c:ptCount val="51"/>
                <c:pt idx="0">
                  <c:v>285.08311354817113</c:v>
                </c:pt>
                <c:pt idx="1">
                  <c:v>281.3940160490306</c:v>
                </c:pt>
                <c:pt idx="2">
                  <c:v>277.70491854986426</c:v>
                </c:pt>
                <c:pt idx="3">
                  <c:v>274.01582105069804</c:v>
                </c:pt>
                <c:pt idx="4">
                  <c:v>270.32672355154466</c:v>
                </c:pt>
                <c:pt idx="5">
                  <c:v>266.63762605237838</c:v>
                </c:pt>
                <c:pt idx="6">
                  <c:v>262.94852855323785</c:v>
                </c:pt>
                <c:pt idx="7">
                  <c:v>259.25943105407157</c:v>
                </c:pt>
                <c:pt idx="8">
                  <c:v>255.57033355491816</c:v>
                </c:pt>
                <c:pt idx="9">
                  <c:v>251.88123605577769</c:v>
                </c:pt>
                <c:pt idx="10">
                  <c:v>248.19213855659854</c:v>
                </c:pt>
                <c:pt idx="11">
                  <c:v>244.50304105745801</c:v>
                </c:pt>
                <c:pt idx="12">
                  <c:v>240.81394355829175</c:v>
                </c:pt>
                <c:pt idx="13">
                  <c:v>237.12484605913838</c:v>
                </c:pt>
                <c:pt idx="14">
                  <c:v>233.43574855998494</c:v>
                </c:pt>
                <c:pt idx="15">
                  <c:v>229.74665106083154</c:v>
                </c:pt>
                <c:pt idx="16">
                  <c:v>226.05755356167816</c:v>
                </c:pt>
                <c:pt idx="17">
                  <c:v>222.36845606251191</c:v>
                </c:pt>
                <c:pt idx="18">
                  <c:v>218.67935856335853</c:v>
                </c:pt>
                <c:pt idx="19">
                  <c:v>214.99026106420516</c:v>
                </c:pt>
                <c:pt idx="20">
                  <c:v>211.30116356502597</c:v>
                </c:pt>
                <c:pt idx="21">
                  <c:v>207.61206606588544</c:v>
                </c:pt>
                <c:pt idx="22">
                  <c:v>203.92296856671919</c:v>
                </c:pt>
                <c:pt idx="23">
                  <c:v>200.23387106756581</c:v>
                </c:pt>
                <c:pt idx="24">
                  <c:v>196.54477356841244</c:v>
                </c:pt>
                <c:pt idx="25">
                  <c:v>192.85567606927191</c:v>
                </c:pt>
                <c:pt idx="26">
                  <c:v>189.16657857011847</c:v>
                </c:pt>
                <c:pt idx="27">
                  <c:v>185.47748107093935</c:v>
                </c:pt>
                <c:pt idx="28">
                  <c:v>181.78838357179885</c:v>
                </c:pt>
                <c:pt idx="29">
                  <c:v>178.09928607263259</c:v>
                </c:pt>
                <c:pt idx="30">
                  <c:v>174.41018857347916</c:v>
                </c:pt>
                <c:pt idx="31">
                  <c:v>170.72109107431291</c:v>
                </c:pt>
                <c:pt idx="32">
                  <c:v>167.03199357517238</c:v>
                </c:pt>
                <c:pt idx="33">
                  <c:v>163.34289607599322</c:v>
                </c:pt>
                <c:pt idx="34">
                  <c:v>159.65379857686557</c:v>
                </c:pt>
                <c:pt idx="35">
                  <c:v>155.96470107769932</c:v>
                </c:pt>
                <c:pt idx="36">
                  <c:v>152.27560357854594</c:v>
                </c:pt>
                <c:pt idx="37">
                  <c:v>148.58650607940541</c:v>
                </c:pt>
                <c:pt idx="38">
                  <c:v>144.89740858022626</c:v>
                </c:pt>
                <c:pt idx="39">
                  <c:v>141.20831108108575</c:v>
                </c:pt>
                <c:pt idx="40">
                  <c:v>137.5192135819195</c:v>
                </c:pt>
                <c:pt idx="41">
                  <c:v>133.83011608275319</c:v>
                </c:pt>
                <c:pt idx="42">
                  <c:v>130.14101858359982</c:v>
                </c:pt>
                <c:pt idx="43">
                  <c:v>126.45192108444644</c:v>
                </c:pt>
                <c:pt idx="44">
                  <c:v>122.76282358529303</c:v>
                </c:pt>
                <c:pt idx="45">
                  <c:v>119.07372608613964</c:v>
                </c:pt>
                <c:pt idx="46">
                  <c:v>115.38462858697338</c:v>
                </c:pt>
                <c:pt idx="47">
                  <c:v>111.69553108783286</c:v>
                </c:pt>
                <c:pt idx="48">
                  <c:v>108.00643358866657</c:v>
                </c:pt>
                <c:pt idx="49">
                  <c:v>104.31733608951319</c:v>
                </c:pt>
                <c:pt idx="50">
                  <c:v>100.62823859035981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54-40B2-856D-0E15D739D60C}"/>
            </c:ext>
          </c:extLst>
        </c:ser>
        <c:ser>
          <c:idx val="16"/>
          <c:order val="16"/>
          <c:tx>
            <c:strRef>
              <c:f>グラフ!$AE$5</c:f>
              <c:strCache>
                <c:ptCount val="1"/>
                <c:pt idx="0">
                  <c:v>inner応力:Δ-10℃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グラフ!$AE$6:$AE$56</c:f>
              <c:numCache>
                <c:formatCode>0.0</c:formatCode>
                <c:ptCount val="51"/>
                <c:pt idx="0">
                  <c:v>268.00178624857432</c:v>
                </c:pt>
                <c:pt idx="1">
                  <c:v>264.31268874942094</c:v>
                </c:pt>
                <c:pt idx="2">
                  <c:v>260.62359125026751</c:v>
                </c:pt>
                <c:pt idx="3">
                  <c:v>256.93449375108844</c:v>
                </c:pt>
                <c:pt idx="4">
                  <c:v>253.24539625194791</c:v>
                </c:pt>
                <c:pt idx="5">
                  <c:v>249.55629875278169</c:v>
                </c:pt>
                <c:pt idx="6">
                  <c:v>245.86720125362822</c:v>
                </c:pt>
                <c:pt idx="7">
                  <c:v>242.17810375447482</c:v>
                </c:pt>
                <c:pt idx="8">
                  <c:v>238.4890062553086</c:v>
                </c:pt>
                <c:pt idx="9">
                  <c:v>234.79990875618094</c:v>
                </c:pt>
                <c:pt idx="10">
                  <c:v>231.11081125700179</c:v>
                </c:pt>
                <c:pt idx="11">
                  <c:v>227.42171375784841</c:v>
                </c:pt>
                <c:pt idx="12">
                  <c:v>223.732616258695</c:v>
                </c:pt>
                <c:pt idx="13">
                  <c:v>220.04351875952869</c:v>
                </c:pt>
                <c:pt idx="14">
                  <c:v>216.35442126038822</c:v>
                </c:pt>
                <c:pt idx="15">
                  <c:v>212.66532376123484</c:v>
                </c:pt>
                <c:pt idx="16">
                  <c:v>208.97622626206856</c:v>
                </c:pt>
                <c:pt idx="17">
                  <c:v>205.28712876291516</c:v>
                </c:pt>
                <c:pt idx="18">
                  <c:v>201.59803126374891</c:v>
                </c:pt>
                <c:pt idx="19">
                  <c:v>197.90893376459547</c:v>
                </c:pt>
                <c:pt idx="20">
                  <c:v>194.21983626542922</c:v>
                </c:pt>
                <c:pt idx="21">
                  <c:v>190.53073876627585</c:v>
                </c:pt>
                <c:pt idx="22">
                  <c:v>186.84164126712244</c:v>
                </c:pt>
                <c:pt idx="23">
                  <c:v>183.15254376798194</c:v>
                </c:pt>
                <c:pt idx="24">
                  <c:v>179.46344626881569</c:v>
                </c:pt>
                <c:pt idx="25">
                  <c:v>175.77434876966231</c:v>
                </c:pt>
                <c:pt idx="26">
                  <c:v>172.08525127050888</c:v>
                </c:pt>
                <c:pt idx="27">
                  <c:v>168.3961537713426</c:v>
                </c:pt>
                <c:pt idx="28">
                  <c:v>164.70705627218922</c:v>
                </c:pt>
                <c:pt idx="29">
                  <c:v>161.01795877302297</c:v>
                </c:pt>
                <c:pt idx="30">
                  <c:v>157.32886127388244</c:v>
                </c:pt>
                <c:pt idx="31">
                  <c:v>153.63976377470328</c:v>
                </c:pt>
                <c:pt idx="32">
                  <c:v>149.9506662755885</c:v>
                </c:pt>
                <c:pt idx="33">
                  <c:v>146.26156877640938</c:v>
                </c:pt>
                <c:pt idx="34">
                  <c:v>142.57247127725597</c:v>
                </c:pt>
                <c:pt idx="35">
                  <c:v>138.88337377810259</c:v>
                </c:pt>
                <c:pt idx="36">
                  <c:v>135.19427627893631</c:v>
                </c:pt>
                <c:pt idx="37">
                  <c:v>131.50517877979578</c:v>
                </c:pt>
                <c:pt idx="38">
                  <c:v>127.81608128062953</c:v>
                </c:pt>
                <c:pt idx="39">
                  <c:v>124.12698378147613</c:v>
                </c:pt>
                <c:pt idx="40">
                  <c:v>120.43788628230986</c:v>
                </c:pt>
                <c:pt idx="41">
                  <c:v>116.74878878315647</c:v>
                </c:pt>
                <c:pt idx="42">
                  <c:v>113.05969128401597</c:v>
                </c:pt>
                <c:pt idx="43">
                  <c:v>109.37059378484969</c:v>
                </c:pt>
                <c:pt idx="44">
                  <c:v>105.68149628568342</c:v>
                </c:pt>
                <c:pt idx="45">
                  <c:v>101.99239878654289</c:v>
                </c:pt>
                <c:pt idx="46">
                  <c:v>98.303301287363752</c:v>
                </c:pt>
                <c:pt idx="47">
                  <c:v>94.614203788223236</c:v>
                </c:pt>
                <c:pt idx="48">
                  <c:v>90.925106289069845</c:v>
                </c:pt>
                <c:pt idx="49">
                  <c:v>87.236008789903579</c:v>
                </c:pt>
                <c:pt idx="50">
                  <c:v>83.546911290750174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54-40B2-856D-0E15D739D60C}"/>
            </c:ext>
          </c:extLst>
        </c:ser>
        <c:ser>
          <c:idx val="17"/>
          <c:order val="17"/>
          <c:tx>
            <c:strRef>
              <c:f>グラフ!$AF$5</c:f>
              <c:strCache>
                <c:ptCount val="1"/>
                <c:pt idx="0">
                  <c:v>inner応力:Δ0℃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グラフ!$AF$6:$AF$56</c:f>
              <c:numCache>
                <c:formatCode>0.0</c:formatCode>
                <c:ptCount val="51"/>
                <c:pt idx="0">
                  <c:v>250.92045894897757</c:v>
                </c:pt>
                <c:pt idx="1">
                  <c:v>247.23136144981132</c:v>
                </c:pt>
                <c:pt idx="2">
                  <c:v>243.54226395067082</c:v>
                </c:pt>
                <c:pt idx="3">
                  <c:v>239.85316645149172</c:v>
                </c:pt>
                <c:pt idx="4">
                  <c:v>236.16406895233823</c:v>
                </c:pt>
                <c:pt idx="5">
                  <c:v>232.47497145318485</c:v>
                </c:pt>
                <c:pt idx="6">
                  <c:v>228.78587395401863</c:v>
                </c:pt>
                <c:pt idx="7">
                  <c:v>225.0967764548781</c:v>
                </c:pt>
                <c:pt idx="8">
                  <c:v>221.40767895571184</c:v>
                </c:pt>
                <c:pt idx="9">
                  <c:v>217.71858145657131</c:v>
                </c:pt>
                <c:pt idx="10">
                  <c:v>214.02948395740503</c:v>
                </c:pt>
                <c:pt idx="11">
                  <c:v>210.34038645823875</c:v>
                </c:pt>
                <c:pt idx="12">
                  <c:v>206.65128895909825</c:v>
                </c:pt>
                <c:pt idx="13">
                  <c:v>202.962191459932</c:v>
                </c:pt>
                <c:pt idx="14">
                  <c:v>199.27309396077857</c:v>
                </c:pt>
                <c:pt idx="15">
                  <c:v>195.58399646163809</c:v>
                </c:pt>
                <c:pt idx="16">
                  <c:v>191.89489896245894</c:v>
                </c:pt>
                <c:pt idx="17">
                  <c:v>188.20580146330553</c:v>
                </c:pt>
                <c:pt idx="18">
                  <c:v>184.51670396415216</c:v>
                </c:pt>
                <c:pt idx="19">
                  <c:v>180.82760646498585</c:v>
                </c:pt>
                <c:pt idx="20">
                  <c:v>177.13850896583247</c:v>
                </c:pt>
                <c:pt idx="21">
                  <c:v>173.44941146669197</c:v>
                </c:pt>
                <c:pt idx="22">
                  <c:v>169.76031396752572</c:v>
                </c:pt>
                <c:pt idx="23">
                  <c:v>166.07121646837234</c:v>
                </c:pt>
                <c:pt idx="24">
                  <c:v>162.38211896920603</c:v>
                </c:pt>
                <c:pt idx="25">
                  <c:v>158.69302147006553</c:v>
                </c:pt>
                <c:pt idx="26">
                  <c:v>155.00392397089925</c:v>
                </c:pt>
                <c:pt idx="27">
                  <c:v>151.314826471733</c:v>
                </c:pt>
                <c:pt idx="28">
                  <c:v>147.62572897259247</c:v>
                </c:pt>
                <c:pt idx="29">
                  <c:v>143.93663147341331</c:v>
                </c:pt>
                <c:pt idx="30">
                  <c:v>140.24753397429853</c:v>
                </c:pt>
                <c:pt idx="31">
                  <c:v>136.55843647511941</c:v>
                </c:pt>
                <c:pt idx="32">
                  <c:v>132.86933897597891</c:v>
                </c:pt>
                <c:pt idx="33">
                  <c:v>129.18024147681263</c:v>
                </c:pt>
                <c:pt idx="34">
                  <c:v>125.49114397764636</c:v>
                </c:pt>
                <c:pt idx="35">
                  <c:v>121.80204647849295</c:v>
                </c:pt>
                <c:pt idx="36">
                  <c:v>118.11294897933958</c:v>
                </c:pt>
                <c:pt idx="37">
                  <c:v>114.42385148018617</c:v>
                </c:pt>
                <c:pt idx="38">
                  <c:v>110.73475398101989</c:v>
                </c:pt>
                <c:pt idx="39">
                  <c:v>107.04565648187939</c:v>
                </c:pt>
                <c:pt idx="40">
                  <c:v>103.35655898272599</c:v>
                </c:pt>
                <c:pt idx="41">
                  <c:v>99.667461483559734</c:v>
                </c:pt>
                <c:pt idx="42">
                  <c:v>95.978363984406329</c:v>
                </c:pt>
                <c:pt idx="43">
                  <c:v>92.289266485252938</c:v>
                </c:pt>
                <c:pt idx="44">
                  <c:v>88.600168986073811</c:v>
                </c:pt>
                <c:pt idx="45">
                  <c:v>84.911071486933267</c:v>
                </c:pt>
                <c:pt idx="46">
                  <c:v>81.221973987767015</c:v>
                </c:pt>
                <c:pt idx="47">
                  <c:v>77.532876488613624</c:v>
                </c:pt>
                <c:pt idx="48">
                  <c:v>73.843778989460219</c:v>
                </c:pt>
                <c:pt idx="49">
                  <c:v>70.154681490306828</c:v>
                </c:pt>
                <c:pt idx="50">
                  <c:v>66.465583991166312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54-40B2-856D-0E15D739D60C}"/>
            </c:ext>
          </c:extLst>
        </c:ser>
        <c:ser>
          <c:idx val="18"/>
          <c:order val="18"/>
          <c:tx>
            <c:strRef>
              <c:f>グラフ!$AG$5</c:f>
              <c:strCache>
                <c:ptCount val="1"/>
                <c:pt idx="0">
                  <c:v>inner応力:Δ+10℃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グラフ!$AG$6:$AG$56</c:f>
              <c:numCache>
                <c:formatCode>0.0</c:formatCode>
                <c:ptCount val="51"/>
                <c:pt idx="0">
                  <c:v>233.83913164938087</c:v>
                </c:pt>
                <c:pt idx="1">
                  <c:v>230.15003415021457</c:v>
                </c:pt>
                <c:pt idx="2">
                  <c:v>226.46093665106119</c:v>
                </c:pt>
                <c:pt idx="3">
                  <c:v>222.77183915189491</c:v>
                </c:pt>
                <c:pt idx="4">
                  <c:v>219.08274165272869</c:v>
                </c:pt>
                <c:pt idx="5">
                  <c:v>215.39364415358813</c:v>
                </c:pt>
                <c:pt idx="6">
                  <c:v>211.70454665442185</c:v>
                </c:pt>
                <c:pt idx="7">
                  <c:v>208.01544915526847</c:v>
                </c:pt>
                <c:pt idx="8">
                  <c:v>204.32635165611509</c:v>
                </c:pt>
                <c:pt idx="9">
                  <c:v>200.63725415696172</c:v>
                </c:pt>
                <c:pt idx="10">
                  <c:v>196.94815665780831</c:v>
                </c:pt>
                <c:pt idx="11">
                  <c:v>193.259059158642</c:v>
                </c:pt>
                <c:pt idx="12">
                  <c:v>189.56996165948863</c:v>
                </c:pt>
                <c:pt idx="13">
                  <c:v>185.88086416033525</c:v>
                </c:pt>
                <c:pt idx="14">
                  <c:v>182.191766661169</c:v>
                </c:pt>
                <c:pt idx="15">
                  <c:v>178.5026691620285</c:v>
                </c:pt>
                <c:pt idx="16">
                  <c:v>174.81357166286216</c:v>
                </c:pt>
                <c:pt idx="17">
                  <c:v>171.12447416369591</c:v>
                </c:pt>
                <c:pt idx="18">
                  <c:v>167.43537666455541</c:v>
                </c:pt>
                <c:pt idx="19">
                  <c:v>163.74627916540203</c:v>
                </c:pt>
                <c:pt idx="20">
                  <c:v>160.05718166623575</c:v>
                </c:pt>
                <c:pt idx="21">
                  <c:v>156.36808416708234</c:v>
                </c:pt>
                <c:pt idx="22">
                  <c:v>152.67898666791606</c:v>
                </c:pt>
                <c:pt idx="23">
                  <c:v>148.98988916877556</c:v>
                </c:pt>
                <c:pt idx="24">
                  <c:v>145.30079166959641</c:v>
                </c:pt>
                <c:pt idx="25">
                  <c:v>141.61169417045588</c:v>
                </c:pt>
                <c:pt idx="26">
                  <c:v>137.9225966713025</c:v>
                </c:pt>
                <c:pt idx="27">
                  <c:v>134.23349917212335</c:v>
                </c:pt>
                <c:pt idx="28">
                  <c:v>130.54440167300859</c:v>
                </c:pt>
                <c:pt idx="29">
                  <c:v>126.85530417382945</c:v>
                </c:pt>
                <c:pt idx="30">
                  <c:v>123.16620667468892</c:v>
                </c:pt>
                <c:pt idx="31">
                  <c:v>119.47710917552267</c:v>
                </c:pt>
                <c:pt idx="32">
                  <c:v>115.78801167636925</c:v>
                </c:pt>
                <c:pt idx="33">
                  <c:v>112.09891417720301</c:v>
                </c:pt>
                <c:pt idx="34">
                  <c:v>108.40981667804962</c:v>
                </c:pt>
                <c:pt idx="35">
                  <c:v>104.72071917888334</c:v>
                </c:pt>
                <c:pt idx="36">
                  <c:v>101.03162167972997</c:v>
                </c:pt>
                <c:pt idx="37">
                  <c:v>97.342524180589436</c:v>
                </c:pt>
                <c:pt idx="38">
                  <c:v>93.653426681436031</c:v>
                </c:pt>
                <c:pt idx="39">
                  <c:v>89.96432918228264</c:v>
                </c:pt>
                <c:pt idx="40">
                  <c:v>86.275231683116374</c:v>
                </c:pt>
                <c:pt idx="41">
                  <c:v>82.586134183962983</c:v>
                </c:pt>
                <c:pt idx="42">
                  <c:v>78.897036684796717</c:v>
                </c:pt>
                <c:pt idx="43">
                  <c:v>75.207939185643312</c:v>
                </c:pt>
                <c:pt idx="44">
                  <c:v>71.518841686477046</c:v>
                </c:pt>
                <c:pt idx="45">
                  <c:v>67.829744187323655</c:v>
                </c:pt>
                <c:pt idx="46">
                  <c:v>64.140646688157389</c:v>
                </c:pt>
                <c:pt idx="47">
                  <c:v>60.45154918901688</c:v>
                </c:pt>
                <c:pt idx="48">
                  <c:v>56.762451689876357</c:v>
                </c:pt>
                <c:pt idx="49">
                  <c:v>53.073354190710091</c:v>
                </c:pt>
                <c:pt idx="50">
                  <c:v>49.384256691556686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054-40B2-856D-0E15D739D60C}"/>
            </c:ext>
          </c:extLst>
        </c:ser>
        <c:ser>
          <c:idx val="19"/>
          <c:order val="19"/>
          <c:tx>
            <c:strRef>
              <c:f>グラフ!$AH$5</c:f>
              <c:strCache>
                <c:ptCount val="1"/>
                <c:pt idx="0">
                  <c:v>inner応力:Δ+20℃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グラフ!$AH$6:$AH$56</c:f>
              <c:numCache>
                <c:formatCode>0.0</c:formatCode>
                <c:ptCount val="51"/>
                <c:pt idx="0">
                  <c:v>216.75780434977125</c:v>
                </c:pt>
                <c:pt idx="1">
                  <c:v>213.06870685061787</c:v>
                </c:pt>
                <c:pt idx="2">
                  <c:v>209.37960935145156</c:v>
                </c:pt>
                <c:pt idx="3">
                  <c:v>205.69051185229819</c:v>
                </c:pt>
                <c:pt idx="4">
                  <c:v>202.00141435313188</c:v>
                </c:pt>
                <c:pt idx="5">
                  <c:v>198.3123168539785</c:v>
                </c:pt>
                <c:pt idx="6">
                  <c:v>194.62321935482512</c:v>
                </c:pt>
                <c:pt idx="7">
                  <c:v>190.93412185565887</c:v>
                </c:pt>
                <c:pt idx="8">
                  <c:v>187.24502435651834</c:v>
                </c:pt>
                <c:pt idx="9">
                  <c:v>183.55592685736494</c:v>
                </c:pt>
                <c:pt idx="10">
                  <c:v>179.86682935819866</c:v>
                </c:pt>
                <c:pt idx="11">
                  <c:v>176.17773185904528</c:v>
                </c:pt>
                <c:pt idx="12">
                  <c:v>172.48863435987903</c:v>
                </c:pt>
                <c:pt idx="13">
                  <c:v>168.79953686072562</c:v>
                </c:pt>
                <c:pt idx="14">
                  <c:v>165.11043936157225</c:v>
                </c:pt>
                <c:pt idx="15">
                  <c:v>161.42134186241881</c:v>
                </c:pt>
                <c:pt idx="16">
                  <c:v>157.73224436326544</c:v>
                </c:pt>
                <c:pt idx="17">
                  <c:v>154.04314686411203</c:v>
                </c:pt>
                <c:pt idx="18">
                  <c:v>150.35404936495866</c:v>
                </c:pt>
                <c:pt idx="19">
                  <c:v>146.6649518657924</c:v>
                </c:pt>
                <c:pt idx="20">
                  <c:v>142.97585436662612</c:v>
                </c:pt>
                <c:pt idx="21">
                  <c:v>139.28675686748559</c:v>
                </c:pt>
                <c:pt idx="22">
                  <c:v>135.59765936830644</c:v>
                </c:pt>
                <c:pt idx="23">
                  <c:v>131.90856186916594</c:v>
                </c:pt>
                <c:pt idx="24">
                  <c:v>128.21946436999968</c:v>
                </c:pt>
                <c:pt idx="25">
                  <c:v>124.53036687084629</c:v>
                </c:pt>
                <c:pt idx="26">
                  <c:v>120.84126937171864</c:v>
                </c:pt>
                <c:pt idx="27">
                  <c:v>117.15217187253948</c:v>
                </c:pt>
                <c:pt idx="28">
                  <c:v>113.46307437339897</c:v>
                </c:pt>
                <c:pt idx="29">
                  <c:v>109.77397687423272</c:v>
                </c:pt>
                <c:pt idx="30">
                  <c:v>106.0848793750793</c:v>
                </c:pt>
                <c:pt idx="31">
                  <c:v>102.39578187591306</c:v>
                </c:pt>
                <c:pt idx="32">
                  <c:v>98.706684376772529</c:v>
                </c:pt>
                <c:pt idx="33">
                  <c:v>95.017586877593388</c:v>
                </c:pt>
                <c:pt idx="34">
                  <c:v>91.328489378439983</c:v>
                </c:pt>
                <c:pt idx="35">
                  <c:v>87.639391879286606</c:v>
                </c:pt>
                <c:pt idx="36">
                  <c:v>83.950294380146076</c:v>
                </c:pt>
                <c:pt idx="37">
                  <c:v>80.261196880992685</c:v>
                </c:pt>
                <c:pt idx="38">
                  <c:v>76.572099381826419</c:v>
                </c:pt>
                <c:pt idx="39">
                  <c:v>72.883001882685889</c:v>
                </c:pt>
                <c:pt idx="40">
                  <c:v>69.193904383506762</c:v>
                </c:pt>
                <c:pt idx="41">
                  <c:v>65.504806884353357</c:v>
                </c:pt>
                <c:pt idx="42">
                  <c:v>61.815709385199966</c:v>
                </c:pt>
                <c:pt idx="43">
                  <c:v>58.126611886033707</c:v>
                </c:pt>
                <c:pt idx="44">
                  <c:v>54.437514386867434</c:v>
                </c:pt>
                <c:pt idx="45">
                  <c:v>50.748416887726911</c:v>
                </c:pt>
                <c:pt idx="46">
                  <c:v>47.05931938857352</c:v>
                </c:pt>
                <c:pt idx="47">
                  <c:v>43.370221889420122</c:v>
                </c:pt>
                <c:pt idx="48">
                  <c:v>39.681124390266724</c:v>
                </c:pt>
                <c:pt idx="49">
                  <c:v>35.992026891113333</c:v>
                </c:pt>
                <c:pt idx="50">
                  <c:v>32.302929391947075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054-40B2-856D-0E15D739D60C}"/>
            </c:ext>
          </c:extLst>
        </c:ser>
        <c:ser>
          <c:idx val="20"/>
          <c:order val="20"/>
          <c:tx>
            <c:strRef>
              <c:f>グラフ!$AI$5</c:f>
              <c:strCache>
                <c:ptCount val="1"/>
                <c:pt idx="0">
                  <c:v>inner応力:Δ+30℃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グラフ!$AI$6:$AI$56</c:f>
              <c:numCache>
                <c:formatCode>0.0</c:formatCode>
                <c:ptCount val="51"/>
                <c:pt idx="0">
                  <c:v>199.67647705016159</c:v>
                </c:pt>
                <c:pt idx="1">
                  <c:v>195.98737955102106</c:v>
                </c:pt>
                <c:pt idx="2">
                  <c:v>192.29828205185481</c:v>
                </c:pt>
                <c:pt idx="3">
                  <c:v>188.60918455268856</c:v>
                </c:pt>
                <c:pt idx="4">
                  <c:v>184.92008705353518</c:v>
                </c:pt>
                <c:pt idx="5">
                  <c:v>181.23098955436893</c:v>
                </c:pt>
                <c:pt idx="6">
                  <c:v>177.54189205522837</c:v>
                </c:pt>
                <c:pt idx="7">
                  <c:v>173.85279455606209</c:v>
                </c:pt>
                <c:pt idx="8">
                  <c:v>170.16369705690872</c:v>
                </c:pt>
                <c:pt idx="9">
                  <c:v>166.47459955776822</c:v>
                </c:pt>
                <c:pt idx="10">
                  <c:v>162.78550205858906</c:v>
                </c:pt>
                <c:pt idx="11">
                  <c:v>159.09640455943568</c:v>
                </c:pt>
                <c:pt idx="12">
                  <c:v>155.40730706028228</c:v>
                </c:pt>
                <c:pt idx="13">
                  <c:v>151.718209561116</c:v>
                </c:pt>
                <c:pt idx="14">
                  <c:v>148.02911206197547</c:v>
                </c:pt>
                <c:pt idx="15">
                  <c:v>144.34001456283497</c:v>
                </c:pt>
                <c:pt idx="16">
                  <c:v>140.65091706366871</c:v>
                </c:pt>
                <c:pt idx="17">
                  <c:v>136.96181956450243</c:v>
                </c:pt>
                <c:pt idx="18">
                  <c:v>133.27272206534903</c:v>
                </c:pt>
                <c:pt idx="19">
                  <c:v>129.58362456619562</c:v>
                </c:pt>
                <c:pt idx="20">
                  <c:v>125.89452706701651</c:v>
                </c:pt>
                <c:pt idx="21">
                  <c:v>122.20542956787598</c:v>
                </c:pt>
                <c:pt idx="22">
                  <c:v>118.51633206870972</c:v>
                </c:pt>
                <c:pt idx="23">
                  <c:v>114.82723456955634</c:v>
                </c:pt>
                <c:pt idx="24">
                  <c:v>111.13813707041581</c:v>
                </c:pt>
                <c:pt idx="25">
                  <c:v>107.44903957126239</c:v>
                </c:pt>
                <c:pt idx="26">
                  <c:v>103.75994207210901</c:v>
                </c:pt>
                <c:pt idx="27">
                  <c:v>100.07084457294276</c:v>
                </c:pt>
                <c:pt idx="28">
                  <c:v>96.381747073789342</c:v>
                </c:pt>
                <c:pt idx="29">
                  <c:v>92.692649574623076</c:v>
                </c:pt>
                <c:pt idx="30">
                  <c:v>89.003552075482574</c:v>
                </c:pt>
                <c:pt idx="31">
                  <c:v>85.314454576303405</c:v>
                </c:pt>
                <c:pt idx="32">
                  <c:v>81.625357077162889</c:v>
                </c:pt>
                <c:pt idx="33">
                  <c:v>77.936259577996637</c:v>
                </c:pt>
                <c:pt idx="34">
                  <c:v>74.247162078856107</c:v>
                </c:pt>
                <c:pt idx="35">
                  <c:v>70.558064579689855</c:v>
                </c:pt>
                <c:pt idx="36">
                  <c:v>66.86896708053645</c:v>
                </c:pt>
                <c:pt idx="37">
                  <c:v>63.179869581395934</c:v>
                </c:pt>
                <c:pt idx="38">
                  <c:v>59.490772082216793</c:v>
                </c:pt>
                <c:pt idx="39">
                  <c:v>55.801674583076277</c:v>
                </c:pt>
                <c:pt idx="40">
                  <c:v>52.112577083910011</c:v>
                </c:pt>
                <c:pt idx="41">
                  <c:v>48.423479584743752</c:v>
                </c:pt>
                <c:pt idx="42">
                  <c:v>44.734382085590347</c:v>
                </c:pt>
                <c:pt idx="43">
                  <c:v>41.045284586436956</c:v>
                </c:pt>
                <c:pt idx="44">
                  <c:v>37.356187087283558</c:v>
                </c:pt>
                <c:pt idx="45">
                  <c:v>33.667089588130167</c:v>
                </c:pt>
                <c:pt idx="46">
                  <c:v>29.977992088963902</c:v>
                </c:pt>
                <c:pt idx="47">
                  <c:v>26.288894589823379</c:v>
                </c:pt>
                <c:pt idx="48">
                  <c:v>22.599797090657116</c:v>
                </c:pt>
                <c:pt idx="49">
                  <c:v>18.910699591503718</c:v>
                </c:pt>
                <c:pt idx="50">
                  <c:v>15.221602092350325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054-40B2-856D-0E15D739D60C}"/>
            </c:ext>
          </c:extLst>
        </c:ser>
        <c:ser>
          <c:idx val="21"/>
          <c:order val="21"/>
          <c:tx>
            <c:strRef>
              <c:f>グラフ!$AJ$5</c:f>
              <c:strCache>
                <c:ptCount val="1"/>
                <c:pt idx="0">
                  <c:v>inner降伏点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グラフ!$AJ$6:$AJ$56</c:f>
              <c:numCache>
                <c:formatCode>0.0</c:formatCode>
                <c:ptCount val="51"/>
                <c:pt idx="0">
                  <c:v>345</c:v>
                </c:pt>
                <c:pt idx="1">
                  <c:v>345</c:v>
                </c:pt>
                <c:pt idx="2">
                  <c:v>345</c:v>
                </c:pt>
                <c:pt idx="3">
                  <c:v>345</c:v>
                </c:pt>
                <c:pt idx="4">
                  <c:v>345</c:v>
                </c:pt>
                <c:pt idx="5">
                  <c:v>345</c:v>
                </c:pt>
                <c:pt idx="6">
                  <c:v>345</c:v>
                </c:pt>
                <c:pt idx="7">
                  <c:v>345</c:v>
                </c:pt>
                <c:pt idx="8">
                  <c:v>345</c:v>
                </c:pt>
                <c:pt idx="9">
                  <c:v>345</c:v>
                </c:pt>
                <c:pt idx="10">
                  <c:v>345</c:v>
                </c:pt>
                <c:pt idx="11">
                  <c:v>345</c:v>
                </c:pt>
                <c:pt idx="12">
                  <c:v>345</c:v>
                </c:pt>
                <c:pt idx="13">
                  <c:v>345</c:v>
                </c:pt>
                <c:pt idx="14">
                  <c:v>345</c:v>
                </c:pt>
                <c:pt idx="15">
                  <c:v>345</c:v>
                </c:pt>
                <c:pt idx="16">
                  <c:v>345</c:v>
                </c:pt>
                <c:pt idx="17">
                  <c:v>345</c:v>
                </c:pt>
                <c:pt idx="18">
                  <c:v>345</c:v>
                </c:pt>
                <c:pt idx="19">
                  <c:v>345</c:v>
                </c:pt>
                <c:pt idx="20">
                  <c:v>345</c:v>
                </c:pt>
                <c:pt idx="21">
                  <c:v>345</c:v>
                </c:pt>
                <c:pt idx="22">
                  <c:v>345</c:v>
                </c:pt>
                <c:pt idx="23">
                  <c:v>345</c:v>
                </c:pt>
                <c:pt idx="24">
                  <c:v>345</c:v>
                </c:pt>
                <c:pt idx="25">
                  <c:v>345</c:v>
                </c:pt>
                <c:pt idx="26">
                  <c:v>345</c:v>
                </c:pt>
                <c:pt idx="27">
                  <c:v>345</c:v>
                </c:pt>
                <c:pt idx="28">
                  <c:v>345</c:v>
                </c:pt>
                <c:pt idx="29">
                  <c:v>345</c:v>
                </c:pt>
                <c:pt idx="30">
                  <c:v>345</c:v>
                </c:pt>
                <c:pt idx="31">
                  <c:v>345</c:v>
                </c:pt>
                <c:pt idx="32">
                  <c:v>345</c:v>
                </c:pt>
                <c:pt idx="33">
                  <c:v>345</c:v>
                </c:pt>
                <c:pt idx="34">
                  <c:v>345</c:v>
                </c:pt>
                <c:pt idx="35">
                  <c:v>345</c:v>
                </c:pt>
                <c:pt idx="36">
                  <c:v>345</c:v>
                </c:pt>
                <c:pt idx="37">
                  <c:v>345</c:v>
                </c:pt>
                <c:pt idx="38">
                  <c:v>345</c:v>
                </c:pt>
                <c:pt idx="39">
                  <c:v>345</c:v>
                </c:pt>
                <c:pt idx="40">
                  <c:v>345</c:v>
                </c:pt>
                <c:pt idx="41">
                  <c:v>345</c:v>
                </c:pt>
                <c:pt idx="42">
                  <c:v>345</c:v>
                </c:pt>
                <c:pt idx="43">
                  <c:v>345</c:v>
                </c:pt>
                <c:pt idx="44">
                  <c:v>345</c:v>
                </c:pt>
                <c:pt idx="45">
                  <c:v>345</c:v>
                </c:pt>
                <c:pt idx="46">
                  <c:v>345</c:v>
                </c:pt>
                <c:pt idx="47">
                  <c:v>345</c:v>
                </c:pt>
                <c:pt idx="48">
                  <c:v>345</c:v>
                </c:pt>
                <c:pt idx="49">
                  <c:v>345</c:v>
                </c:pt>
                <c:pt idx="50">
                  <c:v>345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0054-40B2-856D-0E15D739D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8419104"/>
        <c:axId val="18784012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グラフ!$O$5</c15:sqref>
                        </c15:formulaRef>
                      </c:ext>
                    </c:extLst>
                    <c:strCache>
                      <c:ptCount val="1"/>
                      <c:pt idx="0">
                        <c:v>締め代：Δ-30℃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グラフ!$O$6:$O$56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0.16679667000000364</c:v>
                      </c:pt>
                      <c:pt idx="1">
                        <c:v>0.16476026499999818</c:v>
                      </c:pt>
                      <c:pt idx="2">
                        <c:v>0.16272385999999983</c:v>
                      </c:pt>
                      <c:pt idx="3">
                        <c:v>0.16068745500000148</c:v>
                      </c:pt>
                      <c:pt idx="4">
                        <c:v>0.15865104999999602</c:v>
                      </c:pt>
                      <c:pt idx="5">
                        <c:v>0.15661464499999767</c:v>
                      </c:pt>
                      <c:pt idx="6">
                        <c:v>0.15457823999999931</c:v>
                      </c:pt>
                      <c:pt idx="7">
                        <c:v>0.15254183499999385</c:v>
                      </c:pt>
                      <c:pt idx="8">
                        <c:v>0.1505054300000026</c:v>
                      </c:pt>
                      <c:pt idx="9">
                        <c:v>0.14846902500000425</c:v>
                      </c:pt>
                      <c:pt idx="10">
                        <c:v>0.14643261999999879</c:v>
                      </c:pt>
                      <c:pt idx="11">
                        <c:v>0.14439621500000044</c:v>
                      </c:pt>
                      <c:pt idx="12">
                        <c:v>0.14235980999999498</c:v>
                      </c:pt>
                      <c:pt idx="13">
                        <c:v>0.14032340500000373</c:v>
                      </c:pt>
                      <c:pt idx="14">
                        <c:v>0.13828699999999827</c:v>
                      </c:pt>
                      <c:pt idx="15">
                        <c:v>0.13625059500000702</c:v>
                      </c:pt>
                      <c:pt idx="16">
                        <c:v>0.13421419000000157</c:v>
                      </c:pt>
                      <c:pt idx="17">
                        <c:v>0.13217778499999611</c:v>
                      </c:pt>
                      <c:pt idx="18">
                        <c:v>0.13014138000000486</c:v>
                      </c:pt>
                      <c:pt idx="19">
                        <c:v>0.1281049749999994</c:v>
                      </c:pt>
                      <c:pt idx="20">
                        <c:v>0.12606856999999394</c:v>
                      </c:pt>
                      <c:pt idx="21">
                        <c:v>0.12403216500000269</c:v>
                      </c:pt>
                      <c:pt idx="22">
                        <c:v>0.12199575999999013</c:v>
                      </c:pt>
                      <c:pt idx="23">
                        <c:v>0.11995935499999888</c:v>
                      </c:pt>
                      <c:pt idx="24">
                        <c:v>0.11792294999999342</c:v>
                      </c:pt>
                      <c:pt idx="25">
                        <c:v>0.11588654499999507</c:v>
                      </c:pt>
                      <c:pt idx="26">
                        <c:v>0.11385014000000382</c:v>
                      </c:pt>
                      <c:pt idx="27">
                        <c:v>0.11181373499999836</c:v>
                      </c:pt>
                      <c:pt idx="28">
                        <c:v>0.10977733000000711</c:v>
                      </c:pt>
                      <c:pt idx="29">
                        <c:v>0.10774092499999455</c:v>
                      </c:pt>
                      <c:pt idx="30">
                        <c:v>0.1057045200000033</c:v>
                      </c:pt>
                      <c:pt idx="31">
                        <c:v>0.10366811499999784</c:v>
                      </c:pt>
                      <c:pt idx="32">
                        <c:v>0.10163170999999949</c:v>
                      </c:pt>
                      <c:pt idx="33">
                        <c:v>9.9595304999994028E-2</c:v>
                      </c:pt>
                      <c:pt idx="34">
                        <c:v>9.7558899999995674E-2</c:v>
                      </c:pt>
                      <c:pt idx="35">
                        <c:v>9.5522494999990215E-2</c:v>
                      </c:pt>
                      <c:pt idx="36">
                        <c:v>9.3486090000006072E-2</c:v>
                      </c:pt>
                      <c:pt idx="37">
                        <c:v>9.1449685000007719E-2</c:v>
                      </c:pt>
                      <c:pt idx="38">
                        <c:v>8.941328000000226E-2</c:v>
                      </c:pt>
                      <c:pt idx="39">
                        <c:v>8.7376875000011012E-2</c:v>
                      </c:pt>
                      <c:pt idx="40">
                        <c:v>8.5340469999998447E-2</c:v>
                      </c:pt>
                      <c:pt idx="41">
                        <c:v>8.3304065000000094E-2</c:v>
                      </c:pt>
                      <c:pt idx="42">
                        <c:v>8.126766000000174E-2</c:v>
                      </c:pt>
                      <c:pt idx="43">
                        <c:v>7.9231254999996281E-2</c:v>
                      </c:pt>
                      <c:pt idx="44">
                        <c:v>7.7194849999990822E-2</c:v>
                      </c:pt>
                      <c:pt idx="45">
                        <c:v>7.5158444999999574E-2</c:v>
                      </c:pt>
                      <c:pt idx="46">
                        <c:v>7.3122040000001221E-2</c:v>
                      </c:pt>
                      <c:pt idx="47">
                        <c:v>7.1085635000002867E-2</c:v>
                      </c:pt>
                      <c:pt idx="48">
                        <c:v>6.9049230000004513E-2</c:v>
                      </c:pt>
                      <c:pt idx="49">
                        <c:v>6.701282500000616E-2</c:v>
                      </c:pt>
                      <c:pt idx="50">
                        <c:v>6.4976420000000701E-2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0054-40B2-856D-0E15D739D60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グラフ!$P$5</c15:sqref>
                        </c15:formulaRef>
                      </c:ext>
                    </c:extLst>
                    <c:strCache>
                      <c:ptCount val="1"/>
                      <c:pt idx="0">
                        <c:v>締め代：Δ-20℃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グラフ!$P$6:$P$56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0.15736766999999929</c:v>
                      </c:pt>
                      <c:pt idx="1">
                        <c:v>0.15533126500000805</c:v>
                      </c:pt>
                      <c:pt idx="2">
                        <c:v>0.15329486000000259</c:v>
                      </c:pt>
                      <c:pt idx="3">
                        <c:v>0.15125845499999713</c:v>
                      </c:pt>
                      <c:pt idx="4">
                        <c:v>0.14922204999999877</c:v>
                      </c:pt>
                      <c:pt idx="5">
                        <c:v>0.14718564499999331</c:v>
                      </c:pt>
                      <c:pt idx="6">
                        <c:v>0.14514924000000207</c:v>
                      </c:pt>
                      <c:pt idx="7">
                        <c:v>0.14311283499999661</c:v>
                      </c:pt>
                      <c:pt idx="8">
                        <c:v>0.14107642999999825</c:v>
                      </c:pt>
                      <c:pt idx="9">
                        <c:v>0.13904002500000701</c:v>
                      </c:pt>
                      <c:pt idx="10">
                        <c:v>0.13700361999999444</c:v>
                      </c:pt>
                      <c:pt idx="11">
                        <c:v>0.13496721500000319</c:v>
                      </c:pt>
                      <c:pt idx="12">
                        <c:v>0.13293080999999773</c:v>
                      </c:pt>
                      <c:pt idx="13">
                        <c:v>0.13089440499999938</c:v>
                      </c:pt>
                      <c:pt idx="14">
                        <c:v>0.12885800000000103</c:v>
                      </c:pt>
                      <c:pt idx="15">
                        <c:v>0.12682159500000267</c:v>
                      </c:pt>
                      <c:pt idx="16">
                        <c:v>0.12478519000000432</c:v>
                      </c:pt>
                      <c:pt idx="17">
                        <c:v>0.12274878499999886</c:v>
                      </c:pt>
                      <c:pt idx="18">
                        <c:v>0.12071238000000051</c:v>
                      </c:pt>
                      <c:pt idx="19">
                        <c:v>0.11867597500000215</c:v>
                      </c:pt>
                      <c:pt idx="20">
                        <c:v>0.11663956999998959</c:v>
                      </c:pt>
                      <c:pt idx="21">
                        <c:v>0.11460316499999834</c:v>
                      </c:pt>
                      <c:pt idx="22">
                        <c:v>0.11256675999999288</c:v>
                      </c:pt>
                      <c:pt idx="23">
                        <c:v>0.11053035499999453</c:v>
                      </c:pt>
                      <c:pt idx="24">
                        <c:v>0.10849394999999618</c:v>
                      </c:pt>
                      <c:pt idx="25">
                        <c:v>0.10645754500000493</c:v>
                      </c:pt>
                      <c:pt idx="26">
                        <c:v>0.10442114000000657</c:v>
                      </c:pt>
                      <c:pt idx="27">
                        <c:v>0.10238473499999401</c:v>
                      </c:pt>
                      <c:pt idx="28">
                        <c:v>0.10034833000000276</c:v>
                      </c:pt>
                      <c:pt idx="29">
                        <c:v>9.8311924999997302E-2</c:v>
                      </c:pt>
                      <c:pt idx="30">
                        <c:v>9.6275519999998949E-2</c:v>
                      </c:pt>
                      <c:pt idx="31">
                        <c:v>9.423911499999349E-2</c:v>
                      </c:pt>
                      <c:pt idx="32">
                        <c:v>9.2202710000002241E-2</c:v>
                      </c:pt>
                      <c:pt idx="33">
                        <c:v>9.0166304999989677E-2</c:v>
                      </c:pt>
                      <c:pt idx="34">
                        <c:v>8.8129900000005534E-2</c:v>
                      </c:pt>
                      <c:pt idx="35">
                        <c:v>8.6093495000000075E-2</c:v>
                      </c:pt>
                      <c:pt idx="36">
                        <c:v>8.4057090000001722E-2</c:v>
                      </c:pt>
                      <c:pt idx="37">
                        <c:v>8.2020685000010474E-2</c:v>
                      </c:pt>
                      <c:pt idx="38">
                        <c:v>7.9984279999997909E-2</c:v>
                      </c:pt>
                      <c:pt idx="39">
                        <c:v>7.7947875000006661E-2</c:v>
                      </c:pt>
                      <c:pt idx="40">
                        <c:v>7.5911470000001202E-2</c:v>
                      </c:pt>
                      <c:pt idx="41">
                        <c:v>7.3875064999995743E-2</c:v>
                      </c:pt>
                      <c:pt idx="42">
                        <c:v>7.183865999999739E-2</c:v>
                      </c:pt>
                      <c:pt idx="43">
                        <c:v>6.9802254999999036E-2</c:v>
                      </c:pt>
                      <c:pt idx="44">
                        <c:v>6.7765850000000682E-2</c:v>
                      </c:pt>
                      <c:pt idx="45">
                        <c:v>6.5729445000002329E-2</c:v>
                      </c:pt>
                      <c:pt idx="46">
                        <c:v>6.369303999999687E-2</c:v>
                      </c:pt>
                      <c:pt idx="47">
                        <c:v>6.1656635000005622E-2</c:v>
                      </c:pt>
                      <c:pt idx="48">
                        <c:v>5.9620230000000163E-2</c:v>
                      </c:pt>
                      <c:pt idx="49">
                        <c:v>5.7583825000001809E-2</c:v>
                      </c:pt>
                      <c:pt idx="50">
                        <c:v>5.5547420000003456E-2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054-40B2-856D-0E15D739D60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グラフ!$Q$5</c15:sqref>
                        </c15:formulaRef>
                      </c:ext>
                    </c:extLst>
                    <c:strCache>
                      <c:ptCount val="1"/>
                      <c:pt idx="0">
                        <c:v>締め代：Δ-10℃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グラフ!$Q$6:$Q$56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0.14793867000000205</c:v>
                      </c:pt>
                      <c:pt idx="1">
                        <c:v>0.14590226500000369</c:v>
                      </c:pt>
                      <c:pt idx="2">
                        <c:v>0.14386586000000534</c:v>
                      </c:pt>
                      <c:pt idx="3">
                        <c:v>0.14182945499999278</c:v>
                      </c:pt>
                      <c:pt idx="4">
                        <c:v>0.13979305000000153</c:v>
                      </c:pt>
                      <c:pt idx="5">
                        <c:v>0.13775664499999607</c:v>
                      </c:pt>
                      <c:pt idx="6">
                        <c:v>0.13572023999999772</c:v>
                      </c:pt>
                      <c:pt idx="7">
                        <c:v>0.13368383499999936</c:v>
                      </c:pt>
                      <c:pt idx="8">
                        <c:v>0.1316474299999939</c:v>
                      </c:pt>
                      <c:pt idx="9">
                        <c:v>0.12961102500000976</c:v>
                      </c:pt>
                      <c:pt idx="10">
                        <c:v>0.1275746199999972</c:v>
                      </c:pt>
                      <c:pt idx="11">
                        <c:v>0.12553821499999884</c:v>
                      </c:pt>
                      <c:pt idx="12">
                        <c:v>0.12350181000000049</c:v>
                      </c:pt>
                      <c:pt idx="13">
                        <c:v>0.12146540499999503</c:v>
                      </c:pt>
                      <c:pt idx="14">
                        <c:v>0.11942900000000378</c:v>
                      </c:pt>
                      <c:pt idx="15">
                        <c:v>0.11739259500000543</c:v>
                      </c:pt>
                      <c:pt idx="16">
                        <c:v>0.11535618999999997</c:v>
                      </c:pt>
                      <c:pt idx="17">
                        <c:v>0.11331978500000162</c:v>
                      </c:pt>
                      <c:pt idx="18">
                        <c:v>0.11128337999999616</c:v>
                      </c:pt>
                      <c:pt idx="19">
                        <c:v>0.1092469749999978</c:v>
                      </c:pt>
                      <c:pt idx="20">
                        <c:v>0.10721056999999234</c:v>
                      </c:pt>
                      <c:pt idx="21">
                        <c:v>0.10517416499999399</c:v>
                      </c:pt>
                      <c:pt idx="22">
                        <c:v>0.10313775999999564</c:v>
                      </c:pt>
                      <c:pt idx="23">
                        <c:v>0.10110135500000439</c:v>
                      </c:pt>
                      <c:pt idx="24">
                        <c:v>9.906494999999893E-2</c:v>
                      </c:pt>
                      <c:pt idx="25">
                        <c:v>9.7028545000000577E-2</c:v>
                      </c:pt>
                      <c:pt idx="26">
                        <c:v>9.4992140000002223E-2</c:v>
                      </c:pt>
                      <c:pt idx="27">
                        <c:v>9.2955734999996764E-2</c:v>
                      </c:pt>
                      <c:pt idx="28">
                        <c:v>9.0919329999998411E-2</c:v>
                      </c:pt>
                      <c:pt idx="29">
                        <c:v>8.8882924999992952E-2</c:v>
                      </c:pt>
                      <c:pt idx="30">
                        <c:v>8.6846520000001703E-2</c:v>
                      </c:pt>
                      <c:pt idx="31">
                        <c:v>8.4810114999989139E-2</c:v>
                      </c:pt>
                      <c:pt idx="32">
                        <c:v>8.2773710000012102E-2</c:v>
                      </c:pt>
                      <c:pt idx="33">
                        <c:v>8.0737304999999537E-2</c:v>
                      </c:pt>
                      <c:pt idx="34">
                        <c:v>7.8700900000001184E-2</c:v>
                      </c:pt>
                      <c:pt idx="35">
                        <c:v>7.666449500000283E-2</c:v>
                      </c:pt>
                      <c:pt idx="36">
                        <c:v>7.4628089999997371E-2</c:v>
                      </c:pt>
                      <c:pt idx="37">
                        <c:v>7.2591685000006123E-2</c:v>
                      </c:pt>
                      <c:pt idx="38">
                        <c:v>7.0555280000000664E-2</c:v>
                      </c:pt>
                      <c:pt idx="39">
                        <c:v>6.8518875000002311E-2</c:v>
                      </c:pt>
                      <c:pt idx="40">
                        <c:v>6.6482469999996852E-2</c:v>
                      </c:pt>
                      <c:pt idx="41">
                        <c:v>6.4446064999998498E-2</c:v>
                      </c:pt>
                      <c:pt idx="42">
                        <c:v>6.240966000000725E-2</c:v>
                      </c:pt>
                      <c:pt idx="43">
                        <c:v>6.0373255000001791E-2</c:v>
                      </c:pt>
                      <c:pt idx="44">
                        <c:v>5.8336849999996332E-2</c:v>
                      </c:pt>
                      <c:pt idx="45">
                        <c:v>5.6300445000005084E-2</c:v>
                      </c:pt>
                      <c:pt idx="46">
                        <c:v>5.4264039999992519E-2</c:v>
                      </c:pt>
                      <c:pt idx="47">
                        <c:v>5.2227635000001271E-2</c:v>
                      </c:pt>
                      <c:pt idx="48">
                        <c:v>5.0191230000002918E-2</c:v>
                      </c:pt>
                      <c:pt idx="49">
                        <c:v>4.8154824999997459E-2</c:v>
                      </c:pt>
                      <c:pt idx="50">
                        <c:v>4.6118419999999105E-2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054-40B2-856D-0E15D739D60C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グラフ!$R$5</c15:sqref>
                        </c15:formulaRef>
                      </c:ext>
                    </c:extLst>
                    <c:strCache>
                      <c:ptCount val="1"/>
                      <c:pt idx="0">
                        <c:v>締め代：Δ0℃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グラフ!$R$6:$R$56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0.1385096700000048</c:v>
                      </c:pt>
                      <c:pt idx="1">
                        <c:v>0.13647326499999934</c:v>
                      </c:pt>
                      <c:pt idx="2">
                        <c:v>0.1344368600000081</c:v>
                      </c:pt>
                      <c:pt idx="3">
                        <c:v>0.13240045499999553</c:v>
                      </c:pt>
                      <c:pt idx="4">
                        <c:v>0.13036404999999718</c:v>
                      </c:pt>
                      <c:pt idx="5">
                        <c:v>0.12832764499999882</c:v>
                      </c:pt>
                      <c:pt idx="6">
                        <c:v>0.12629123999999337</c:v>
                      </c:pt>
                      <c:pt idx="7">
                        <c:v>0.12425483500000212</c:v>
                      </c:pt>
                      <c:pt idx="8">
                        <c:v>0.12221842999999666</c:v>
                      </c:pt>
                      <c:pt idx="9">
                        <c:v>0.12018202500000541</c:v>
                      </c:pt>
                      <c:pt idx="10">
                        <c:v>0.11814561999999995</c:v>
                      </c:pt>
                      <c:pt idx="11">
                        <c:v>0.11610921499999449</c:v>
                      </c:pt>
                      <c:pt idx="12">
                        <c:v>0.11407281000000324</c:v>
                      </c:pt>
                      <c:pt idx="13">
                        <c:v>0.11203640499999779</c:v>
                      </c:pt>
                      <c:pt idx="14">
                        <c:v>0.10999999999999943</c:v>
                      </c:pt>
                      <c:pt idx="15">
                        <c:v>0.10796359500000818</c:v>
                      </c:pt>
                      <c:pt idx="16">
                        <c:v>0.10592718999999562</c:v>
                      </c:pt>
                      <c:pt idx="17">
                        <c:v>0.10389078499999727</c:v>
                      </c:pt>
                      <c:pt idx="18">
                        <c:v>0.10185437999999891</c:v>
                      </c:pt>
                      <c:pt idx="19">
                        <c:v>9.9817974999993453E-2</c:v>
                      </c:pt>
                      <c:pt idx="20">
                        <c:v>9.7781569999995099E-2</c:v>
                      </c:pt>
                      <c:pt idx="21">
                        <c:v>9.5745165000003851E-2</c:v>
                      </c:pt>
                      <c:pt idx="22">
                        <c:v>9.3708759999998392E-2</c:v>
                      </c:pt>
                      <c:pt idx="23">
                        <c:v>9.1672355000000039E-2</c:v>
                      </c:pt>
                      <c:pt idx="24">
                        <c:v>8.963594999999458E-2</c:v>
                      </c:pt>
                      <c:pt idx="25">
                        <c:v>8.7599545000003332E-2</c:v>
                      </c:pt>
                      <c:pt idx="26">
                        <c:v>8.5563139999997873E-2</c:v>
                      </c:pt>
                      <c:pt idx="27">
                        <c:v>8.3526734999992414E-2</c:v>
                      </c:pt>
                      <c:pt idx="28">
                        <c:v>8.1490330000001165E-2</c:v>
                      </c:pt>
                      <c:pt idx="29">
                        <c:v>7.9453924999988601E-2</c:v>
                      </c:pt>
                      <c:pt idx="30">
                        <c:v>7.7417520000011564E-2</c:v>
                      </c:pt>
                      <c:pt idx="31">
                        <c:v>7.5381114999998999E-2</c:v>
                      </c:pt>
                      <c:pt idx="32">
                        <c:v>7.3344710000007751E-2</c:v>
                      </c:pt>
                      <c:pt idx="33">
                        <c:v>7.1308305000002292E-2</c:v>
                      </c:pt>
                      <c:pt idx="34">
                        <c:v>6.9271899999996833E-2</c:v>
                      </c:pt>
                      <c:pt idx="35">
                        <c:v>6.723549499999848E-2</c:v>
                      </c:pt>
                      <c:pt idx="36">
                        <c:v>6.5199090000000126E-2</c:v>
                      </c:pt>
                      <c:pt idx="37">
                        <c:v>6.3162685000001773E-2</c:v>
                      </c:pt>
                      <c:pt idx="38">
                        <c:v>6.1126279999996314E-2</c:v>
                      </c:pt>
                      <c:pt idx="39">
                        <c:v>5.9089875000005065E-2</c:v>
                      </c:pt>
                      <c:pt idx="40">
                        <c:v>5.7053470000006712E-2</c:v>
                      </c:pt>
                      <c:pt idx="41">
                        <c:v>5.5017065000001253E-2</c:v>
                      </c:pt>
                      <c:pt idx="42">
                        <c:v>5.2980660000002899E-2</c:v>
                      </c:pt>
                      <c:pt idx="43">
                        <c:v>5.0944255000004546E-2</c:v>
                      </c:pt>
                      <c:pt idx="44">
                        <c:v>4.8907849999991981E-2</c:v>
                      </c:pt>
                      <c:pt idx="45">
                        <c:v>4.6871445000000733E-2</c:v>
                      </c:pt>
                      <c:pt idx="46">
                        <c:v>4.4835039999995274E-2</c:v>
                      </c:pt>
                      <c:pt idx="47">
                        <c:v>4.2798634999996921E-2</c:v>
                      </c:pt>
                      <c:pt idx="48">
                        <c:v>4.0762229999998567E-2</c:v>
                      </c:pt>
                      <c:pt idx="49">
                        <c:v>3.8725825000000214E-2</c:v>
                      </c:pt>
                      <c:pt idx="50">
                        <c:v>3.6689420000008965E-2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054-40B2-856D-0E15D739D60C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グラフ!$S$5</c15:sqref>
                        </c15:formulaRef>
                      </c:ext>
                    </c:extLst>
                    <c:strCache>
                      <c:ptCount val="1"/>
                      <c:pt idx="0">
                        <c:v>締め代：Δ+10℃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グラフ!$S$6:$S$56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0.12908067000000756</c:v>
                      </c:pt>
                      <c:pt idx="1">
                        <c:v>0.1270442650000021</c:v>
                      </c:pt>
                      <c:pt idx="2">
                        <c:v>0.12500786000000375</c:v>
                      </c:pt>
                      <c:pt idx="3">
                        <c:v>0.12297145499999829</c:v>
                      </c:pt>
                      <c:pt idx="4">
                        <c:v>0.12093504999999283</c:v>
                      </c:pt>
                      <c:pt idx="5">
                        <c:v>0.11889864500000158</c:v>
                      </c:pt>
                      <c:pt idx="6">
                        <c:v>0.11686223999999612</c:v>
                      </c:pt>
                      <c:pt idx="7">
                        <c:v>0.11482583499999777</c:v>
                      </c:pt>
                      <c:pt idx="8">
                        <c:v>0.11278942999999941</c:v>
                      </c:pt>
                      <c:pt idx="9">
                        <c:v>0.11075302500000106</c:v>
                      </c:pt>
                      <c:pt idx="10">
                        <c:v>0.10871662000000271</c:v>
                      </c:pt>
                      <c:pt idx="11">
                        <c:v>0.10668021499999725</c:v>
                      </c:pt>
                      <c:pt idx="12">
                        <c:v>0.10464380999999889</c:v>
                      </c:pt>
                      <c:pt idx="13">
                        <c:v>0.10260740500000054</c:v>
                      </c:pt>
                      <c:pt idx="14">
                        <c:v>0.10057099999999508</c:v>
                      </c:pt>
                      <c:pt idx="15">
                        <c:v>9.8534595000003833E-2</c:v>
                      </c:pt>
                      <c:pt idx="16">
                        <c:v>9.6498189999998374E-2</c:v>
                      </c:pt>
                      <c:pt idx="17">
                        <c:v>9.4461784999992915E-2</c:v>
                      </c:pt>
                      <c:pt idx="18">
                        <c:v>9.2425380000001667E-2</c:v>
                      </c:pt>
                      <c:pt idx="19">
                        <c:v>9.0388975000003313E-2</c:v>
                      </c:pt>
                      <c:pt idx="20">
                        <c:v>8.8352569999997854E-2</c:v>
                      </c:pt>
                      <c:pt idx="21">
                        <c:v>8.6316164999999501E-2</c:v>
                      </c:pt>
                      <c:pt idx="22">
                        <c:v>8.4279759999994042E-2</c:v>
                      </c:pt>
                      <c:pt idx="23">
                        <c:v>8.2243355000002794E-2</c:v>
                      </c:pt>
                      <c:pt idx="24">
                        <c:v>8.0206949999990229E-2</c:v>
                      </c:pt>
                      <c:pt idx="25">
                        <c:v>7.8170544999998981E-2</c:v>
                      </c:pt>
                      <c:pt idx="26">
                        <c:v>7.6134140000000627E-2</c:v>
                      </c:pt>
                      <c:pt idx="27">
                        <c:v>7.4097734999988063E-2</c:v>
                      </c:pt>
                      <c:pt idx="28">
                        <c:v>7.2061330000011026E-2</c:v>
                      </c:pt>
                      <c:pt idx="29">
                        <c:v>7.0024924999998461E-2</c:v>
                      </c:pt>
                      <c:pt idx="30">
                        <c:v>6.7988520000007213E-2</c:v>
                      </c:pt>
                      <c:pt idx="31">
                        <c:v>6.5952115000001754E-2</c:v>
                      </c:pt>
                      <c:pt idx="32">
                        <c:v>6.3915710000003401E-2</c:v>
                      </c:pt>
                      <c:pt idx="33">
                        <c:v>6.1879304999997942E-2</c:v>
                      </c:pt>
                      <c:pt idx="34">
                        <c:v>5.9842899999999588E-2</c:v>
                      </c:pt>
                      <c:pt idx="35">
                        <c:v>5.7806494999994129E-2</c:v>
                      </c:pt>
                      <c:pt idx="36">
                        <c:v>5.5770089999995776E-2</c:v>
                      </c:pt>
                      <c:pt idx="37">
                        <c:v>5.3733685000004527E-2</c:v>
                      </c:pt>
                      <c:pt idx="38">
                        <c:v>5.1697280000006174E-2</c:v>
                      </c:pt>
                      <c:pt idx="39">
                        <c:v>4.966087500000782E-2</c:v>
                      </c:pt>
                      <c:pt idx="40">
                        <c:v>4.7624470000002361E-2</c:v>
                      </c:pt>
                      <c:pt idx="41">
                        <c:v>4.5588065000004008E-2</c:v>
                      </c:pt>
                      <c:pt idx="42">
                        <c:v>4.3551659999998549E-2</c:v>
                      </c:pt>
                      <c:pt idx="43">
                        <c:v>4.1515255000000195E-2</c:v>
                      </c:pt>
                      <c:pt idx="44">
                        <c:v>3.9478849999994736E-2</c:v>
                      </c:pt>
                      <c:pt idx="45">
                        <c:v>3.7442444999996383E-2</c:v>
                      </c:pt>
                      <c:pt idx="46">
                        <c:v>3.5406039999990924E-2</c:v>
                      </c:pt>
                      <c:pt idx="47">
                        <c:v>3.3369634999999676E-2</c:v>
                      </c:pt>
                      <c:pt idx="48">
                        <c:v>3.1333230000008427E-2</c:v>
                      </c:pt>
                      <c:pt idx="49">
                        <c:v>2.9296825000002968E-2</c:v>
                      </c:pt>
                      <c:pt idx="50">
                        <c:v>2.7260420000004615E-2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054-40B2-856D-0E15D739D60C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グラフ!$T$5</c15:sqref>
                        </c15:formulaRef>
                      </c:ext>
                    </c:extLst>
                    <c:strCache>
                      <c:ptCount val="1"/>
                      <c:pt idx="0">
                        <c:v>締め代：Δ+20℃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グラフ!$T$6:$T$56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0.11965167000000321</c:v>
                      </c:pt>
                      <c:pt idx="1">
                        <c:v>0.11761526500000485</c:v>
                      </c:pt>
                      <c:pt idx="2">
                        <c:v>0.11557885999999939</c:v>
                      </c:pt>
                      <c:pt idx="3">
                        <c:v>0.11354245500000104</c:v>
                      </c:pt>
                      <c:pt idx="4">
                        <c:v>0.11150604999999558</c:v>
                      </c:pt>
                      <c:pt idx="5">
                        <c:v>0.10946964499999723</c:v>
                      </c:pt>
                      <c:pt idx="6">
                        <c:v>0.10743323999999888</c:v>
                      </c:pt>
                      <c:pt idx="7">
                        <c:v>0.10539683499999342</c:v>
                      </c:pt>
                      <c:pt idx="8">
                        <c:v>0.10336043000000217</c:v>
                      </c:pt>
                      <c:pt idx="9">
                        <c:v>0.10132402500000381</c:v>
                      </c:pt>
                      <c:pt idx="10">
                        <c:v>9.9287619999998356E-2</c:v>
                      </c:pt>
                      <c:pt idx="11">
                        <c:v>9.7251215000000002E-2</c:v>
                      </c:pt>
                      <c:pt idx="12">
                        <c:v>9.5214809999994543E-2</c:v>
                      </c:pt>
                      <c:pt idx="13">
                        <c:v>9.3178404999996189E-2</c:v>
                      </c:pt>
                      <c:pt idx="14">
                        <c:v>9.1141999999997836E-2</c:v>
                      </c:pt>
                      <c:pt idx="15">
                        <c:v>8.9105594999999482E-2</c:v>
                      </c:pt>
                      <c:pt idx="16">
                        <c:v>8.7069190000001129E-2</c:v>
                      </c:pt>
                      <c:pt idx="17">
                        <c:v>8.5032785000002775E-2</c:v>
                      </c:pt>
                      <c:pt idx="18">
                        <c:v>8.2996380000004422E-2</c:v>
                      </c:pt>
                      <c:pt idx="19">
                        <c:v>8.0959974999998963E-2</c:v>
                      </c:pt>
                      <c:pt idx="20">
                        <c:v>7.8923569999993504E-2</c:v>
                      </c:pt>
                      <c:pt idx="21">
                        <c:v>7.6887165000002256E-2</c:v>
                      </c:pt>
                      <c:pt idx="22">
                        <c:v>7.4850759999989691E-2</c:v>
                      </c:pt>
                      <c:pt idx="23">
                        <c:v>7.2814354999998443E-2</c:v>
                      </c:pt>
                      <c:pt idx="24">
                        <c:v>7.0777949999992984E-2</c:v>
                      </c:pt>
                      <c:pt idx="25">
                        <c:v>6.874154499999463E-2</c:v>
                      </c:pt>
                      <c:pt idx="26">
                        <c:v>6.6705140000010488E-2</c:v>
                      </c:pt>
                      <c:pt idx="27">
                        <c:v>6.4668734999997923E-2</c:v>
                      </c:pt>
                      <c:pt idx="28">
                        <c:v>6.2632330000006675E-2</c:v>
                      </c:pt>
                      <c:pt idx="29">
                        <c:v>6.0595925000001216E-2</c:v>
                      </c:pt>
                      <c:pt idx="30">
                        <c:v>5.8559520000002863E-2</c:v>
                      </c:pt>
                      <c:pt idx="31">
                        <c:v>5.6523114999997404E-2</c:v>
                      </c:pt>
                      <c:pt idx="32">
                        <c:v>5.4486710000006155E-2</c:v>
                      </c:pt>
                      <c:pt idx="33">
                        <c:v>5.2450304999993591E-2</c:v>
                      </c:pt>
                      <c:pt idx="34">
                        <c:v>5.0413899999995238E-2</c:v>
                      </c:pt>
                      <c:pt idx="35">
                        <c:v>4.8377494999996884E-2</c:v>
                      </c:pt>
                      <c:pt idx="36">
                        <c:v>4.6341090000005636E-2</c:v>
                      </c:pt>
                      <c:pt idx="37">
                        <c:v>4.4304685000007282E-2</c:v>
                      </c:pt>
                      <c:pt idx="38">
                        <c:v>4.2268280000001823E-2</c:v>
                      </c:pt>
                      <c:pt idx="39">
                        <c:v>4.0231875000010575E-2</c:v>
                      </c:pt>
                      <c:pt idx="40">
                        <c:v>3.8195469999998011E-2</c:v>
                      </c:pt>
                      <c:pt idx="41">
                        <c:v>3.6159064999999657E-2</c:v>
                      </c:pt>
                      <c:pt idx="42">
                        <c:v>3.4122660000001304E-2</c:v>
                      </c:pt>
                      <c:pt idx="43">
                        <c:v>3.2086254999995845E-2</c:v>
                      </c:pt>
                      <c:pt idx="44">
                        <c:v>3.0049849999990386E-2</c:v>
                      </c:pt>
                      <c:pt idx="45">
                        <c:v>2.8013444999999138E-2</c:v>
                      </c:pt>
                      <c:pt idx="46">
                        <c:v>2.5977040000000784E-2</c:v>
                      </c:pt>
                      <c:pt idx="47">
                        <c:v>2.394063500000243E-2</c:v>
                      </c:pt>
                      <c:pt idx="48">
                        <c:v>2.1904230000004077E-2</c:v>
                      </c:pt>
                      <c:pt idx="49">
                        <c:v>1.9867825000005723E-2</c:v>
                      </c:pt>
                      <c:pt idx="50">
                        <c:v>1.7831420000000264E-2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054-40B2-856D-0E15D739D60C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グラフ!$U$5</c15:sqref>
                        </c15:formulaRef>
                      </c:ext>
                    </c:extLst>
                    <c:strCache>
                      <c:ptCount val="1"/>
                      <c:pt idx="0">
                        <c:v>締め代：Δ+30℃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グラフ!$U$6:$U$56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0.11022266999999886</c:v>
                      </c:pt>
                      <c:pt idx="1">
                        <c:v>0.10818626500000761</c:v>
                      </c:pt>
                      <c:pt idx="2">
                        <c:v>0.10614986000000215</c:v>
                      </c:pt>
                      <c:pt idx="3">
                        <c:v>0.10411345499999669</c:v>
                      </c:pt>
                      <c:pt idx="4">
                        <c:v>0.10207704999999834</c:v>
                      </c:pt>
                      <c:pt idx="5">
                        <c:v>0.10004064499999288</c:v>
                      </c:pt>
                      <c:pt idx="6">
                        <c:v>9.800424000000163E-2</c:v>
                      </c:pt>
                      <c:pt idx="7">
                        <c:v>9.5967834999996171E-2</c:v>
                      </c:pt>
                      <c:pt idx="8">
                        <c:v>9.3931429999997818E-2</c:v>
                      </c:pt>
                      <c:pt idx="9">
                        <c:v>9.1895025000006569E-2</c:v>
                      </c:pt>
                      <c:pt idx="10">
                        <c:v>8.9858619999994005E-2</c:v>
                      </c:pt>
                      <c:pt idx="11">
                        <c:v>8.7822214999995651E-2</c:v>
                      </c:pt>
                      <c:pt idx="12">
                        <c:v>8.5785809999997298E-2</c:v>
                      </c:pt>
                      <c:pt idx="13">
                        <c:v>8.3749404999991839E-2</c:v>
                      </c:pt>
                      <c:pt idx="14">
                        <c:v>8.1713000000000591E-2</c:v>
                      </c:pt>
                      <c:pt idx="15">
                        <c:v>7.9676595000009343E-2</c:v>
                      </c:pt>
                      <c:pt idx="16">
                        <c:v>7.7640190000003884E-2</c:v>
                      </c:pt>
                      <c:pt idx="17">
                        <c:v>7.5603784999998425E-2</c:v>
                      </c:pt>
                      <c:pt idx="18">
                        <c:v>7.3567380000000071E-2</c:v>
                      </c:pt>
                      <c:pt idx="19">
                        <c:v>7.1530975000001717E-2</c:v>
                      </c:pt>
                      <c:pt idx="20">
                        <c:v>6.9494569999989153E-2</c:v>
                      </c:pt>
                      <c:pt idx="21">
                        <c:v>6.7458164999997905E-2</c:v>
                      </c:pt>
                      <c:pt idx="22">
                        <c:v>6.5421759999992446E-2</c:v>
                      </c:pt>
                      <c:pt idx="23">
                        <c:v>6.3385354999994092E-2</c:v>
                      </c:pt>
                      <c:pt idx="24">
                        <c:v>6.1348950000002844E-2</c:v>
                      </c:pt>
                      <c:pt idx="25">
                        <c:v>5.9312545000004491E-2</c:v>
                      </c:pt>
                      <c:pt idx="26">
                        <c:v>5.7276140000006137E-2</c:v>
                      </c:pt>
                      <c:pt idx="27">
                        <c:v>5.5239735000000678E-2</c:v>
                      </c:pt>
                      <c:pt idx="28">
                        <c:v>5.3203330000002325E-2</c:v>
                      </c:pt>
                      <c:pt idx="29">
                        <c:v>5.1166924999996866E-2</c:v>
                      </c:pt>
                      <c:pt idx="30">
                        <c:v>4.9130520000005617E-2</c:v>
                      </c:pt>
                      <c:pt idx="31">
                        <c:v>4.7094114999993053E-2</c:v>
                      </c:pt>
                      <c:pt idx="32">
                        <c:v>4.5057710000001805E-2</c:v>
                      </c:pt>
                      <c:pt idx="33">
                        <c:v>4.3021304999996346E-2</c:v>
                      </c:pt>
                      <c:pt idx="34">
                        <c:v>4.0984900000005098E-2</c:v>
                      </c:pt>
                      <c:pt idx="35">
                        <c:v>3.8948494999999639E-2</c:v>
                      </c:pt>
                      <c:pt idx="36">
                        <c:v>3.6912090000001285E-2</c:v>
                      </c:pt>
                      <c:pt idx="37">
                        <c:v>3.4875685000010037E-2</c:v>
                      </c:pt>
                      <c:pt idx="38">
                        <c:v>3.2839279999997473E-2</c:v>
                      </c:pt>
                      <c:pt idx="39">
                        <c:v>3.0802875000006225E-2</c:v>
                      </c:pt>
                      <c:pt idx="40">
                        <c:v>2.8766470000000766E-2</c:v>
                      </c:pt>
                      <c:pt idx="41">
                        <c:v>2.6730064999995307E-2</c:v>
                      </c:pt>
                      <c:pt idx="42">
                        <c:v>2.4693659999996953E-2</c:v>
                      </c:pt>
                      <c:pt idx="43">
                        <c:v>2.2657254999998599E-2</c:v>
                      </c:pt>
                      <c:pt idx="44">
                        <c:v>2.0620850000000246E-2</c:v>
                      </c:pt>
                      <c:pt idx="45">
                        <c:v>1.8584445000001892E-2</c:v>
                      </c:pt>
                      <c:pt idx="46">
                        <c:v>1.6548039999996433E-2</c:v>
                      </c:pt>
                      <c:pt idx="47">
                        <c:v>1.4511635000005185E-2</c:v>
                      </c:pt>
                      <c:pt idx="48">
                        <c:v>1.2475229999999726E-2</c:v>
                      </c:pt>
                      <c:pt idx="49">
                        <c:v>1.0438825000001373E-2</c:v>
                      </c:pt>
                      <c:pt idx="50">
                        <c:v>8.4024200000030191E-3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054-40B2-856D-0E15D739D60C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グラフ!$V$5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グラフ!$V$6:$V$56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59.163797517995462</c:v>
                      </c:pt>
                      <c:pt idx="1">
                        <c:v>58.441472227658714</c:v>
                      </c:pt>
                      <c:pt idx="2">
                        <c:v>57.719146937324474</c:v>
                      </c:pt>
                      <c:pt idx="3">
                        <c:v>56.996821646990234</c:v>
                      </c:pt>
                      <c:pt idx="4">
                        <c:v>56.274496356653486</c:v>
                      </c:pt>
                      <c:pt idx="5">
                        <c:v>55.552171066319254</c:v>
                      </c:pt>
                      <c:pt idx="6">
                        <c:v>54.829845775985014</c:v>
                      </c:pt>
                      <c:pt idx="7">
                        <c:v>54.107520485648266</c:v>
                      </c:pt>
                      <c:pt idx="8">
                        <c:v>53.385195195316548</c:v>
                      </c:pt>
                      <c:pt idx="9">
                        <c:v>52.662869904982308</c:v>
                      </c:pt>
                      <c:pt idx="10">
                        <c:v>51.940544614645553</c:v>
                      </c:pt>
                      <c:pt idx="11">
                        <c:v>51.21821932431132</c:v>
                      </c:pt>
                      <c:pt idx="12">
                        <c:v>50.495894033974572</c:v>
                      </c:pt>
                      <c:pt idx="13">
                        <c:v>49.773568743642855</c:v>
                      </c:pt>
                      <c:pt idx="14">
                        <c:v>49.0512434533061</c:v>
                      </c:pt>
                      <c:pt idx="15">
                        <c:v>48.328918162974389</c:v>
                      </c:pt>
                      <c:pt idx="16">
                        <c:v>47.606592872637627</c:v>
                      </c:pt>
                      <c:pt idx="17">
                        <c:v>46.884267582300872</c:v>
                      </c:pt>
                      <c:pt idx="18">
                        <c:v>46.161942291969162</c:v>
                      </c:pt>
                      <c:pt idx="19">
                        <c:v>45.439617001632406</c:v>
                      </c:pt>
                      <c:pt idx="20">
                        <c:v>44.717291711295651</c:v>
                      </c:pt>
                      <c:pt idx="21">
                        <c:v>43.994966420963941</c:v>
                      </c:pt>
                      <c:pt idx="22">
                        <c:v>43.272641130624656</c:v>
                      </c:pt>
                      <c:pt idx="23">
                        <c:v>42.550315840292946</c:v>
                      </c:pt>
                      <c:pt idx="24">
                        <c:v>41.827990549956191</c:v>
                      </c:pt>
                      <c:pt idx="25">
                        <c:v>41.105665259621958</c:v>
                      </c:pt>
                      <c:pt idx="26">
                        <c:v>40.383339969290247</c:v>
                      </c:pt>
                      <c:pt idx="27">
                        <c:v>39.661014678953492</c:v>
                      </c:pt>
                      <c:pt idx="28">
                        <c:v>38.938689388621775</c:v>
                      </c:pt>
                      <c:pt idx="29">
                        <c:v>38.216364098282497</c:v>
                      </c:pt>
                      <c:pt idx="30">
                        <c:v>37.494038807950787</c:v>
                      </c:pt>
                      <c:pt idx="31">
                        <c:v>36.771713517614032</c:v>
                      </c:pt>
                      <c:pt idx="32">
                        <c:v>36.049388227279799</c:v>
                      </c:pt>
                      <c:pt idx="33">
                        <c:v>35.327062936943044</c:v>
                      </c:pt>
                      <c:pt idx="34">
                        <c:v>34.604737646608804</c:v>
                      </c:pt>
                      <c:pt idx="35">
                        <c:v>33.882412356272049</c:v>
                      </c:pt>
                      <c:pt idx="36">
                        <c:v>33.160087065942854</c:v>
                      </c:pt>
                      <c:pt idx="37">
                        <c:v>32.437761775608621</c:v>
                      </c:pt>
                      <c:pt idx="38">
                        <c:v>31.715436485271869</c:v>
                      </c:pt>
                      <c:pt idx="39">
                        <c:v>30.993111194940155</c:v>
                      </c:pt>
                      <c:pt idx="40">
                        <c:v>30.270785904600878</c:v>
                      </c:pt>
                      <c:pt idx="41">
                        <c:v>29.548460614266645</c:v>
                      </c:pt>
                      <c:pt idx="42">
                        <c:v>28.826135323932409</c:v>
                      </c:pt>
                      <c:pt idx="43">
                        <c:v>28.103810033595654</c:v>
                      </c:pt>
                      <c:pt idx="44">
                        <c:v>27.381484743258902</c:v>
                      </c:pt>
                      <c:pt idx="45">
                        <c:v>26.659159452927188</c:v>
                      </c:pt>
                      <c:pt idx="46">
                        <c:v>25.936834162592948</c:v>
                      </c:pt>
                      <c:pt idx="47">
                        <c:v>25.214508872258715</c:v>
                      </c:pt>
                      <c:pt idx="48">
                        <c:v>24.492183581924483</c:v>
                      </c:pt>
                      <c:pt idx="49">
                        <c:v>23.76985829159025</c:v>
                      </c:pt>
                      <c:pt idx="50">
                        <c:v>23.047533001253491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054-40B2-856D-0E15D739D60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グラフ!$W$5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グラフ!$W$6:$W$56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55.819273632731907</c:v>
                      </c:pt>
                      <c:pt idx="1">
                        <c:v>55.096948342400189</c:v>
                      </c:pt>
                      <c:pt idx="2">
                        <c:v>54.374623052063427</c:v>
                      </c:pt>
                      <c:pt idx="3">
                        <c:v>53.652297761726679</c:v>
                      </c:pt>
                      <c:pt idx="4">
                        <c:v>52.929972471392446</c:v>
                      </c:pt>
                      <c:pt idx="5">
                        <c:v>52.207647181055691</c:v>
                      </c:pt>
                      <c:pt idx="6">
                        <c:v>51.485321890723974</c:v>
                      </c:pt>
                      <c:pt idx="7">
                        <c:v>50.762996600387218</c:v>
                      </c:pt>
                      <c:pt idx="8">
                        <c:v>50.040671310052979</c:v>
                      </c:pt>
                      <c:pt idx="9">
                        <c:v>49.318346019721268</c:v>
                      </c:pt>
                      <c:pt idx="10">
                        <c:v>48.596020729381998</c:v>
                      </c:pt>
                      <c:pt idx="11">
                        <c:v>47.87369543905028</c:v>
                      </c:pt>
                      <c:pt idx="12">
                        <c:v>47.151370148713525</c:v>
                      </c:pt>
                      <c:pt idx="13">
                        <c:v>46.429044858379292</c:v>
                      </c:pt>
                      <c:pt idx="14">
                        <c:v>45.706719568045052</c:v>
                      </c:pt>
                      <c:pt idx="15">
                        <c:v>44.98439427771082</c:v>
                      </c:pt>
                      <c:pt idx="16">
                        <c:v>44.262068987376587</c:v>
                      </c:pt>
                      <c:pt idx="17">
                        <c:v>43.539743697039832</c:v>
                      </c:pt>
                      <c:pt idx="18">
                        <c:v>42.817418406705599</c:v>
                      </c:pt>
                      <c:pt idx="19">
                        <c:v>42.095093116371366</c:v>
                      </c:pt>
                      <c:pt idx="20">
                        <c:v>41.372767826032089</c:v>
                      </c:pt>
                      <c:pt idx="21">
                        <c:v>40.650442535700371</c:v>
                      </c:pt>
                      <c:pt idx="22">
                        <c:v>39.928117245363616</c:v>
                      </c:pt>
                      <c:pt idx="23">
                        <c:v>39.205791955029383</c:v>
                      </c:pt>
                      <c:pt idx="24">
                        <c:v>38.48346666469515</c:v>
                      </c:pt>
                      <c:pt idx="25">
                        <c:v>37.76114137436344</c:v>
                      </c:pt>
                      <c:pt idx="26">
                        <c:v>37.0388160840292</c:v>
                      </c:pt>
                      <c:pt idx="27">
                        <c:v>36.316490793689923</c:v>
                      </c:pt>
                      <c:pt idx="28">
                        <c:v>35.594165503358212</c:v>
                      </c:pt>
                      <c:pt idx="29">
                        <c:v>34.871840213021457</c:v>
                      </c:pt>
                      <c:pt idx="30">
                        <c:v>34.149514922687224</c:v>
                      </c:pt>
                      <c:pt idx="31">
                        <c:v>33.427189632350469</c:v>
                      </c:pt>
                      <c:pt idx="32">
                        <c:v>32.704864342018752</c:v>
                      </c:pt>
                      <c:pt idx="33">
                        <c:v>31.982539051679474</c:v>
                      </c:pt>
                      <c:pt idx="34">
                        <c:v>31.260213761350279</c:v>
                      </c:pt>
                      <c:pt idx="35">
                        <c:v>30.537888471013527</c:v>
                      </c:pt>
                      <c:pt idx="36">
                        <c:v>29.815563180679295</c:v>
                      </c:pt>
                      <c:pt idx="37">
                        <c:v>29.093237890347581</c:v>
                      </c:pt>
                      <c:pt idx="38">
                        <c:v>28.370912600008303</c:v>
                      </c:pt>
                      <c:pt idx="39">
                        <c:v>27.648587309676589</c:v>
                      </c:pt>
                      <c:pt idx="40">
                        <c:v>26.926262019339838</c:v>
                      </c:pt>
                      <c:pt idx="41">
                        <c:v>26.203936729003079</c:v>
                      </c:pt>
                      <c:pt idx="42">
                        <c:v>25.481611438668846</c:v>
                      </c:pt>
                      <c:pt idx="43">
                        <c:v>24.759286148334613</c:v>
                      </c:pt>
                      <c:pt idx="44">
                        <c:v>24.036960858000377</c:v>
                      </c:pt>
                      <c:pt idx="45">
                        <c:v>23.314635567666141</c:v>
                      </c:pt>
                      <c:pt idx="46">
                        <c:v>22.592310277329389</c:v>
                      </c:pt>
                      <c:pt idx="47">
                        <c:v>21.869984986997675</c:v>
                      </c:pt>
                      <c:pt idx="48">
                        <c:v>21.147659696660916</c:v>
                      </c:pt>
                      <c:pt idx="49">
                        <c:v>20.425334406326684</c:v>
                      </c:pt>
                      <c:pt idx="50">
                        <c:v>19.703009115992451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054-40B2-856D-0E15D739D60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グラフ!$X$5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グラフ!$X$6:$X$56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52.474749747470852</c:v>
                      </c:pt>
                      <c:pt idx="1">
                        <c:v>51.75242445713662</c:v>
                      </c:pt>
                      <c:pt idx="2">
                        <c:v>51.030099166802387</c:v>
                      </c:pt>
                      <c:pt idx="3">
                        <c:v>50.307773876463116</c:v>
                      </c:pt>
                      <c:pt idx="4">
                        <c:v>49.585448586131399</c:v>
                      </c:pt>
                      <c:pt idx="5">
                        <c:v>48.863123295794651</c:v>
                      </c:pt>
                      <c:pt idx="6">
                        <c:v>48.140798005460404</c:v>
                      </c:pt>
                      <c:pt idx="7">
                        <c:v>47.418472715126171</c:v>
                      </c:pt>
                      <c:pt idx="8">
                        <c:v>46.696147424789423</c:v>
                      </c:pt>
                      <c:pt idx="9">
                        <c:v>45.973822134460228</c:v>
                      </c:pt>
                      <c:pt idx="10">
                        <c:v>45.25149684412095</c:v>
                      </c:pt>
                      <c:pt idx="11">
                        <c:v>44.529171553786718</c:v>
                      </c:pt>
                      <c:pt idx="12">
                        <c:v>43.806846263452485</c:v>
                      </c:pt>
                      <c:pt idx="13">
                        <c:v>43.084520973115723</c:v>
                      </c:pt>
                      <c:pt idx="14">
                        <c:v>42.362195682784012</c:v>
                      </c:pt>
                      <c:pt idx="15">
                        <c:v>41.63987039244978</c:v>
                      </c:pt>
                      <c:pt idx="16">
                        <c:v>40.917545102113024</c:v>
                      </c:pt>
                      <c:pt idx="17">
                        <c:v>40.195219811778792</c:v>
                      </c:pt>
                      <c:pt idx="18">
                        <c:v>39.472894521442036</c:v>
                      </c:pt>
                      <c:pt idx="19">
                        <c:v>38.750569231107796</c:v>
                      </c:pt>
                      <c:pt idx="20">
                        <c:v>38.028243940771041</c:v>
                      </c:pt>
                      <c:pt idx="21">
                        <c:v>37.305918650436809</c:v>
                      </c:pt>
                      <c:pt idx="22">
                        <c:v>36.583593360102576</c:v>
                      </c:pt>
                      <c:pt idx="23">
                        <c:v>35.861268069770865</c:v>
                      </c:pt>
                      <c:pt idx="24">
                        <c:v>35.13894277943411</c:v>
                      </c:pt>
                      <c:pt idx="25">
                        <c:v>34.416617489099878</c:v>
                      </c:pt>
                      <c:pt idx="26">
                        <c:v>33.694292198765638</c:v>
                      </c:pt>
                      <c:pt idx="27">
                        <c:v>32.971966908428882</c:v>
                      </c:pt>
                      <c:pt idx="28">
                        <c:v>32.24964161809465</c:v>
                      </c:pt>
                      <c:pt idx="29">
                        <c:v>31.527316327757894</c:v>
                      </c:pt>
                      <c:pt idx="30">
                        <c:v>30.804991037426181</c:v>
                      </c:pt>
                      <c:pt idx="31">
                        <c:v>30.082665747086903</c:v>
                      </c:pt>
                      <c:pt idx="32">
                        <c:v>29.36034045676023</c:v>
                      </c:pt>
                      <c:pt idx="33">
                        <c:v>28.638015166420956</c:v>
                      </c:pt>
                      <c:pt idx="34">
                        <c:v>27.91568987608672</c:v>
                      </c:pt>
                      <c:pt idx="35">
                        <c:v>27.193364585752487</c:v>
                      </c:pt>
                      <c:pt idx="36">
                        <c:v>26.471039295415732</c:v>
                      </c:pt>
                      <c:pt idx="37">
                        <c:v>25.748714005084015</c:v>
                      </c:pt>
                      <c:pt idx="38">
                        <c:v>25.026388714747263</c:v>
                      </c:pt>
                      <c:pt idx="39">
                        <c:v>24.304063424413027</c:v>
                      </c:pt>
                      <c:pt idx="40">
                        <c:v>23.581738134076272</c:v>
                      </c:pt>
                      <c:pt idx="41">
                        <c:v>22.859412843742039</c:v>
                      </c:pt>
                      <c:pt idx="42">
                        <c:v>22.137087553410325</c:v>
                      </c:pt>
                      <c:pt idx="43">
                        <c:v>21.41476226307357</c:v>
                      </c:pt>
                      <c:pt idx="44">
                        <c:v>20.692436972736814</c:v>
                      </c:pt>
                      <c:pt idx="45">
                        <c:v>19.970111682405101</c:v>
                      </c:pt>
                      <c:pt idx="46">
                        <c:v>19.247786392065823</c:v>
                      </c:pt>
                      <c:pt idx="47">
                        <c:v>18.525461101734109</c:v>
                      </c:pt>
                      <c:pt idx="48">
                        <c:v>17.803135811399876</c:v>
                      </c:pt>
                      <c:pt idx="49">
                        <c:v>17.080810521063121</c:v>
                      </c:pt>
                      <c:pt idx="50">
                        <c:v>16.358485230728885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054-40B2-856D-0E15D739D60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グラフ!$Y$5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グラフ!$Y$6:$Y$56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49.130225862209812</c:v>
                      </c:pt>
                      <c:pt idx="1">
                        <c:v>48.407900571873057</c:v>
                      </c:pt>
                      <c:pt idx="2">
                        <c:v>47.685575281541347</c:v>
                      </c:pt>
                      <c:pt idx="3">
                        <c:v>46.963249991202076</c:v>
                      </c:pt>
                      <c:pt idx="4">
                        <c:v>46.240924700867829</c:v>
                      </c:pt>
                      <c:pt idx="5">
                        <c:v>45.518599410533596</c:v>
                      </c:pt>
                      <c:pt idx="6">
                        <c:v>44.796274120196848</c:v>
                      </c:pt>
                      <c:pt idx="7">
                        <c:v>44.073948829865131</c:v>
                      </c:pt>
                      <c:pt idx="8">
                        <c:v>43.351623539528376</c:v>
                      </c:pt>
                      <c:pt idx="9">
                        <c:v>42.629298249196665</c:v>
                      </c:pt>
                      <c:pt idx="10">
                        <c:v>41.90697295885991</c:v>
                      </c:pt>
                      <c:pt idx="11">
                        <c:v>41.184647668523148</c:v>
                      </c:pt>
                      <c:pt idx="12">
                        <c:v>40.462322378191438</c:v>
                      </c:pt>
                      <c:pt idx="13">
                        <c:v>39.739997087854682</c:v>
                      </c:pt>
                      <c:pt idx="14">
                        <c:v>39.01767179752045</c:v>
                      </c:pt>
                      <c:pt idx="15">
                        <c:v>38.295346507188739</c:v>
                      </c:pt>
                      <c:pt idx="16">
                        <c:v>37.573021216849462</c:v>
                      </c:pt>
                      <c:pt idx="17">
                        <c:v>36.850695926515222</c:v>
                      </c:pt>
                      <c:pt idx="18">
                        <c:v>36.128370636180989</c:v>
                      </c:pt>
                      <c:pt idx="19">
                        <c:v>35.406045345844234</c:v>
                      </c:pt>
                      <c:pt idx="20">
                        <c:v>34.683720055510001</c:v>
                      </c:pt>
                      <c:pt idx="21">
                        <c:v>33.961394765178291</c:v>
                      </c:pt>
                      <c:pt idx="22">
                        <c:v>33.239069474841536</c:v>
                      </c:pt>
                      <c:pt idx="23">
                        <c:v>32.516744184507303</c:v>
                      </c:pt>
                      <c:pt idx="24">
                        <c:v>31.794418894170541</c:v>
                      </c:pt>
                      <c:pt idx="25">
                        <c:v>31.07209360383883</c:v>
                      </c:pt>
                      <c:pt idx="26">
                        <c:v>30.349768313502071</c:v>
                      </c:pt>
                      <c:pt idx="27">
                        <c:v>29.62744302316532</c:v>
                      </c:pt>
                      <c:pt idx="28">
                        <c:v>28.905117732833606</c:v>
                      </c:pt>
                      <c:pt idx="29">
                        <c:v>28.182792442494328</c:v>
                      </c:pt>
                      <c:pt idx="30">
                        <c:v>27.460467152167656</c:v>
                      </c:pt>
                      <c:pt idx="31">
                        <c:v>26.738141861828382</c:v>
                      </c:pt>
                      <c:pt idx="32">
                        <c:v>26.015816571496668</c:v>
                      </c:pt>
                      <c:pt idx="33">
                        <c:v>25.293491281159913</c:v>
                      </c:pt>
                      <c:pt idx="34">
                        <c:v>24.571165990823157</c:v>
                      </c:pt>
                      <c:pt idx="35">
                        <c:v>23.848840700488921</c:v>
                      </c:pt>
                      <c:pt idx="36">
                        <c:v>23.126515410154688</c:v>
                      </c:pt>
                      <c:pt idx="37">
                        <c:v>22.404190119820452</c:v>
                      </c:pt>
                      <c:pt idx="38">
                        <c:v>21.681864829483697</c:v>
                      </c:pt>
                      <c:pt idx="39">
                        <c:v>20.959539539151983</c:v>
                      </c:pt>
                      <c:pt idx="40">
                        <c:v>20.23721424881775</c:v>
                      </c:pt>
                      <c:pt idx="41">
                        <c:v>19.514888958480995</c:v>
                      </c:pt>
                      <c:pt idx="42">
                        <c:v>18.792563668146759</c:v>
                      </c:pt>
                      <c:pt idx="43">
                        <c:v>18.070238377812526</c:v>
                      </c:pt>
                      <c:pt idx="44">
                        <c:v>17.347913087473252</c:v>
                      </c:pt>
                      <c:pt idx="45">
                        <c:v>16.625587797141534</c:v>
                      </c:pt>
                      <c:pt idx="46">
                        <c:v>15.903262506804781</c:v>
                      </c:pt>
                      <c:pt idx="47">
                        <c:v>15.180937216470547</c:v>
                      </c:pt>
                      <c:pt idx="48">
                        <c:v>14.458611926136312</c:v>
                      </c:pt>
                      <c:pt idx="49">
                        <c:v>13.736286635802077</c:v>
                      </c:pt>
                      <c:pt idx="50">
                        <c:v>13.013961345470364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054-40B2-856D-0E15D739D60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グラフ!$Z$5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グラフ!$Z$6:$Z$56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45.785701976948772</c:v>
                      </c:pt>
                      <c:pt idx="1">
                        <c:v>45.063376686612017</c:v>
                      </c:pt>
                      <c:pt idx="2">
                        <c:v>44.341051396277784</c:v>
                      </c:pt>
                      <c:pt idx="3">
                        <c:v>43.618726105941022</c:v>
                      </c:pt>
                      <c:pt idx="4">
                        <c:v>42.896400815604274</c:v>
                      </c:pt>
                      <c:pt idx="5">
                        <c:v>42.174075525272556</c:v>
                      </c:pt>
                      <c:pt idx="6">
                        <c:v>41.451750234935801</c:v>
                      </c:pt>
                      <c:pt idx="7">
                        <c:v>40.729424944601568</c:v>
                      </c:pt>
                      <c:pt idx="8">
                        <c:v>40.007099654267336</c:v>
                      </c:pt>
                      <c:pt idx="9">
                        <c:v>39.284774363933103</c:v>
                      </c:pt>
                      <c:pt idx="10">
                        <c:v>38.562449073598863</c:v>
                      </c:pt>
                      <c:pt idx="11">
                        <c:v>37.840123783262108</c:v>
                      </c:pt>
                      <c:pt idx="12">
                        <c:v>37.117798492927875</c:v>
                      </c:pt>
                      <c:pt idx="13">
                        <c:v>36.395473202593642</c:v>
                      </c:pt>
                      <c:pt idx="14">
                        <c:v>35.673147912256887</c:v>
                      </c:pt>
                      <c:pt idx="15">
                        <c:v>34.950822621925177</c:v>
                      </c:pt>
                      <c:pt idx="16">
                        <c:v>34.228497331588414</c:v>
                      </c:pt>
                      <c:pt idx="17">
                        <c:v>33.506172041251659</c:v>
                      </c:pt>
                      <c:pt idx="18">
                        <c:v>32.783846750919949</c:v>
                      </c:pt>
                      <c:pt idx="19">
                        <c:v>32.061521460585716</c:v>
                      </c:pt>
                      <c:pt idx="20">
                        <c:v>31.339196170248961</c:v>
                      </c:pt>
                      <c:pt idx="21">
                        <c:v>30.616870879914721</c:v>
                      </c:pt>
                      <c:pt idx="22">
                        <c:v>29.894545589577969</c:v>
                      </c:pt>
                      <c:pt idx="23">
                        <c:v>29.172220299246256</c:v>
                      </c:pt>
                      <c:pt idx="24">
                        <c:v>28.449895008906978</c:v>
                      </c:pt>
                      <c:pt idx="25">
                        <c:v>27.727569718575264</c:v>
                      </c:pt>
                      <c:pt idx="26">
                        <c:v>27.005244428241031</c:v>
                      </c:pt>
                      <c:pt idx="27">
                        <c:v>26.282919137901754</c:v>
                      </c:pt>
                      <c:pt idx="28">
                        <c:v>25.560593847575085</c:v>
                      </c:pt>
                      <c:pt idx="29">
                        <c:v>24.838268557235807</c:v>
                      </c:pt>
                      <c:pt idx="30">
                        <c:v>24.115943266904093</c:v>
                      </c:pt>
                      <c:pt idx="31">
                        <c:v>23.393617976567338</c:v>
                      </c:pt>
                      <c:pt idx="32">
                        <c:v>22.671292686233102</c:v>
                      </c:pt>
                      <c:pt idx="33">
                        <c:v>21.94896739589635</c:v>
                      </c:pt>
                      <c:pt idx="34">
                        <c:v>21.226642105562114</c:v>
                      </c:pt>
                      <c:pt idx="35">
                        <c:v>20.504316815225359</c:v>
                      </c:pt>
                      <c:pt idx="36">
                        <c:v>19.781991524891126</c:v>
                      </c:pt>
                      <c:pt idx="37">
                        <c:v>19.059666234559412</c:v>
                      </c:pt>
                      <c:pt idx="38">
                        <c:v>18.337340944225176</c:v>
                      </c:pt>
                      <c:pt idx="39">
                        <c:v>17.615015653890939</c:v>
                      </c:pt>
                      <c:pt idx="40">
                        <c:v>16.892690363554188</c:v>
                      </c:pt>
                      <c:pt idx="41">
                        <c:v>16.170365073219951</c:v>
                      </c:pt>
                      <c:pt idx="42">
                        <c:v>15.448039782883196</c:v>
                      </c:pt>
                      <c:pt idx="43">
                        <c:v>14.725714492548962</c:v>
                      </c:pt>
                      <c:pt idx="44">
                        <c:v>14.003389202212206</c:v>
                      </c:pt>
                      <c:pt idx="45">
                        <c:v>13.281063911877974</c:v>
                      </c:pt>
                      <c:pt idx="46">
                        <c:v>12.558738621541218</c:v>
                      </c:pt>
                      <c:pt idx="47">
                        <c:v>11.836413331209505</c:v>
                      </c:pt>
                      <c:pt idx="48">
                        <c:v>11.114088040877791</c:v>
                      </c:pt>
                      <c:pt idx="49">
                        <c:v>10.391762750541035</c:v>
                      </c:pt>
                      <c:pt idx="50">
                        <c:v>9.6694374602067992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054-40B2-856D-0E15D739D60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グラフ!$AA$5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グラフ!$AA$6:$AA$56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42.441178091685209</c:v>
                      </c:pt>
                      <c:pt idx="1">
                        <c:v>41.718852801350977</c:v>
                      </c:pt>
                      <c:pt idx="2">
                        <c:v>40.996527511014214</c:v>
                      </c:pt>
                      <c:pt idx="3">
                        <c:v>40.274202220679982</c:v>
                      </c:pt>
                      <c:pt idx="4">
                        <c:v>39.551876930343226</c:v>
                      </c:pt>
                      <c:pt idx="5">
                        <c:v>38.829551640008994</c:v>
                      </c:pt>
                      <c:pt idx="6">
                        <c:v>38.107226349674761</c:v>
                      </c:pt>
                      <c:pt idx="7">
                        <c:v>37.384901059338006</c:v>
                      </c:pt>
                      <c:pt idx="8">
                        <c:v>36.662575769006295</c:v>
                      </c:pt>
                      <c:pt idx="9">
                        <c:v>35.940250478672056</c:v>
                      </c:pt>
                      <c:pt idx="10">
                        <c:v>35.2179251883353</c:v>
                      </c:pt>
                      <c:pt idx="11">
                        <c:v>34.495599898001068</c:v>
                      </c:pt>
                      <c:pt idx="12">
                        <c:v>33.773274607664312</c:v>
                      </c:pt>
                      <c:pt idx="13">
                        <c:v>33.05094931733008</c:v>
                      </c:pt>
                      <c:pt idx="14">
                        <c:v>32.328624026995847</c:v>
                      </c:pt>
                      <c:pt idx="15">
                        <c:v>31.606298736661607</c:v>
                      </c:pt>
                      <c:pt idx="16">
                        <c:v>30.883973446327374</c:v>
                      </c:pt>
                      <c:pt idx="17">
                        <c:v>30.161648155993138</c:v>
                      </c:pt>
                      <c:pt idx="18">
                        <c:v>29.439322865658905</c:v>
                      </c:pt>
                      <c:pt idx="19">
                        <c:v>28.71699757532215</c:v>
                      </c:pt>
                      <c:pt idx="20">
                        <c:v>27.994672284985395</c:v>
                      </c:pt>
                      <c:pt idx="21">
                        <c:v>27.272346994653681</c:v>
                      </c:pt>
                      <c:pt idx="22">
                        <c:v>26.550021704314403</c:v>
                      </c:pt>
                      <c:pt idx="23">
                        <c:v>25.827696413982689</c:v>
                      </c:pt>
                      <c:pt idx="24">
                        <c:v>25.105371123645938</c:v>
                      </c:pt>
                      <c:pt idx="25">
                        <c:v>24.383045833311705</c:v>
                      </c:pt>
                      <c:pt idx="26">
                        <c:v>23.66072054298251</c:v>
                      </c:pt>
                      <c:pt idx="27">
                        <c:v>22.938395252643232</c:v>
                      </c:pt>
                      <c:pt idx="28">
                        <c:v>22.216069962311519</c:v>
                      </c:pt>
                      <c:pt idx="29">
                        <c:v>21.493744671974767</c:v>
                      </c:pt>
                      <c:pt idx="30">
                        <c:v>20.771419381640527</c:v>
                      </c:pt>
                      <c:pt idx="31">
                        <c:v>20.049094091303775</c:v>
                      </c:pt>
                      <c:pt idx="32">
                        <c:v>19.326768800972062</c:v>
                      </c:pt>
                      <c:pt idx="33">
                        <c:v>18.604443510632784</c:v>
                      </c:pt>
                      <c:pt idx="34">
                        <c:v>17.882118220298551</c:v>
                      </c:pt>
                      <c:pt idx="35">
                        <c:v>17.159792929964318</c:v>
                      </c:pt>
                      <c:pt idx="36">
                        <c:v>16.437467639632601</c:v>
                      </c:pt>
                      <c:pt idx="37">
                        <c:v>15.715142349298366</c:v>
                      </c:pt>
                      <c:pt idx="38">
                        <c:v>14.992817058961613</c:v>
                      </c:pt>
                      <c:pt idx="39">
                        <c:v>14.270491768629897</c:v>
                      </c:pt>
                      <c:pt idx="40">
                        <c:v>13.548166478290623</c:v>
                      </c:pt>
                      <c:pt idx="41">
                        <c:v>12.825841187956389</c:v>
                      </c:pt>
                      <c:pt idx="42">
                        <c:v>12.103515897622154</c:v>
                      </c:pt>
                      <c:pt idx="43">
                        <c:v>11.381190607285399</c:v>
                      </c:pt>
                      <c:pt idx="44">
                        <c:v>10.658865316948644</c:v>
                      </c:pt>
                      <c:pt idx="45">
                        <c:v>9.9365400266169299</c:v>
                      </c:pt>
                      <c:pt idx="46">
                        <c:v>9.2142147362826954</c:v>
                      </c:pt>
                      <c:pt idx="47">
                        <c:v>8.4918894459484608</c:v>
                      </c:pt>
                      <c:pt idx="48">
                        <c:v>7.7695641556142254</c:v>
                      </c:pt>
                      <c:pt idx="49">
                        <c:v>7.0472388652799909</c:v>
                      </c:pt>
                      <c:pt idx="50">
                        <c:v>6.3249135749432366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054-40B2-856D-0E15D739D60C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グラフ!$AB$5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グラフ!$AB$6:$AB$56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39.09665420642164</c:v>
                      </c:pt>
                      <c:pt idx="1">
                        <c:v>38.374328916089929</c:v>
                      </c:pt>
                      <c:pt idx="2">
                        <c:v>37.652003625753174</c:v>
                      </c:pt>
                      <c:pt idx="3">
                        <c:v>36.929678335416419</c:v>
                      </c:pt>
                      <c:pt idx="4">
                        <c:v>36.207353045082186</c:v>
                      </c:pt>
                      <c:pt idx="5">
                        <c:v>35.485027754745431</c:v>
                      </c:pt>
                      <c:pt idx="6">
                        <c:v>34.762702464413721</c:v>
                      </c:pt>
                      <c:pt idx="7">
                        <c:v>34.040377174076959</c:v>
                      </c:pt>
                      <c:pt idx="8">
                        <c:v>33.318051883742726</c:v>
                      </c:pt>
                      <c:pt idx="9">
                        <c:v>32.595726593411015</c:v>
                      </c:pt>
                      <c:pt idx="10">
                        <c:v>31.873401303071738</c:v>
                      </c:pt>
                      <c:pt idx="11">
                        <c:v>31.151076012737505</c:v>
                      </c:pt>
                      <c:pt idx="12">
                        <c:v>30.428750722403269</c:v>
                      </c:pt>
                      <c:pt idx="13">
                        <c:v>29.706425432066514</c:v>
                      </c:pt>
                      <c:pt idx="14">
                        <c:v>28.9841001417348</c:v>
                      </c:pt>
                      <c:pt idx="15">
                        <c:v>28.261774851403086</c:v>
                      </c:pt>
                      <c:pt idx="16">
                        <c:v>27.539449561066331</c:v>
                      </c:pt>
                      <c:pt idx="17">
                        <c:v>26.817124270729575</c:v>
                      </c:pt>
                      <c:pt idx="18">
                        <c:v>26.094798980395339</c:v>
                      </c:pt>
                      <c:pt idx="19">
                        <c:v>25.372473690061106</c:v>
                      </c:pt>
                      <c:pt idx="20">
                        <c:v>24.650148399721832</c:v>
                      </c:pt>
                      <c:pt idx="21">
                        <c:v>23.927823109390115</c:v>
                      </c:pt>
                      <c:pt idx="22">
                        <c:v>23.205497819053363</c:v>
                      </c:pt>
                      <c:pt idx="23">
                        <c:v>22.48317252871913</c:v>
                      </c:pt>
                      <c:pt idx="24">
                        <c:v>21.760847238387417</c:v>
                      </c:pt>
                      <c:pt idx="25">
                        <c:v>21.038521948053177</c:v>
                      </c:pt>
                      <c:pt idx="26">
                        <c:v>20.316196657718944</c:v>
                      </c:pt>
                      <c:pt idx="27">
                        <c:v>19.593871367382192</c:v>
                      </c:pt>
                      <c:pt idx="28">
                        <c:v>18.871546077047952</c:v>
                      </c:pt>
                      <c:pt idx="29">
                        <c:v>18.149220786711201</c:v>
                      </c:pt>
                      <c:pt idx="30">
                        <c:v>17.426895496379487</c:v>
                      </c:pt>
                      <c:pt idx="31">
                        <c:v>16.704570206040209</c:v>
                      </c:pt>
                      <c:pt idx="32">
                        <c:v>15.982244915708495</c:v>
                      </c:pt>
                      <c:pt idx="33">
                        <c:v>15.259919625371742</c:v>
                      </c:pt>
                      <c:pt idx="34">
                        <c:v>14.537594335040026</c:v>
                      </c:pt>
                      <c:pt idx="35">
                        <c:v>13.815269044703273</c:v>
                      </c:pt>
                      <c:pt idx="36">
                        <c:v>13.092943754369038</c:v>
                      </c:pt>
                      <c:pt idx="37">
                        <c:v>12.370618464037324</c:v>
                      </c:pt>
                      <c:pt idx="38">
                        <c:v>11.648293173698049</c:v>
                      </c:pt>
                      <c:pt idx="39">
                        <c:v>10.925967883366335</c:v>
                      </c:pt>
                      <c:pt idx="40">
                        <c:v>10.20364259302958</c:v>
                      </c:pt>
                      <c:pt idx="41">
                        <c:v>9.4813173026928261</c:v>
                      </c:pt>
                      <c:pt idx="42">
                        <c:v>8.7589920123585898</c:v>
                      </c:pt>
                      <c:pt idx="43">
                        <c:v>8.0366667220243553</c:v>
                      </c:pt>
                      <c:pt idx="44">
                        <c:v>7.3143414316901207</c:v>
                      </c:pt>
                      <c:pt idx="45">
                        <c:v>6.5920161413558871</c:v>
                      </c:pt>
                      <c:pt idx="46">
                        <c:v>5.8696908510191319</c:v>
                      </c:pt>
                      <c:pt idx="47">
                        <c:v>5.147365560687418</c:v>
                      </c:pt>
                      <c:pt idx="48">
                        <c:v>4.4250402703506628</c:v>
                      </c:pt>
                      <c:pt idx="49">
                        <c:v>3.7027149800164283</c:v>
                      </c:pt>
                      <c:pt idx="50">
                        <c:v>2.9803896896821938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054-40B2-856D-0E15D739D60C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グラフ!$AK$5</c15:sqref>
                        </c15:formulaRef>
                      </c:ext>
                    </c:extLst>
                    <c:strCache>
                      <c:ptCount val="1"/>
                      <c:pt idx="0">
                        <c:v>outer応力:Δ-30℃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グラフ!$AK$6:$AK$56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115.81143244473274</c:v>
                      </c:pt>
                      <c:pt idx="1">
                        <c:v>114.39750145865105</c:v>
                      </c:pt>
                      <c:pt idx="2">
                        <c:v>112.98357047257429</c:v>
                      </c:pt>
                      <c:pt idx="3">
                        <c:v>111.56963948649752</c:v>
                      </c:pt>
                      <c:pt idx="4">
                        <c:v>110.15570850041583</c:v>
                      </c:pt>
                      <c:pt idx="5">
                        <c:v>108.74177751433908</c:v>
                      </c:pt>
                      <c:pt idx="6">
                        <c:v>107.3278465282623</c:v>
                      </c:pt>
                      <c:pt idx="7">
                        <c:v>105.91391554218062</c:v>
                      </c:pt>
                      <c:pt idx="8">
                        <c:v>104.4999845561088</c:v>
                      </c:pt>
                      <c:pt idx="9">
                        <c:v>103.08605357003202</c:v>
                      </c:pt>
                      <c:pt idx="10">
                        <c:v>101.67212258395033</c:v>
                      </c:pt>
                      <c:pt idx="11">
                        <c:v>100.25819159787356</c:v>
                      </c:pt>
                      <c:pt idx="12">
                        <c:v>98.844260611791881</c:v>
                      </c:pt>
                      <c:pt idx="13">
                        <c:v>97.430329625720063</c:v>
                      </c:pt>
                      <c:pt idx="14">
                        <c:v>96.016398639638354</c:v>
                      </c:pt>
                      <c:pt idx="15">
                        <c:v>94.602467653566535</c:v>
                      </c:pt>
                      <c:pt idx="16">
                        <c:v>93.188536667484826</c:v>
                      </c:pt>
                      <c:pt idx="17">
                        <c:v>91.774605681403131</c:v>
                      </c:pt>
                      <c:pt idx="18">
                        <c:v>90.360674695331312</c:v>
                      </c:pt>
                      <c:pt idx="19">
                        <c:v>88.946743709249617</c:v>
                      </c:pt>
                      <c:pt idx="20">
                        <c:v>87.532812723167922</c:v>
                      </c:pt>
                      <c:pt idx="21">
                        <c:v>86.118881737096103</c:v>
                      </c:pt>
                      <c:pt idx="22">
                        <c:v>84.704950751009449</c:v>
                      </c:pt>
                      <c:pt idx="23">
                        <c:v>83.29101976493763</c:v>
                      </c:pt>
                      <c:pt idx="24">
                        <c:v>81.877088778855935</c:v>
                      </c:pt>
                      <c:pt idx="25">
                        <c:v>80.463157792779185</c:v>
                      </c:pt>
                      <c:pt idx="26">
                        <c:v>79.049226806707367</c:v>
                      </c:pt>
                      <c:pt idx="27">
                        <c:v>77.635295820625657</c:v>
                      </c:pt>
                      <c:pt idx="28">
                        <c:v>76.221364834553839</c:v>
                      </c:pt>
                      <c:pt idx="29">
                        <c:v>74.807433848467184</c:v>
                      </c:pt>
                      <c:pt idx="30">
                        <c:v>73.39350286239538</c:v>
                      </c:pt>
                      <c:pt idx="31">
                        <c:v>71.979571876313685</c:v>
                      </c:pt>
                      <c:pt idx="32">
                        <c:v>70.565640890236921</c:v>
                      </c:pt>
                      <c:pt idx="33">
                        <c:v>69.151709904155226</c:v>
                      </c:pt>
                      <c:pt idx="34">
                        <c:v>67.737778918078462</c:v>
                      </c:pt>
                      <c:pt idx="35">
                        <c:v>66.323847931996752</c:v>
                      </c:pt>
                      <c:pt idx="36">
                        <c:v>64.909916945929865</c:v>
                      </c:pt>
                      <c:pt idx="37">
                        <c:v>63.495985959853101</c:v>
                      </c:pt>
                      <c:pt idx="38">
                        <c:v>62.082054973771413</c:v>
                      </c:pt>
                      <c:pt idx="39">
                        <c:v>60.668123987699595</c:v>
                      </c:pt>
                      <c:pt idx="40">
                        <c:v>59.254193001612954</c:v>
                      </c:pt>
                      <c:pt idx="41">
                        <c:v>57.840262015536197</c:v>
                      </c:pt>
                      <c:pt idx="42">
                        <c:v>56.42633102945944</c:v>
                      </c:pt>
                      <c:pt idx="43">
                        <c:v>55.012400043377738</c:v>
                      </c:pt>
                      <c:pt idx="44">
                        <c:v>53.59846905729605</c:v>
                      </c:pt>
                      <c:pt idx="45">
                        <c:v>52.184538071224225</c:v>
                      </c:pt>
                      <c:pt idx="46">
                        <c:v>50.770607085147446</c:v>
                      </c:pt>
                      <c:pt idx="47">
                        <c:v>49.356676099070697</c:v>
                      </c:pt>
                      <c:pt idx="48">
                        <c:v>47.94274511299394</c:v>
                      </c:pt>
                      <c:pt idx="49">
                        <c:v>46.528814126917176</c:v>
                      </c:pt>
                      <c:pt idx="50">
                        <c:v>45.114883140835474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054-40B2-856D-0E15D739D60C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グラフ!$AL$5</c15:sqref>
                        </c15:formulaRef>
                      </c:ext>
                    </c:extLst>
                    <c:strCache>
                      <c:ptCount val="1"/>
                      <c:pt idx="0">
                        <c:v>outer応力:Δ-20℃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グラフ!$AL$6:$AL$56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109.26462310782054</c:v>
                      </c:pt>
                      <c:pt idx="1">
                        <c:v>107.85069212174872</c:v>
                      </c:pt>
                      <c:pt idx="2">
                        <c:v>106.436761135667</c:v>
                      </c:pt>
                      <c:pt idx="3">
                        <c:v>105.02283014958532</c:v>
                      </c:pt>
                      <c:pt idx="4">
                        <c:v>103.60889916350857</c:v>
                      </c:pt>
                      <c:pt idx="5">
                        <c:v>102.19496817742686</c:v>
                      </c:pt>
                      <c:pt idx="6">
                        <c:v>100.78103719135504</c:v>
                      </c:pt>
                      <c:pt idx="7">
                        <c:v>99.367106205273345</c:v>
                      </c:pt>
                      <c:pt idx="8">
                        <c:v>97.953175219196567</c:v>
                      </c:pt>
                      <c:pt idx="9">
                        <c:v>96.539244233124748</c:v>
                      </c:pt>
                      <c:pt idx="10">
                        <c:v>95.125313247038136</c:v>
                      </c:pt>
                      <c:pt idx="11">
                        <c:v>93.711382260966289</c:v>
                      </c:pt>
                      <c:pt idx="12">
                        <c:v>92.297451274884608</c:v>
                      </c:pt>
                      <c:pt idx="13">
                        <c:v>90.883520288807844</c:v>
                      </c:pt>
                      <c:pt idx="14">
                        <c:v>89.469589302731066</c:v>
                      </c:pt>
                      <c:pt idx="15">
                        <c:v>88.055658316654302</c:v>
                      </c:pt>
                      <c:pt idx="16">
                        <c:v>86.641727330577552</c:v>
                      </c:pt>
                      <c:pt idx="17">
                        <c:v>85.227796344495857</c:v>
                      </c:pt>
                      <c:pt idx="18">
                        <c:v>83.813865358419093</c:v>
                      </c:pt>
                      <c:pt idx="19">
                        <c:v>82.399934372342344</c:v>
                      </c:pt>
                      <c:pt idx="20">
                        <c:v>80.986003386255717</c:v>
                      </c:pt>
                      <c:pt idx="21">
                        <c:v>79.57207240018387</c:v>
                      </c:pt>
                      <c:pt idx="22">
                        <c:v>78.158141414102175</c:v>
                      </c:pt>
                      <c:pt idx="23">
                        <c:v>76.744210428025411</c:v>
                      </c:pt>
                      <c:pt idx="24">
                        <c:v>75.330279441948662</c:v>
                      </c:pt>
                      <c:pt idx="25">
                        <c:v>73.916348455876843</c:v>
                      </c:pt>
                      <c:pt idx="26">
                        <c:v>72.502417469800065</c:v>
                      </c:pt>
                      <c:pt idx="27">
                        <c:v>71.088486483713439</c:v>
                      </c:pt>
                      <c:pt idx="28">
                        <c:v>69.67455549764162</c:v>
                      </c:pt>
                      <c:pt idx="29">
                        <c:v>68.260624511559925</c:v>
                      </c:pt>
                      <c:pt idx="30">
                        <c:v>66.846693525483175</c:v>
                      </c:pt>
                      <c:pt idx="31">
                        <c:v>65.432762539401466</c:v>
                      </c:pt>
                      <c:pt idx="32">
                        <c:v>64.018831553329633</c:v>
                      </c:pt>
                      <c:pt idx="33">
                        <c:v>62.604900567243007</c:v>
                      </c:pt>
                      <c:pt idx="34">
                        <c:v>61.190969581176105</c:v>
                      </c:pt>
                      <c:pt idx="35">
                        <c:v>59.777038595094417</c:v>
                      </c:pt>
                      <c:pt idx="36">
                        <c:v>58.363107609017661</c:v>
                      </c:pt>
                      <c:pt idx="37">
                        <c:v>56.949176622945828</c:v>
                      </c:pt>
                      <c:pt idx="38">
                        <c:v>55.535245636859202</c:v>
                      </c:pt>
                      <c:pt idx="39">
                        <c:v>54.121314650787376</c:v>
                      </c:pt>
                      <c:pt idx="40">
                        <c:v>52.707383664705681</c:v>
                      </c:pt>
                      <c:pt idx="41">
                        <c:v>51.293452678623986</c:v>
                      </c:pt>
                      <c:pt idx="42">
                        <c:v>49.879521692547222</c:v>
                      </c:pt>
                      <c:pt idx="43">
                        <c:v>48.465590706470465</c:v>
                      </c:pt>
                      <c:pt idx="44">
                        <c:v>47.051659720393701</c:v>
                      </c:pt>
                      <c:pt idx="45">
                        <c:v>45.637728734316937</c:v>
                      </c:pt>
                      <c:pt idx="46">
                        <c:v>44.223797748235249</c:v>
                      </c:pt>
                      <c:pt idx="47">
                        <c:v>42.809866762163423</c:v>
                      </c:pt>
                      <c:pt idx="48">
                        <c:v>41.395935776081721</c:v>
                      </c:pt>
                      <c:pt idx="49">
                        <c:v>39.982004790004957</c:v>
                      </c:pt>
                      <c:pt idx="50">
                        <c:v>38.568073803928201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054-40B2-856D-0E15D739D60C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グラフ!$AM$5</c15:sqref>
                        </c15:formulaRef>
                      </c:ext>
                    </c:extLst>
                    <c:strCache>
                      <c:ptCount val="1"/>
                      <c:pt idx="0">
                        <c:v>outer応力:Δ-10℃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グラフ!$AM$6:$AM$56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102.71781377091325</c:v>
                      </c:pt>
                      <c:pt idx="1">
                        <c:v>101.30388278483649</c:v>
                      </c:pt>
                      <c:pt idx="2">
                        <c:v>99.889951798759725</c:v>
                      </c:pt>
                      <c:pt idx="3">
                        <c:v>98.476020812673113</c:v>
                      </c:pt>
                      <c:pt idx="4">
                        <c:v>97.06208982660128</c:v>
                      </c:pt>
                      <c:pt idx="5">
                        <c:v>95.648158840519599</c:v>
                      </c:pt>
                      <c:pt idx="6">
                        <c:v>94.234227854442821</c:v>
                      </c:pt>
                      <c:pt idx="7">
                        <c:v>92.820296868366057</c:v>
                      </c:pt>
                      <c:pt idx="8">
                        <c:v>91.406365882284376</c:v>
                      </c:pt>
                      <c:pt idx="9">
                        <c:v>89.992434896217475</c:v>
                      </c:pt>
                      <c:pt idx="10">
                        <c:v>88.578503910130848</c:v>
                      </c:pt>
                      <c:pt idx="11">
                        <c:v>87.164572924054085</c:v>
                      </c:pt>
                      <c:pt idx="12">
                        <c:v>85.750641937977321</c:v>
                      </c:pt>
                      <c:pt idx="13">
                        <c:v>84.336710951895625</c:v>
                      </c:pt>
                      <c:pt idx="14">
                        <c:v>82.922779965823793</c:v>
                      </c:pt>
                      <c:pt idx="15">
                        <c:v>81.508848979747043</c:v>
                      </c:pt>
                      <c:pt idx="16">
                        <c:v>80.094917993665348</c:v>
                      </c:pt>
                      <c:pt idx="17">
                        <c:v>78.680987007588584</c:v>
                      </c:pt>
                      <c:pt idx="18">
                        <c:v>77.267056021506889</c:v>
                      </c:pt>
                      <c:pt idx="19">
                        <c:v>75.853125035430111</c:v>
                      </c:pt>
                      <c:pt idx="20">
                        <c:v>74.439194049348416</c:v>
                      </c:pt>
                      <c:pt idx="21">
                        <c:v>73.025263063271666</c:v>
                      </c:pt>
                      <c:pt idx="22">
                        <c:v>71.611332077194902</c:v>
                      </c:pt>
                      <c:pt idx="23">
                        <c:v>70.197401091123083</c:v>
                      </c:pt>
                      <c:pt idx="24">
                        <c:v>68.783470105041388</c:v>
                      </c:pt>
                      <c:pt idx="25">
                        <c:v>67.369539118964639</c:v>
                      </c:pt>
                      <c:pt idx="26">
                        <c:v>65.955608132887861</c:v>
                      </c:pt>
                      <c:pt idx="27">
                        <c:v>64.541677146806165</c:v>
                      </c:pt>
                      <c:pt idx="28">
                        <c:v>63.127746160729409</c:v>
                      </c:pt>
                      <c:pt idx="29">
                        <c:v>61.713815174647721</c:v>
                      </c:pt>
                      <c:pt idx="30">
                        <c:v>60.299884188575888</c:v>
                      </c:pt>
                      <c:pt idx="31">
                        <c:v>58.885953202489254</c:v>
                      </c:pt>
                      <c:pt idx="32">
                        <c:v>57.472022216427291</c:v>
                      </c:pt>
                      <c:pt idx="33">
                        <c:v>56.058091230340672</c:v>
                      </c:pt>
                      <c:pt idx="34">
                        <c:v>54.644160244263901</c:v>
                      </c:pt>
                      <c:pt idx="35">
                        <c:v>53.230229258187144</c:v>
                      </c:pt>
                      <c:pt idx="36">
                        <c:v>51.816298272105449</c:v>
                      </c:pt>
                      <c:pt idx="37">
                        <c:v>50.402367286033609</c:v>
                      </c:pt>
                      <c:pt idx="38">
                        <c:v>48.988436299951928</c:v>
                      </c:pt>
                      <c:pt idx="39">
                        <c:v>47.574505313875164</c:v>
                      </c:pt>
                      <c:pt idx="40">
                        <c:v>46.160574327793462</c:v>
                      </c:pt>
                      <c:pt idx="41">
                        <c:v>44.746643341716712</c:v>
                      </c:pt>
                      <c:pt idx="42">
                        <c:v>43.33271235564488</c:v>
                      </c:pt>
                      <c:pt idx="43">
                        <c:v>41.918781369563185</c:v>
                      </c:pt>
                      <c:pt idx="44">
                        <c:v>40.504850383481489</c:v>
                      </c:pt>
                      <c:pt idx="45">
                        <c:v>39.090919397409664</c:v>
                      </c:pt>
                      <c:pt idx="46">
                        <c:v>37.67698841132303</c:v>
                      </c:pt>
                      <c:pt idx="47">
                        <c:v>36.263057425251205</c:v>
                      </c:pt>
                      <c:pt idx="48">
                        <c:v>34.849126439174448</c:v>
                      </c:pt>
                      <c:pt idx="49">
                        <c:v>33.435195453092746</c:v>
                      </c:pt>
                      <c:pt idx="50">
                        <c:v>32.021264467015982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054-40B2-856D-0E15D739D60C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グラフ!$AN$5</c15:sqref>
                        </c15:formulaRef>
                      </c:ext>
                    </c:extLst>
                    <c:strCache>
                      <c:ptCount val="1"/>
                      <c:pt idx="0">
                        <c:v>outer応力:Δ0℃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グラフ!$AN$6:$AN$56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96.171004434005965</c:v>
                      </c:pt>
                      <c:pt idx="1">
                        <c:v>94.757073447924284</c:v>
                      </c:pt>
                      <c:pt idx="2">
                        <c:v>93.343142461852452</c:v>
                      </c:pt>
                      <c:pt idx="3">
                        <c:v>91.92921147576584</c:v>
                      </c:pt>
                      <c:pt idx="4">
                        <c:v>90.515280489689061</c:v>
                      </c:pt>
                      <c:pt idx="5">
                        <c:v>89.101349503612283</c:v>
                      </c:pt>
                      <c:pt idx="6">
                        <c:v>87.687418517530617</c:v>
                      </c:pt>
                      <c:pt idx="7">
                        <c:v>86.273487531458784</c:v>
                      </c:pt>
                      <c:pt idx="8">
                        <c:v>84.859556545377075</c:v>
                      </c:pt>
                      <c:pt idx="9">
                        <c:v>83.44562555930527</c:v>
                      </c:pt>
                      <c:pt idx="10">
                        <c:v>82.031694573223561</c:v>
                      </c:pt>
                      <c:pt idx="11">
                        <c:v>80.617763587141852</c:v>
                      </c:pt>
                      <c:pt idx="12">
                        <c:v>79.203832601070047</c:v>
                      </c:pt>
                      <c:pt idx="13">
                        <c:v>77.789901614988338</c:v>
                      </c:pt>
                      <c:pt idx="14">
                        <c:v>76.375970628911588</c:v>
                      </c:pt>
                      <c:pt idx="15">
                        <c:v>74.962039642839756</c:v>
                      </c:pt>
                      <c:pt idx="16">
                        <c:v>73.548108656753129</c:v>
                      </c:pt>
                      <c:pt idx="17">
                        <c:v>72.134177670676365</c:v>
                      </c:pt>
                      <c:pt idx="18">
                        <c:v>70.720246684599601</c:v>
                      </c:pt>
                      <c:pt idx="19">
                        <c:v>69.306315698517906</c:v>
                      </c:pt>
                      <c:pt idx="20">
                        <c:v>67.892384712441157</c:v>
                      </c:pt>
                      <c:pt idx="21">
                        <c:v>66.478453726369324</c:v>
                      </c:pt>
                      <c:pt idx="22">
                        <c:v>65.064522740287643</c:v>
                      </c:pt>
                      <c:pt idx="23">
                        <c:v>63.650591754210872</c:v>
                      </c:pt>
                      <c:pt idx="24">
                        <c:v>62.236660768129163</c:v>
                      </c:pt>
                      <c:pt idx="25">
                        <c:v>60.822729782057344</c:v>
                      </c:pt>
                      <c:pt idx="26">
                        <c:v>59.408798795975642</c:v>
                      </c:pt>
                      <c:pt idx="27">
                        <c:v>57.994867809893954</c:v>
                      </c:pt>
                      <c:pt idx="28">
                        <c:v>56.580936823822128</c:v>
                      </c:pt>
                      <c:pt idx="29">
                        <c:v>55.167005837735495</c:v>
                      </c:pt>
                      <c:pt idx="30">
                        <c:v>53.753074851673539</c:v>
                      </c:pt>
                      <c:pt idx="31">
                        <c:v>52.339143865586905</c:v>
                      </c:pt>
                      <c:pt idx="32">
                        <c:v>50.92521287951508</c:v>
                      </c:pt>
                      <c:pt idx="33">
                        <c:v>49.511281893433392</c:v>
                      </c:pt>
                      <c:pt idx="34">
                        <c:v>48.097350907351689</c:v>
                      </c:pt>
                      <c:pt idx="35">
                        <c:v>46.683419921274925</c:v>
                      </c:pt>
                      <c:pt idx="36">
                        <c:v>45.269488935198169</c:v>
                      </c:pt>
                      <c:pt idx="37">
                        <c:v>43.855557949121405</c:v>
                      </c:pt>
                      <c:pt idx="38">
                        <c:v>42.44162696303971</c:v>
                      </c:pt>
                      <c:pt idx="39">
                        <c:v>41.027695976967884</c:v>
                      </c:pt>
                      <c:pt idx="40">
                        <c:v>39.61376499089112</c:v>
                      </c:pt>
                      <c:pt idx="41">
                        <c:v>38.199834004809425</c:v>
                      </c:pt>
                      <c:pt idx="42">
                        <c:v>36.785903018732668</c:v>
                      </c:pt>
                      <c:pt idx="43">
                        <c:v>35.371972032655904</c:v>
                      </c:pt>
                      <c:pt idx="44">
                        <c:v>33.958041046569278</c:v>
                      </c:pt>
                      <c:pt idx="45">
                        <c:v>32.544110060497445</c:v>
                      </c:pt>
                      <c:pt idx="46">
                        <c:v>31.13017907441575</c:v>
                      </c:pt>
                      <c:pt idx="47">
                        <c:v>29.716248088338993</c:v>
                      </c:pt>
                      <c:pt idx="48">
                        <c:v>28.302317102262229</c:v>
                      </c:pt>
                      <c:pt idx="49">
                        <c:v>26.888386116185469</c:v>
                      </c:pt>
                      <c:pt idx="50">
                        <c:v>25.47445513011364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054-40B2-856D-0E15D739D60C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グラフ!$AO$5</c15:sqref>
                        </c15:formulaRef>
                      </c:ext>
                    </c:extLst>
                    <c:strCache>
                      <c:ptCount val="1"/>
                      <c:pt idx="0">
                        <c:v>outer応力:Δ+10℃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グラフ!$AO$6:$AO$56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89.624195097098706</c:v>
                      </c:pt>
                      <c:pt idx="1">
                        <c:v>88.210264111016997</c:v>
                      </c:pt>
                      <c:pt idx="2">
                        <c:v>86.796333124940247</c:v>
                      </c:pt>
                      <c:pt idx="3">
                        <c:v>85.382402138858538</c:v>
                      </c:pt>
                      <c:pt idx="4">
                        <c:v>83.968471152776857</c:v>
                      </c:pt>
                      <c:pt idx="5">
                        <c:v>82.554540166705024</c:v>
                      </c:pt>
                      <c:pt idx="6">
                        <c:v>81.140609180623329</c:v>
                      </c:pt>
                      <c:pt idx="7">
                        <c:v>79.726678194546565</c:v>
                      </c:pt>
                      <c:pt idx="8">
                        <c:v>78.312747208469816</c:v>
                      </c:pt>
                      <c:pt idx="9">
                        <c:v>76.898816222393052</c:v>
                      </c:pt>
                      <c:pt idx="10">
                        <c:v>75.484885236316288</c:v>
                      </c:pt>
                      <c:pt idx="11">
                        <c:v>74.070954250234593</c:v>
                      </c:pt>
                      <c:pt idx="12">
                        <c:v>72.657023264157829</c:v>
                      </c:pt>
                      <c:pt idx="13">
                        <c:v>71.243092278081079</c:v>
                      </c:pt>
                      <c:pt idx="14">
                        <c:v>69.82916129199937</c:v>
                      </c:pt>
                      <c:pt idx="15">
                        <c:v>68.415230305927551</c:v>
                      </c:pt>
                      <c:pt idx="16">
                        <c:v>67.001299319845856</c:v>
                      </c:pt>
                      <c:pt idx="17">
                        <c:v>65.587368333764147</c:v>
                      </c:pt>
                      <c:pt idx="18">
                        <c:v>64.173437347692328</c:v>
                      </c:pt>
                      <c:pt idx="19">
                        <c:v>62.759506361615564</c:v>
                      </c:pt>
                      <c:pt idx="20">
                        <c:v>61.345575375533876</c:v>
                      </c:pt>
                      <c:pt idx="21">
                        <c:v>59.931644389457105</c:v>
                      </c:pt>
                      <c:pt idx="22">
                        <c:v>58.517713403375417</c:v>
                      </c:pt>
                      <c:pt idx="23">
                        <c:v>57.103782417303592</c:v>
                      </c:pt>
                      <c:pt idx="24">
                        <c:v>55.689851431216951</c:v>
                      </c:pt>
                      <c:pt idx="25">
                        <c:v>54.275920445145125</c:v>
                      </c:pt>
                      <c:pt idx="26">
                        <c:v>52.861989459068369</c:v>
                      </c:pt>
                      <c:pt idx="27">
                        <c:v>51.448058472981735</c:v>
                      </c:pt>
                      <c:pt idx="28">
                        <c:v>50.034127486919786</c:v>
                      </c:pt>
                      <c:pt idx="29">
                        <c:v>48.620196500833153</c:v>
                      </c:pt>
                      <c:pt idx="30">
                        <c:v>47.206265514761327</c:v>
                      </c:pt>
                      <c:pt idx="31">
                        <c:v>45.792334528679625</c:v>
                      </c:pt>
                      <c:pt idx="32">
                        <c:v>44.378403542602868</c:v>
                      </c:pt>
                      <c:pt idx="33">
                        <c:v>42.96447255652118</c:v>
                      </c:pt>
                      <c:pt idx="34">
                        <c:v>41.550541570444409</c:v>
                      </c:pt>
                      <c:pt idx="35">
                        <c:v>40.136610584362714</c:v>
                      </c:pt>
                      <c:pt idx="36">
                        <c:v>38.722679598285964</c:v>
                      </c:pt>
                      <c:pt idx="37">
                        <c:v>37.308748612214131</c:v>
                      </c:pt>
                      <c:pt idx="38">
                        <c:v>35.894817626137367</c:v>
                      </c:pt>
                      <c:pt idx="39">
                        <c:v>34.480886640060604</c:v>
                      </c:pt>
                      <c:pt idx="40">
                        <c:v>33.066955653978908</c:v>
                      </c:pt>
                      <c:pt idx="41">
                        <c:v>31.653024667902145</c:v>
                      </c:pt>
                      <c:pt idx="42">
                        <c:v>30.239093681820453</c:v>
                      </c:pt>
                      <c:pt idx="43">
                        <c:v>28.825162695743693</c:v>
                      </c:pt>
                      <c:pt idx="44">
                        <c:v>27.411231709661998</c:v>
                      </c:pt>
                      <c:pt idx="45">
                        <c:v>25.997300723585237</c:v>
                      </c:pt>
                      <c:pt idx="46">
                        <c:v>24.583369737503542</c:v>
                      </c:pt>
                      <c:pt idx="47">
                        <c:v>23.169438751431716</c:v>
                      </c:pt>
                      <c:pt idx="48">
                        <c:v>21.755507765359891</c:v>
                      </c:pt>
                      <c:pt idx="49">
                        <c:v>20.341576779278192</c:v>
                      </c:pt>
                      <c:pt idx="50">
                        <c:v>18.927645793201428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054-40B2-856D-0E15D739D60C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グラフ!$AP$5</c15:sqref>
                        </c15:formulaRef>
                      </c:ext>
                    </c:extLst>
                    <c:strCache>
                      <c:ptCount val="1"/>
                      <c:pt idx="0">
                        <c:v>outer応力:Δ+20℃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グラフ!$AP$6:$AP$56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83.077385760186488</c:v>
                      </c:pt>
                      <c:pt idx="1">
                        <c:v>81.663454774109738</c:v>
                      </c:pt>
                      <c:pt idx="2">
                        <c:v>80.249523788028029</c:v>
                      </c:pt>
                      <c:pt idx="3">
                        <c:v>78.835592801951265</c:v>
                      </c:pt>
                      <c:pt idx="4">
                        <c:v>77.42166181586957</c:v>
                      </c:pt>
                      <c:pt idx="5">
                        <c:v>76.00773082979282</c:v>
                      </c:pt>
                      <c:pt idx="6">
                        <c:v>74.593799843716056</c:v>
                      </c:pt>
                      <c:pt idx="7">
                        <c:v>73.179868857634361</c:v>
                      </c:pt>
                      <c:pt idx="8">
                        <c:v>71.765937871562528</c:v>
                      </c:pt>
                      <c:pt idx="9">
                        <c:v>70.352006885485764</c:v>
                      </c:pt>
                      <c:pt idx="10">
                        <c:v>68.938075899404083</c:v>
                      </c:pt>
                      <c:pt idx="11">
                        <c:v>67.524144913327305</c:v>
                      </c:pt>
                      <c:pt idx="12">
                        <c:v>66.110213927245624</c:v>
                      </c:pt>
                      <c:pt idx="13">
                        <c:v>64.69628294116886</c:v>
                      </c:pt>
                      <c:pt idx="14">
                        <c:v>63.282351955092103</c:v>
                      </c:pt>
                      <c:pt idx="15">
                        <c:v>61.868420969015339</c:v>
                      </c:pt>
                      <c:pt idx="16">
                        <c:v>60.454489982938568</c:v>
                      </c:pt>
                      <c:pt idx="17">
                        <c:v>59.040558996861805</c:v>
                      </c:pt>
                      <c:pt idx="18">
                        <c:v>57.626628010785055</c:v>
                      </c:pt>
                      <c:pt idx="19">
                        <c:v>56.212697024703353</c:v>
                      </c:pt>
                      <c:pt idx="20">
                        <c:v>54.798766038621658</c:v>
                      </c:pt>
                      <c:pt idx="21">
                        <c:v>53.384835052549832</c:v>
                      </c:pt>
                      <c:pt idx="22">
                        <c:v>51.970904066463198</c:v>
                      </c:pt>
                      <c:pt idx="23">
                        <c:v>50.556973080391373</c:v>
                      </c:pt>
                      <c:pt idx="24">
                        <c:v>49.143042094309678</c:v>
                      </c:pt>
                      <c:pt idx="25">
                        <c:v>47.729111108232921</c:v>
                      </c:pt>
                      <c:pt idx="26">
                        <c:v>46.315180122166026</c:v>
                      </c:pt>
                      <c:pt idx="27">
                        <c:v>44.9012491360794</c:v>
                      </c:pt>
                      <c:pt idx="28">
                        <c:v>43.487318150007567</c:v>
                      </c:pt>
                      <c:pt idx="29">
                        <c:v>42.073387163925879</c:v>
                      </c:pt>
                      <c:pt idx="30">
                        <c:v>40.659456177849108</c:v>
                      </c:pt>
                      <c:pt idx="31">
                        <c:v>39.24552519176742</c:v>
                      </c:pt>
                      <c:pt idx="32">
                        <c:v>37.831594205695588</c:v>
                      </c:pt>
                      <c:pt idx="33">
                        <c:v>36.417663219608961</c:v>
                      </c:pt>
                      <c:pt idx="34">
                        <c:v>35.003732233532197</c:v>
                      </c:pt>
                      <c:pt idx="35">
                        <c:v>33.589801247455441</c:v>
                      </c:pt>
                      <c:pt idx="36">
                        <c:v>32.175870261383608</c:v>
                      </c:pt>
                      <c:pt idx="37">
                        <c:v>30.761939275306847</c:v>
                      </c:pt>
                      <c:pt idx="38">
                        <c:v>29.348008289225156</c:v>
                      </c:pt>
                      <c:pt idx="39">
                        <c:v>27.934077303153327</c:v>
                      </c:pt>
                      <c:pt idx="40">
                        <c:v>26.5201463170667</c:v>
                      </c:pt>
                      <c:pt idx="41">
                        <c:v>25.106215330989937</c:v>
                      </c:pt>
                      <c:pt idx="42">
                        <c:v>23.692284344913176</c:v>
                      </c:pt>
                      <c:pt idx="43">
                        <c:v>22.278353358831481</c:v>
                      </c:pt>
                      <c:pt idx="44">
                        <c:v>20.864422372749786</c:v>
                      </c:pt>
                      <c:pt idx="45">
                        <c:v>19.450491386677957</c:v>
                      </c:pt>
                      <c:pt idx="46">
                        <c:v>18.036560400601196</c:v>
                      </c:pt>
                      <c:pt idx="47">
                        <c:v>16.622629414524436</c:v>
                      </c:pt>
                      <c:pt idx="48">
                        <c:v>15.208698428447672</c:v>
                      </c:pt>
                      <c:pt idx="49">
                        <c:v>13.79476744237091</c:v>
                      </c:pt>
                      <c:pt idx="50">
                        <c:v>12.380836456289217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054-40B2-856D-0E15D739D60C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グラフ!$AQ$5</c15:sqref>
                        </c15:formulaRef>
                      </c:ext>
                    </c:extLst>
                    <c:strCache>
                      <c:ptCount val="1"/>
                      <c:pt idx="0">
                        <c:v>outer応力:Δ+30℃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グラフ!$AQ$6:$AQ$56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76.530576423274269</c:v>
                      </c:pt>
                      <c:pt idx="1">
                        <c:v>75.116645437202436</c:v>
                      </c:pt>
                      <c:pt idx="2">
                        <c:v>73.702714451120741</c:v>
                      </c:pt>
                      <c:pt idx="3">
                        <c:v>72.28878346503906</c:v>
                      </c:pt>
                      <c:pt idx="4">
                        <c:v>70.874852478962296</c:v>
                      </c:pt>
                      <c:pt idx="5">
                        <c:v>69.460921492880601</c:v>
                      </c:pt>
                      <c:pt idx="6">
                        <c:v>68.046990506808783</c:v>
                      </c:pt>
                      <c:pt idx="7">
                        <c:v>66.633059520727073</c:v>
                      </c:pt>
                      <c:pt idx="8">
                        <c:v>65.219128534650309</c:v>
                      </c:pt>
                      <c:pt idx="9">
                        <c:v>63.805197548578491</c:v>
                      </c:pt>
                      <c:pt idx="10">
                        <c:v>62.391266562491857</c:v>
                      </c:pt>
                      <c:pt idx="11">
                        <c:v>60.977335576415101</c:v>
                      </c:pt>
                      <c:pt idx="12">
                        <c:v>59.563404590338344</c:v>
                      </c:pt>
                      <c:pt idx="13">
                        <c:v>58.149473604256642</c:v>
                      </c:pt>
                      <c:pt idx="14">
                        <c:v>56.735542618184816</c:v>
                      </c:pt>
                      <c:pt idx="15">
                        <c:v>55.32161163211299</c:v>
                      </c:pt>
                      <c:pt idx="16">
                        <c:v>53.907680646031288</c:v>
                      </c:pt>
                      <c:pt idx="17">
                        <c:v>52.4937496599496</c:v>
                      </c:pt>
                      <c:pt idx="18">
                        <c:v>51.079818673872836</c:v>
                      </c:pt>
                      <c:pt idx="19">
                        <c:v>49.665887687796072</c:v>
                      </c:pt>
                      <c:pt idx="20">
                        <c:v>48.251956701709453</c:v>
                      </c:pt>
                      <c:pt idx="21">
                        <c:v>46.838025715637613</c:v>
                      </c:pt>
                      <c:pt idx="22">
                        <c:v>45.424094729555925</c:v>
                      </c:pt>
                      <c:pt idx="23">
                        <c:v>44.010163743479168</c:v>
                      </c:pt>
                      <c:pt idx="24">
                        <c:v>42.596232757407343</c:v>
                      </c:pt>
                      <c:pt idx="25">
                        <c:v>41.182301771330565</c:v>
                      </c:pt>
                      <c:pt idx="26">
                        <c:v>39.768370785253808</c:v>
                      </c:pt>
                      <c:pt idx="27">
                        <c:v>38.354439799172127</c:v>
                      </c:pt>
                      <c:pt idx="28">
                        <c:v>36.940508813095349</c:v>
                      </c:pt>
                      <c:pt idx="29">
                        <c:v>35.526577827013661</c:v>
                      </c:pt>
                      <c:pt idx="30">
                        <c:v>34.112646840941835</c:v>
                      </c:pt>
                      <c:pt idx="31">
                        <c:v>32.698715854855202</c:v>
                      </c:pt>
                      <c:pt idx="32">
                        <c:v>31.284784868783376</c:v>
                      </c:pt>
                      <c:pt idx="33">
                        <c:v>29.870853882701681</c:v>
                      </c:pt>
                      <c:pt idx="34">
                        <c:v>28.456922896629852</c:v>
                      </c:pt>
                      <c:pt idx="35">
                        <c:v>27.04299191054816</c:v>
                      </c:pt>
                      <c:pt idx="36">
                        <c:v>25.629060924471396</c:v>
                      </c:pt>
                      <c:pt idx="37">
                        <c:v>24.215129938399571</c:v>
                      </c:pt>
                      <c:pt idx="38">
                        <c:v>22.801198952312941</c:v>
                      </c:pt>
                      <c:pt idx="39">
                        <c:v>21.387267966241115</c:v>
                      </c:pt>
                      <c:pt idx="40">
                        <c:v>19.97333698015942</c:v>
                      </c:pt>
                      <c:pt idx="41">
                        <c:v>18.559405994077729</c:v>
                      </c:pt>
                      <c:pt idx="42">
                        <c:v>17.145475008000961</c:v>
                      </c:pt>
                      <c:pt idx="43">
                        <c:v>15.731544021924201</c:v>
                      </c:pt>
                      <c:pt idx="44">
                        <c:v>14.317613035847438</c:v>
                      </c:pt>
                      <c:pt idx="45">
                        <c:v>12.90368204977068</c:v>
                      </c:pt>
                      <c:pt idx="46">
                        <c:v>11.489751063688983</c:v>
                      </c:pt>
                      <c:pt idx="47">
                        <c:v>10.075820077617157</c:v>
                      </c:pt>
                      <c:pt idx="48">
                        <c:v>8.6618890915354623</c:v>
                      </c:pt>
                      <c:pt idx="49">
                        <c:v>7.2479581054587001</c:v>
                      </c:pt>
                      <c:pt idx="50">
                        <c:v>5.8340271193819389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054-40B2-856D-0E15D739D60C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グラフ!$AR$5</c15:sqref>
                        </c15:formulaRef>
                      </c:ext>
                    </c:extLst>
                    <c:strCache>
                      <c:ptCount val="1"/>
                      <c:pt idx="0">
                        <c:v>outer降伏点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グラフ!$AR$6:$AR$56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150</c:v>
                      </c:pt>
                      <c:pt idx="1">
                        <c:v>150</c:v>
                      </c:pt>
                      <c:pt idx="2">
                        <c:v>150</c:v>
                      </c:pt>
                      <c:pt idx="3">
                        <c:v>150</c:v>
                      </c:pt>
                      <c:pt idx="4">
                        <c:v>150</c:v>
                      </c:pt>
                      <c:pt idx="5">
                        <c:v>150</c:v>
                      </c:pt>
                      <c:pt idx="6">
                        <c:v>150</c:v>
                      </c:pt>
                      <c:pt idx="7">
                        <c:v>150</c:v>
                      </c:pt>
                      <c:pt idx="8">
                        <c:v>150</c:v>
                      </c:pt>
                      <c:pt idx="9">
                        <c:v>150</c:v>
                      </c:pt>
                      <c:pt idx="10">
                        <c:v>150</c:v>
                      </c:pt>
                      <c:pt idx="11">
                        <c:v>150</c:v>
                      </c:pt>
                      <c:pt idx="12">
                        <c:v>150</c:v>
                      </c:pt>
                      <c:pt idx="13">
                        <c:v>150</c:v>
                      </c:pt>
                      <c:pt idx="14">
                        <c:v>150</c:v>
                      </c:pt>
                      <c:pt idx="15">
                        <c:v>150</c:v>
                      </c:pt>
                      <c:pt idx="16">
                        <c:v>150</c:v>
                      </c:pt>
                      <c:pt idx="17">
                        <c:v>150</c:v>
                      </c:pt>
                      <c:pt idx="18">
                        <c:v>150</c:v>
                      </c:pt>
                      <c:pt idx="19">
                        <c:v>150</c:v>
                      </c:pt>
                      <c:pt idx="20">
                        <c:v>150</c:v>
                      </c:pt>
                      <c:pt idx="21">
                        <c:v>150</c:v>
                      </c:pt>
                      <c:pt idx="22">
                        <c:v>150</c:v>
                      </c:pt>
                      <c:pt idx="23">
                        <c:v>150</c:v>
                      </c:pt>
                      <c:pt idx="24">
                        <c:v>150</c:v>
                      </c:pt>
                      <c:pt idx="25">
                        <c:v>150</c:v>
                      </c:pt>
                      <c:pt idx="26">
                        <c:v>150</c:v>
                      </c:pt>
                      <c:pt idx="27">
                        <c:v>150</c:v>
                      </c:pt>
                      <c:pt idx="28">
                        <c:v>150</c:v>
                      </c:pt>
                      <c:pt idx="29">
                        <c:v>150</c:v>
                      </c:pt>
                      <c:pt idx="30">
                        <c:v>150</c:v>
                      </c:pt>
                      <c:pt idx="31">
                        <c:v>150</c:v>
                      </c:pt>
                      <c:pt idx="32">
                        <c:v>150</c:v>
                      </c:pt>
                      <c:pt idx="33">
                        <c:v>150</c:v>
                      </c:pt>
                      <c:pt idx="34">
                        <c:v>150</c:v>
                      </c:pt>
                      <c:pt idx="35">
                        <c:v>150</c:v>
                      </c:pt>
                      <c:pt idx="36">
                        <c:v>150</c:v>
                      </c:pt>
                      <c:pt idx="37">
                        <c:v>150</c:v>
                      </c:pt>
                      <c:pt idx="38">
                        <c:v>150</c:v>
                      </c:pt>
                      <c:pt idx="39">
                        <c:v>150</c:v>
                      </c:pt>
                      <c:pt idx="40">
                        <c:v>150</c:v>
                      </c:pt>
                      <c:pt idx="41">
                        <c:v>150</c:v>
                      </c:pt>
                      <c:pt idx="42">
                        <c:v>150</c:v>
                      </c:pt>
                      <c:pt idx="43">
                        <c:v>150</c:v>
                      </c:pt>
                      <c:pt idx="44">
                        <c:v>150</c:v>
                      </c:pt>
                      <c:pt idx="45">
                        <c:v>150</c:v>
                      </c:pt>
                      <c:pt idx="46">
                        <c:v>150</c:v>
                      </c:pt>
                      <c:pt idx="47">
                        <c:v>150</c:v>
                      </c:pt>
                      <c:pt idx="48">
                        <c:v>150</c:v>
                      </c:pt>
                      <c:pt idx="49">
                        <c:v>150</c:v>
                      </c:pt>
                      <c:pt idx="50">
                        <c:v>150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054-40B2-856D-0E15D739D60C}"/>
                  </c:ext>
                </c:extLst>
              </c15:ser>
            </c15:filteredScatterSeries>
          </c:ext>
        </c:extLst>
      </c:scatterChart>
      <c:valAx>
        <c:axId val="1878419104"/>
        <c:scaling>
          <c:orientation val="minMax"/>
          <c:max val="20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グラフ!$N$5</c:f>
              <c:strCache>
                <c:ptCount val="1"/>
                <c:pt idx="0">
                  <c:v>inner温度[℃]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8401216"/>
        <c:crosses val="autoZero"/>
        <c:crossBetween val="midCat"/>
      </c:valAx>
      <c:valAx>
        <c:axId val="18784012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グラフ!$AC$4</c:f>
              <c:strCache>
                <c:ptCount val="1"/>
                <c:pt idx="0">
                  <c:v>inner応力[MPa]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8419104"/>
        <c:crossesAt val="-100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温度 </a:t>
            </a:r>
            <a:r>
              <a:rPr lang="en-US" altLang="ja-JP"/>
              <a:t>vs Outer</a:t>
            </a:r>
            <a:r>
              <a:rPr lang="ja-JP" altLang="en-US"/>
              <a:t>応力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22"/>
          <c:order val="22"/>
          <c:tx>
            <c:strRef>
              <c:f>グラフ!$AK$5</c:f>
              <c:strCache>
                <c:ptCount val="1"/>
                <c:pt idx="0">
                  <c:v>outer応力:Δ-30℃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グラフ!$AK$6:$AK$56</c:f>
              <c:numCache>
                <c:formatCode>0.0</c:formatCode>
                <c:ptCount val="51"/>
                <c:pt idx="0">
                  <c:v>115.81143244473274</c:v>
                </c:pt>
                <c:pt idx="1">
                  <c:v>114.39750145865105</c:v>
                </c:pt>
                <c:pt idx="2">
                  <c:v>112.98357047257429</c:v>
                </c:pt>
                <c:pt idx="3">
                  <c:v>111.56963948649752</c:v>
                </c:pt>
                <c:pt idx="4">
                  <c:v>110.15570850041583</c:v>
                </c:pt>
                <c:pt idx="5">
                  <c:v>108.74177751433908</c:v>
                </c:pt>
                <c:pt idx="6">
                  <c:v>107.3278465282623</c:v>
                </c:pt>
                <c:pt idx="7">
                  <c:v>105.91391554218062</c:v>
                </c:pt>
                <c:pt idx="8">
                  <c:v>104.4999845561088</c:v>
                </c:pt>
                <c:pt idx="9">
                  <c:v>103.08605357003202</c:v>
                </c:pt>
                <c:pt idx="10">
                  <c:v>101.67212258395033</c:v>
                </c:pt>
                <c:pt idx="11">
                  <c:v>100.25819159787356</c:v>
                </c:pt>
                <c:pt idx="12">
                  <c:v>98.844260611791881</c:v>
                </c:pt>
                <c:pt idx="13">
                  <c:v>97.430329625720063</c:v>
                </c:pt>
                <c:pt idx="14">
                  <c:v>96.016398639638354</c:v>
                </c:pt>
                <c:pt idx="15">
                  <c:v>94.602467653566535</c:v>
                </c:pt>
                <c:pt idx="16">
                  <c:v>93.188536667484826</c:v>
                </c:pt>
                <c:pt idx="17">
                  <c:v>91.774605681403131</c:v>
                </c:pt>
                <c:pt idx="18">
                  <c:v>90.360674695331312</c:v>
                </c:pt>
                <c:pt idx="19">
                  <c:v>88.946743709249617</c:v>
                </c:pt>
                <c:pt idx="20">
                  <c:v>87.532812723167922</c:v>
                </c:pt>
                <c:pt idx="21">
                  <c:v>86.118881737096103</c:v>
                </c:pt>
                <c:pt idx="22">
                  <c:v>84.704950751009449</c:v>
                </c:pt>
                <c:pt idx="23">
                  <c:v>83.29101976493763</c:v>
                </c:pt>
                <c:pt idx="24">
                  <c:v>81.877088778855935</c:v>
                </c:pt>
                <c:pt idx="25">
                  <c:v>80.463157792779185</c:v>
                </c:pt>
                <c:pt idx="26">
                  <c:v>79.049226806707367</c:v>
                </c:pt>
                <c:pt idx="27">
                  <c:v>77.635295820625657</c:v>
                </c:pt>
                <c:pt idx="28">
                  <c:v>76.221364834553839</c:v>
                </c:pt>
                <c:pt idx="29">
                  <c:v>74.807433848467184</c:v>
                </c:pt>
                <c:pt idx="30">
                  <c:v>73.39350286239538</c:v>
                </c:pt>
                <c:pt idx="31">
                  <c:v>71.979571876313685</c:v>
                </c:pt>
                <c:pt idx="32">
                  <c:v>70.565640890236921</c:v>
                </c:pt>
                <c:pt idx="33">
                  <c:v>69.151709904155226</c:v>
                </c:pt>
                <c:pt idx="34">
                  <c:v>67.737778918078462</c:v>
                </c:pt>
                <c:pt idx="35">
                  <c:v>66.323847931996752</c:v>
                </c:pt>
                <c:pt idx="36">
                  <c:v>64.909916945929865</c:v>
                </c:pt>
                <c:pt idx="37">
                  <c:v>63.495985959853101</c:v>
                </c:pt>
                <c:pt idx="38">
                  <c:v>62.082054973771413</c:v>
                </c:pt>
                <c:pt idx="39">
                  <c:v>60.668123987699595</c:v>
                </c:pt>
                <c:pt idx="40">
                  <c:v>59.254193001612954</c:v>
                </c:pt>
                <c:pt idx="41">
                  <c:v>57.840262015536197</c:v>
                </c:pt>
                <c:pt idx="42">
                  <c:v>56.42633102945944</c:v>
                </c:pt>
                <c:pt idx="43">
                  <c:v>55.012400043377738</c:v>
                </c:pt>
                <c:pt idx="44">
                  <c:v>53.59846905729605</c:v>
                </c:pt>
                <c:pt idx="45">
                  <c:v>52.184538071224225</c:v>
                </c:pt>
                <c:pt idx="46">
                  <c:v>50.770607085147446</c:v>
                </c:pt>
                <c:pt idx="47">
                  <c:v>49.356676099070697</c:v>
                </c:pt>
                <c:pt idx="48">
                  <c:v>47.94274511299394</c:v>
                </c:pt>
                <c:pt idx="49">
                  <c:v>46.528814126917176</c:v>
                </c:pt>
                <c:pt idx="50">
                  <c:v>45.114883140835474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F3-4719-91D0-4CC87A3179E0}"/>
            </c:ext>
          </c:extLst>
        </c:ser>
        <c:ser>
          <c:idx val="23"/>
          <c:order val="23"/>
          <c:tx>
            <c:strRef>
              <c:f>グラフ!$AL$5</c:f>
              <c:strCache>
                <c:ptCount val="1"/>
                <c:pt idx="0">
                  <c:v>outer応力:Δ-20℃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グラフ!$AL$6:$AL$56</c:f>
              <c:numCache>
                <c:formatCode>0.0</c:formatCode>
                <c:ptCount val="51"/>
                <c:pt idx="0">
                  <c:v>109.26462310782054</c:v>
                </c:pt>
                <c:pt idx="1">
                  <c:v>107.85069212174872</c:v>
                </c:pt>
                <c:pt idx="2">
                  <c:v>106.436761135667</c:v>
                </c:pt>
                <c:pt idx="3">
                  <c:v>105.02283014958532</c:v>
                </c:pt>
                <c:pt idx="4">
                  <c:v>103.60889916350857</c:v>
                </c:pt>
                <c:pt idx="5">
                  <c:v>102.19496817742686</c:v>
                </c:pt>
                <c:pt idx="6">
                  <c:v>100.78103719135504</c:v>
                </c:pt>
                <c:pt idx="7">
                  <c:v>99.367106205273345</c:v>
                </c:pt>
                <c:pt idx="8">
                  <c:v>97.953175219196567</c:v>
                </c:pt>
                <c:pt idx="9">
                  <c:v>96.539244233124748</c:v>
                </c:pt>
                <c:pt idx="10">
                  <c:v>95.125313247038136</c:v>
                </c:pt>
                <c:pt idx="11">
                  <c:v>93.711382260966289</c:v>
                </c:pt>
                <c:pt idx="12">
                  <c:v>92.297451274884608</c:v>
                </c:pt>
                <c:pt idx="13">
                  <c:v>90.883520288807844</c:v>
                </c:pt>
                <c:pt idx="14">
                  <c:v>89.469589302731066</c:v>
                </c:pt>
                <c:pt idx="15">
                  <c:v>88.055658316654302</c:v>
                </c:pt>
                <c:pt idx="16">
                  <c:v>86.641727330577552</c:v>
                </c:pt>
                <c:pt idx="17">
                  <c:v>85.227796344495857</c:v>
                </c:pt>
                <c:pt idx="18">
                  <c:v>83.813865358419093</c:v>
                </c:pt>
                <c:pt idx="19">
                  <c:v>82.399934372342344</c:v>
                </c:pt>
                <c:pt idx="20">
                  <c:v>80.986003386255717</c:v>
                </c:pt>
                <c:pt idx="21">
                  <c:v>79.57207240018387</c:v>
                </c:pt>
                <c:pt idx="22">
                  <c:v>78.158141414102175</c:v>
                </c:pt>
                <c:pt idx="23">
                  <c:v>76.744210428025411</c:v>
                </c:pt>
                <c:pt idx="24">
                  <c:v>75.330279441948662</c:v>
                </c:pt>
                <c:pt idx="25">
                  <c:v>73.916348455876843</c:v>
                </c:pt>
                <c:pt idx="26">
                  <c:v>72.502417469800065</c:v>
                </c:pt>
                <c:pt idx="27">
                  <c:v>71.088486483713439</c:v>
                </c:pt>
                <c:pt idx="28">
                  <c:v>69.67455549764162</c:v>
                </c:pt>
                <c:pt idx="29">
                  <c:v>68.260624511559925</c:v>
                </c:pt>
                <c:pt idx="30">
                  <c:v>66.846693525483175</c:v>
                </c:pt>
                <c:pt idx="31">
                  <c:v>65.432762539401466</c:v>
                </c:pt>
                <c:pt idx="32">
                  <c:v>64.018831553329633</c:v>
                </c:pt>
                <c:pt idx="33">
                  <c:v>62.604900567243007</c:v>
                </c:pt>
                <c:pt idx="34">
                  <c:v>61.190969581176105</c:v>
                </c:pt>
                <c:pt idx="35">
                  <c:v>59.777038595094417</c:v>
                </c:pt>
                <c:pt idx="36">
                  <c:v>58.363107609017661</c:v>
                </c:pt>
                <c:pt idx="37">
                  <c:v>56.949176622945828</c:v>
                </c:pt>
                <c:pt idx="38">
                  <c:v>55.535245636859202</c:v>
                </c:pt>
                <c:pt idx="39">
                  <c:v>54.121314650787376</c:v>
                </c:pt>
                <c:pt idx="40">
                  <c:v>52.707383664705681</c:v>
                </c:pt>
                <c:pt idx="41">
                  <c:v>51.293452678623986</c:v>
                </c:pt>
                <c:pt idx="42">
                  <c:v>49.879521692547222</c:v>
                </c:pt>
                <c:pt idx="43">
                  <c:v>48.465590706470465</c:v>
                </c:pt>
                <c:pt idx="44">
                  <c:v>47.051659720393701</c:v>
                </c:pt>
                <c:pt idx="45">
                  <c:v>45.637728734316937</c:v>
                </c:pt>
                <c:pt idx="46">
                  <c:v>44.223797748235249</c:v>
                </c:pt>
                <c:pt idx="47">
                  <c:v>42.809866762163423</c:v>
                </c:pt>
                <c:pt idx="48">
                  <c:v>41.395935776081721</c:v>
                </c:pt>
                <c:pt idx="49">
                  <c:v>39.982004790004957</c:v>
                </c:pt>
                <c:pt idx="50">
                  <c:v>38.568073803928201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F3-4719-91D0-4CC87A3179E0}"/>
            </c:ext>
          </c:extLst>
        </c:ser>
        <c:ser>
          <c:idx val="24"/>
          <c:order val="24"/>
          <c:tx>
            <c:strRef>
              <c:f>グラフ!$AM$5</c:f>
              <c:strCache>
                <c:ptCount val="1"/>
                <c:pt idx="0">
                  <c:v>outer応力:Δ-10℃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グラフ!$AM$6:$AM$56</c:f>
              <c:numCache>
                <c:formatCode>0.0</c:formatCode>
                <c:ptCount val="51"/>
                <c:pt idx="0">
                  <c:v>102.71781377091325</c:v>
                </c:pt>
                <c:pt idx="1">
                  <c:v>101.30388278483649</c:v>
                </c:pt>
                <c:pt idx="2">
                  <c:v>99.889951798759725</c:v>
                </c:pt>
                <c:pt idx="3">
                  <c:v>98.476020812673113</c:v>
                </c:pt>
                <c:pt idx="4">
                  <c:v>97.06208982660128</c:v>
                </c:pt>
                <c:pt idx="5">
                  <c:v>95.648158840519599</c:v>
                </c:pt>
                <c:pt idx="6">
                  <c:v>94.234227854442821</c:v>
                </c:pt>
                <c:pt idx="7">
                  <c:v>92.820296868366057</c:v>
                </c:pt>
                <c:pt idx="8">
                  <c:v>91.406365882284376</c:v>
                </c:pt>
                <c:pt idx="9">
                  <c:v>89.992434896217475</c:v>
                </c:pt>
                <c:pt idx="10">
                  <c:v>88.578503910130848</c:v>
                </c:pt>
                <c:pt idx="11">
                  <c:v>87.164572924054085</c:v>
                </c:pt>
                <c:pt idx="12">
                  <c:v>85.750641937977321</c:v>
                </c:pt>
                <c:pt idx="13">
                  <c:v>84.336710951895625</c:v>
                </c:pt>
                <c:pt idx="14">
                  <c:v>82.922779965823793</c:v>
                </c:pt>
                <c:pt idx="15">
                  <c:v>81.508848979747043</c:v>
                </c:pt>
                <c:pt idx="16">
                  <c:v>80.094917993665348</c:v>
                </c:pt>
                <c:pt idx="17">
                  <c:v>78.680987007588584</c:v>
                </c:pt>
                <c:pt idx="18">
                  <c:v>77.267056021506889</c:v>
                </c:pt>
                <c:pt idx="19">
                  <c:v>75.853125035430111</c:v>
                </c:pt>
                <c:pt idx="20">
                  <c:v>74.439194049348416</c:v>
                </c:pt>
                <c:pt idx="21">
                  <c:v>73.025263063271666</c:v>
                </c:pt>
                <c:pt idx="22">
                  <c:v>71.611332077194902</c:v>
                </c:pt>
                <c:pt idx="23">
                  <c:v>70.197401091123083</c:v>
                </c:pt>
                <c:pt idx="24">
                  <c:v>68.783470105041388</c:v>
                </c:pt>
                <c:pt idx="25">
                  <c:v>67.369539118964639</c:v>
                </c:pt>
                <c:pt idx="26">
                  <c:v>65.955608132887861</c:v>
                </c:pt>
                <c:pt idx="27">
                  <c:v>64.541677146806165</c:v>
                </c:pt>
                <c:pt idx="28">
                  <c:v>63.127746160729409</c:v>
                </c:pt>
                <c:pt idx="29">
                  <c:v>61.713815174647721</c:v>
                </c:pt>
                <c:pt idx="30">
                  <c:v>60.299884188575888</c:v>
                </c:pt>
                <c:pt idx="31">
                  <c:v>58.885953202489254</c:v>
                </c:pt>
                <c:pt idx="32">
                  <c:v>57.472022216427291</c:v>
                </c:pt>
                <c:pt idx="33">
                  <c:v>56.058091230340672</c:v>
                </c:pt>
                <c:pt idx="34">
                  <c:v>54.644160244263901</c:v>
                </c:pt>
                <c:pt idx="35">
                  <c:v>53.230229258187144</c:v>
                </c:pt>
                <c:pt idx="36">
                  <c:v>51.816298272105449</c:v>
                </c:pt>
                <c:pt idx="37">
                  <c:v>50.402367286033609</c:v>
                </c:pt>
                <c:pt idx="38">
                  <c:v>48.988436299951928</c:v>
                </c:pt>
                <c:pt idx="39">
                  <c:v>47.574505313875164</c:v>
                </c:pt>
                <c:pt idx="40">
                  <c:v>46.160574327793462</c:v>
                </c:pt>
                <c:pt idx="41">
                  <c:v>44.746643341716712</c:v>
                </c:pt>
                <c:pt idx="42">
                  <c:v>43.33271235564488</c:v>
                </c:pt>
                <c:pt idx="43">
                  <c:v>41.918781369563185</c:v>
                </c:pt>
                <c:pt idx="44">
                  <c:v>40.504850383481489</c:v>
                </c:pt>
                <c:pt idx="45">
                  <c:v>39.090919397409664</c:v>
                </c:pt>
                <c:pt idx="46">
                  <c:v>37.67698841132303</c:v>
                </c:pt>
                <c:pt idx="47">
                  <c:v>36.263057425251205</c:v>
                </c:pt>
                <c:pt idx="48">
                  <c:v>34.849126439174448</c:v>
                </c:pt>
                <c:pt idx="49">
                  <c:v>33.435195453092746</c:v>
                </c:pt>
                <c:pt idx="50">
                  <c:v>32.021264467015982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F3-4719-91D0-4CC87A3179E0}"/>
            </c:ext>
          </c:extLst>
        </c:ser>
        <c:ser>
          <c:idx val="25"/>
          <c:order val="25"/>
          <c:tx>
            <c:strRef>
              <c:f>グラフ!$AN$5</c:f>
              <c:strCache>
                <c:ptCount val="1"/>
                <c:pt idx="0">
                  <c:v>outer応力:Δ0℃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グラフ!$AN$6:$AN$56</c:f>
              <c:numCache>
                <c:formatCode>0.0</c:formatCode>
                <c:ptCount val="51"/>
                <c:pt idx="0">
                  <c:v>96.171004434005965</c:v>
                </c:pt>
                <c:pt idx="1">
                  <c:v>94.757073447924284</c:v>
                </c:pt>
                <c:pt idx="2">
                  <c:v>93.343142461852452</c:v>
                </c:pt>
                <c:pt idx="3">
                  <c:v>91.92921147576584</c:v>
                </c:pt>
                <c:pt idx="4">
                  <c:v>90.515280489689061</c:v>
                </c:pt>
                <c:pt idx="5">
                  <c:v>89.101349503612283</c:v>
                </c:pt>
                <c:pt idx="6">
                  <c:v>87.687418517530617</c:v>
                </c:pt>
                <c:pt idx="7">
                  <c:v>86.273487531458784</c:v>
                </c:pt>
                <c:pt idx="8">
                  <c:v>84.859556545377075</c:v>
                </c:pt>
                <c:pt idx="9">
                  <c:v>83.44562555930527</c:v>
                </c:pt>
                <c:pt idx="10">
                  <c:v>82.031694573223561</c:v>
                </c:pt>
                <c:pt idx="11">
                  <c:v>80.617763587141852</c:v>
                </c:pt>
                <c:pt idx="12">
                  <c:v>79.203832601070047</c:v>
                </c:pt>
                <c:pt idx="13">
                  <c:v>77.789901614988338</c:v>
                </c:pt>
                <c:pt idx="14">
                  <c:v>76.375970628911588</c:v>
                </c:pt>
                <c:pt idx="15">
                  <c:v>74.962039642839756</c:v>
                </c:pt>
                <c:pt idx="16">
                  <c:v>73.548108656753129</c:v>
                </c:pt>
                <c:pt idx="17">
                  <c:v>72.134177670676365</c:v>
                </c:pt>
                <c:pt idx="18">
                  <c:v>70.720246684599601</c:v>
                </c:pt>
                <c:pt idx="19">
                  <c:v>69.306315698517906</c:v>
                </c:pt>
                <c:pt idx="20">
                  <c:v>67.892384712441157</c:v>
                </c:pt>
                <c:pt idx="21">
                  <c:v>66.478453726369324</c:v>
                </c:pt>
                <c:pt idx="22">
                  <c:v>65.064522740287643</c:v>
                </c:pt>
                <c:pt idx="23">
                  <c:v>63.650591754210872</c:v>
                </c:pt>
                <c:pt idx="24">
                  <c:v>62.236660768129163</c:v>
                </c:pt>
                <c:pt idx="25">
                  <c:v>60.822729782057344</c:v>
                </c:pt>
                <c:pt idx="26">
                  <c:v>59.408798795975642</c:v>
                </c:pt>
                <c:pt idx="27">
                  <c:v>57.994867809893954</c:v>
                </c:pt>
                <c:pt idx="28">
                  <c:v>56.580936823822128</c:v>
                </c:pt>
                <c:pt idx="29">
                  <c:v>55.167005837735495</c:v>
                </c:pt>
                <c:pt idx="30">
                  <c:v>53.753074851673539</c:v>
                </c:pt>
                <c:pt idx="31">
                  <c:v>52.339143865586905</c:v>
                </c:pt>
                <c:pt idx="32">
                  <c:v>50.92521287951508</c:v>
                </c:pt>
                <c:pt idx="33">
                  <c:v>49.511281893433392</c:v>
                </c:pt>
                <c:pt idx="34">
                  <c:v>48.097350907351689</c:v>
                </c:pt>
                <c:pt idx="35">
                  <c:v>46.683419921274925</c:v>
                </c:pt>
                <c:pt idx="36">
                  <c:v>45.269488935198169</c:v>
                </c:pt>
                <c:pt idx="37">
                  <c:v>43.855557949121405</c:v>
                </c:pt>
                <c:pt idx="38">
                  <c:v>42.44162696303971</c:v>
                </c:pt>
                <c:pt idx="39">
                  <c:v>41.027695976967884</c:v>
                </c:pt>
                <c:pt idx="40">
                  <c:v>39.61376499089112</c:v>
                </c:pt>
                <c:pt idx="41">
                  <c:v>38.199834004809425</c:v>
                </c:pt>
                <c:pt idx="42">
                  <c:v>36.785903018732668</c:v>
                </c:pt>
                <c:pt idx="43">
                  <c:v>35.371972032655904</c:v>
                </c:pt>
                <c:pt idx="44">
                  <c:v>33.958041046569278</c:v>
                </c:pt>
                <c:pt idx="45">
                  <c:v>32.544110060497445</c:v>
                </c:pt>
                <c:pt idx="46">
                  <c:v>31.13017907441575</c:v>
                </c:pt>
                <c:pt idx="47">
                  <c:v>29.716248088338993</c:v>
                </c:pt>
                <c:pt idx="48">
                  <c:v>28.302317102262229</c:v>
                </c:pt>
                <c:pt idx="49">
                  <c:v>26.888386116185469</c:v>
                </c:pt>
                <c:pt idx="50">
                  <c:v>25.47445513011364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FF3-4719-91D0-4CC87A3179E0}"/>
            </c:ext>
          </c:extLst>
        </c:ser>
        <c:ser>
          <c:idx val="26"/>
          <c:order val="26"/>
          <c:tx>
            <c:strRef>
              <c:f>グラフ!$AO$5</c:f>
              <c:strCache>
                <c:ptCount val="1"/>
                <c:pt idx="0">
                  <c:v>outer応力:Δ+10℃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グラフ!$AO$6:$AO$56</c:f>
              <c:numCache>
                <c:formatCode>0.0</c:formatCode>
                <c:ptCount val="51"/>
                <c:pt idx="0">
                  <c:v>89.624195097098706</c:v>
                </c:pt>
                <c:pt idx="1">
                  <c:v>88.210264111016997</c:v>
                </c:pt>
                <c:pt idx="2">
                  <c:v>86.796333124940247</c:v>
                </c:pt>
                <c:pt idx="3">
                  <c:v>85.382402138858538</c:v>
                </c:pt>
                <c:pt idx="4">
                  <c:v>83.968471152776857</c:v>
                </c:pt>
                <c:pt idx="5">
                  <c:v>82.554540166705024</c:v>
                </c:pt>
                <c:pt idx="6">
                  <c:v>81.140609180623329</c:v>
                </c:pt>
                <c:pt idx="7">
                  <c:v>79.726678194546565</c:v>
                </c:pt>
                <c:pt idx="8">
                  <c:v>78.312747208469816</c:v>
                </c:pt>
                <c:pt idx="9">
                  <c:v>76.898816222393052</c:v>
                </c:pt>
                <c:pt idx="10">
                  <c:v>75.484885236316288</c:v>
                </c:pt>
                <c:pt idx="11">
                  <c:v>74.070954250234593</c:v>
                </c:pt>
                <c:pt idx="12">
                  <c:v>72.657023264157829</c:v>
                </c:pt>
                <c:pt idx="13">
                  <c:v>71.243092278081079</c:v>
                </c:pt>
                <c:pt idx="14">
                  <c:v>69.82916129199937</c:v>
                </c:pt>
                <c:pt idx="15">
                  <c:v>68.415230305927551</c:v>
                </c:pt>
                <c:pt idx="16">
                  <c:v>67.001299319845856</c:v>
                </c:pt>
                <c:pt idx="17">
                  <c:v>65.587368333764147</c:v>
                </c:pt>
                <c:pt idx="18">
                  <c:v>64.173437347692328</c:v>
                </c:pt>
                <c:pt idx="19">
                  <c:v>62.759506361615564</c:v>
                </c:pt>
                <c:pt idx="20">
                  <c:v>61.345575375533876</c:v>
                </c:pt>
                <c:pt idx="21">
                  <c:v>59.931644389457105</c:v>
                </c:pt>
                <c:pt idx="22">
                  <c:v>58.517713403375417</c:v>
                </c:pt>
                <c:pt idx="23">
                  <c:v>57.103782417303592</c:v>
                </c:pt>
                <c:pt idx="24">
                  <c:v>55.689851431216951</c:v>
                </c:pt>
                <c:pt idx="25">
                  <c:v>54.275920445145125</c:v>
                </c:pt>
                <c:pt idx="26">
                  <c:v>52.861989459068369</c:v>
                </c:pt>
                <c:pt idx="27">
                  <c:v>51.448058472981735</c:v>
                </c:pt>
                <c:pt idx="28">
                  <c:v>50.034127486919786</c:v>
                </c:pt>
                <c:pt idx="29">
                  <c:v>48.620196500833153</c:v>
                </c:pt>
                <c:pt idx="30">
                  <c:v>47.206265514761327</c:v>
                </c:pt>
                <c:pt idx="31">
                  <c:v>45.792334528679625</c:v>
                </c:pt>
                <c:pt idx="32">
                  <c:v>44.378403542602868</c:v>
                </c:pt>
                <c:pt idx="33">
                  <c:v>42.96447255652118</c:v>
                </c:pt>
                <c:pt idx="34">
                  <c:v>41.550541570444409</c:v>
                </c:pt>
                <c:pt idx="35">
                  <c:v>40.136610584362714</c:v>
                </c:pt>
                <c:pt idx="36">
                  <c:v>38.722679598285964</c:v>
                </c:pt>
                <c:pt idx="37">
                  <c:v>37.308748612214131</c:v>
                </c:pt>
                <c:pt idx="38">
                  <c:v>35.894817626137367</c:v>
                </c:pt>
                <c:pt idx="39">
                  <c:v>34.480886640060604</c:v>
                </c:pt>
                <c:pt idx="40">
                  <c:v>33.066955653978908</c:v>
                </c:pt>
                <c:pt idx="41">
                  <c:v>31.653024667902145</c:v>
                </c:pt>
                <c:pt idx="42">
                  <c:v>30.239093681820453</c:v>
                </c:pt>
                <c:pt idx="43">
                  <c:v>28.825162695743693</c:v>
                </c:pt>
                <c:pt idx="44">
                  <c:v>27.411231709661998</c:v>
                </c:pt>
                <c:pt idx="45">
                  <c:v>25.997300723585237</c:v>
                </c:pt>
                <c:pt idx="46">
                  <c:v>24.583369737503542</c:v>
                </c:pt>
                <c:pt idx="47">
                  <c:v>23.169438751431716</c:v>
                </c:pt>
                <c:pt idx="48">
                  <c:v>21.755507765359891</c:v>
                </c:pt>
                <c:pt idx="49">
                  <c:v>20.341576779278192</c:v>
                </c:pt>
                <c:pt idx="50">
                  <c:v>18.927645793201428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FF3-4719-91D0-4CC87A3179E0}"/>
            </c:ext>
          </c:extLst>
        </c:ser>
        <c:ser>
          <c:idx val="27"/>
          <c:order val="27"/>
          <c:tx>
            <c:strRef>
              <c:f>グラフ!$AP$5</c:f>
              <c:strCache>
                <c:ptCount val="1"/>
                <c:pt idx="0">
                  <c:v>outer応力:Δ+20℃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グラフ!$AP$6:$AP$56</c:f>
              <c:numCache>
                <c:formatCode>0.0</c:formatCode>
                <c:ptCount val="51"/>
                <c:pt idx="0">
                  <c:v>83.077385760186488</c:v>
                </c:pt>
                <c:pt idx="1">
                  <c:v>81.663454774109738</c:v>
                </c:pt>
                <c:pt idx="2">
                  <c:v>80.249523788028029</c:v>
                </c:pt>
                <c:pt idx="3">
                  <c:v>78.835592801951265</c:v>
                </c:pt>
                <c:pt idx="4">
                  <c:v>77.42166181586957</c:v>
                </c:pt>
                <c:pt idx="5">
                  <c:v>76.00773082979282</c:v>
                </c:pt>
                <c:pt idx="6">
                  <c:v>74.593799843716056</c:v>
                </c:pt>
                <c:pt idx="7">
                  <c:v>73.179868857634361</c:v>
                </c:pt>
                <c:pt idx="8">
                  <c:v>71.765937871562528</c:v>
                </c:pt>
                <c:pt idx="9">
                  <c:v>70.352006885485764</c:v>
                </c:pt>
                <c:pt idx="10">
                  <c:v>68.938075899404083</c:v>
                </c:pt>
                <c:pt idx="11">
                  <c:v>67.524144913327305</c:v>
                </c:pt>
                <c:pt idx="12">
                  <c:v>66.110213927245624</c:v>
                </c:pt>
                <c:pt idx="13">
                  <c:v>64.69628294116886</c:v>
                </c:pt>
                <c:pt idx="14">
                  <c:v>63.282351955092103</c:v>
                </c:pt>
                <c:pt idx="15">
                  <c:v>61.868420969015339</c:v>
                </c:pt>
                <c:pt idx="16">
                  <c:v>60.454489982938568</c:v>
                </c:pt>
                <c:pt idx="17">
                  <c:v>59.040558996861805</c:v>
                </c:pt>
                <c:pt idx="18">
                  <c:v>57.626628010785055</c:v>
                </c:pt>
                <c:pt idx="19">
                  <c:v>56.212697024703353</c:v>
                </c:pt>
                <c:pt idx="20">
                  <c:v>54.798766038621658</c:v>
                </c:pt>
                <c:pt idx="21">
                  <c:v>53.384835052549832</c:v>
                </c:pt>
                <c:pt idx="22">
                  <c:v>51.970904066463198</c:v>
                </c:pt>
                <c:pt idx="23">
                  <c:v>50.556973080391373</c:v>
                </c:pt>
                <c:pt idx="24">
                  <c:v>49.143042094309678</c:v>
                </c:pt>
                <c:pt idx="25">
                  <c:v>47.729111108232921</c:v>
                </c:pt>
                <c:pt idx="26">
                  <c:v>46.315180122166026</c:v>
                </c:pt>
                <c:pt idx="27">
                  <c:v>44.9012491360794</c:v>
                </c:pt>
                <c:pt idx="28">
                  <c:v>43.487318150007567</c:v>
                </c:pt>
                <c:pt idx="29">
                  <c:v>42.073387163925879</c:v>
                </c:pt>
                <c:pt idx="30">
                  <c:v>40.659456177849108</c:v>
                </c:pt>
                <c:pt idx="31">
                  <c:v>39.24552519176742</c:v>
                </c:pt>
                <c:pt idx="32">
                  <c:v>37.831594205695588</c:v>
                </c:pt>
                <c:pt idx="33">
                  <c:v>36.417663219608961</c:v>
                </c:pt>
                <c:pt idx="34">
                  <c:v>35.003732233532197</c:v>
                </c:pt>
                <c:pt idx="35">
                  <c:v>33.589801247455441</c:v>
                </c:pt>
                <c:pt idx="36">
                  <c:v>32.175870261383608</c:v>
                </c:pt>
                <c:pt idx="37">
                  <c:v>30.761939275306847</c:v>
                </c:pt>
                <c:pt idx="38">
                  <c:v>29.348008289225156</c:v>
                </c:pt>
                <c:pt idx="39">
                  <c:v>27.934077303153327</c:v>
                </c:pt>
                <c:pt idx="40">
                  <c:v>26.5201463170667</c:v>
                </c:pt>
                <c:pt idx="41">
                  <c:v>25.106215330989937</c:v>
                </c:pt>
                <c:pt idx="42">
                  <c:v>23.692284344913176</c:v>
                </c:pt>
                <c:pt idx="43">
                  <c:v>22.278353358831481</c:v>
                </c:pt>
                <c:pt idx="44">
                  <c:v>20.864422372749786</c:v>
                </c:pt>
                <c:pt idx="45">
                  <c:v>19.450491386677957</c:v>
                </c:pt>
                <c:pt idx="46">
                  <c:v>18.036560400601196</c:v>
                </c:pt>
                <c:pt idx="47">
                  <c:v>16.622629414524436</c:v>
                </c:pt>
                <c:pt idx="48">
                  <c:v>15.208698428447672</c:v>
                </c:pt>
                <c:pt idx="49">
                  <c:v>13.79476744237091</c:v>
                </c:pt>
                <c:pt idx="50">
                  <c:v>12.380836456289217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FF3-4719-91D0-4CC87A3179E0}"/>
            </c:ext>
          </c:extLst>
        </c:ser>
        <c:ser>
          <c:idx val="28"/>
          <c:order val="28"/>
          <c:tx>
            <c:strRef>
              <c:f>グラフ!$AQ$5</c:f>
              <c:strCache>
                <c:ptCount val="1"/>
                <c:pt idx="0">
                  <c:v>outer応力:Δ+30℃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グラフ!$AQ$6:$AQ$56</c:f>
              <c:numCache>
                <c:formatCode>0.0</c:formatCode>
                <c:ptCount val="51"/>
                <c:pt idx="0">
                  <c:v>76.530576423274269</c:v>
                </c:pt>
                <c:pt idx="1">
                  <c:v>75.116645437202436</c:v>
                </c:pt>
                <c:pt idx="2">
                  <c:v>73.702714451120741</c:v>
                </c:pt>
                <c:pt idx="3">
                  <c:v>72.28878346503906</c:v>
                </c:pt>
                <c:pt idx="4">
                  <c:v>70.874852478962296</c:v>
                </c:pt>
                <c:pt idx="5">
                  <c:v>69.460921492880601</c:v>
                </c:pt>
                <c:pt idx="6">
                  <c:v>68.046990506808783</c:v>
                </c:pt>
                <c:pt idx="7">
                  <c:v>66.633059520727073</c:v>
                </c:pt>
                <c:pt idx="8">
                  <c:v>65.219128534650309</c:v>
                </c:pt>
                <c:pt idx="9">
                  <c:v>63.805197548578491</c:v>
                </c:pt>
                <c:pt idx="10">
                  <c:v>62.391266562491857</c:v>
                </c:pt>
                <c:pt idx="11">
                  <c:v>60.977335576415101</c:v>
                </c:pt>
                <c:pt idx="12">
                  <c:v>59.563404590338344</c:v>
                </c:pt>
                <c:pt idx="13">
                  <c:v>58.149473604256642</c:v>
                </c:pt>
                <c:pt idx="14">
                  <c:v>56.735542618184816</c:v>
                </c:pt>
                <c:pt idx="15">
                  <c:v>55.32161163211299</c:v>
                </c:pt>
                <c:pt idx="16">
                  <c:v>53.907680646031288</c:v>
                </c:pt>
                <c:pt idx="17">
                  <c:v>52.4937496599496</c:v>
                </c:pt>
                <c:pt idx="18">
                  <c:v>51.079818673872836</c:v>
                </c:pt>
                <c:pt idx="19">
                  <c:v>49.665887687796072</c:v>
                </c:pt>
                <c:pt idx="20">
                  <c:v>48.251956701709453</c:v>
                </c:pt>
                <c:pt idx="21">
                  <c:v>46.838025715637613</c:v>
                </c:pt>
                <c:pt idx="22">
                  <c:v>45.424094729555925</c:v>
                </c:pt>
                <c:pt idx="23">
                  <c:v>44.010163743479168</c:v>
                </c:pt>
                <c:pt idx="24">
                  <c:v>42.596232757407343</c:v>
                </c:pt>
                <c:pt idx="25">
                  <c:v>41.182301771330565</c:v>
                </c:pt>
                <c:pt idx="26">
                  <c:v>39.768370785253808</c:v>
                </c:pt>
                <c:pt idx="27">
                  <c:v>38.354439799172127</c:v>
                </c:pt>
                <c:pt idx="28">
                  <c:v>36.940508813095349</c:v>
                </c:pt>
                <c:pt idx="29">
                  <c:v>35.526577827013661</c:v>
                </c:pt>
                <c:pt idx="30">
                  <c:v>34.112646840941835</c:v>
                </c:pt>
                <c:pt idx="31">
                  <c:v>32.698715854855202</c:v>
                </c:pt>
                <c:pt idx="32">
                  <c:v>31.284784868783376</c:v>
                </c:pt>
                <c:pt idx="33">
                  <c:v>29.870853882701681</c:v>
                </c:pt>
                <c:pt idx="34">
                  <c:v>28.456922896629852</c:v>
                </c:pt>
                <c:pt idx="35">
                  <c:v>27.04299191054816</c:v>
                </c:pt>
                <c:pt idx="36">
                  <c:v>25.629060924471396</c:v>
                </c:pt>
                <c:pt idx="37">
                  <c:v>24.215129938399571</c:v>
                </c:pt>
                <c:pt idx="38">
                  <c:v>22.801198952312941</c:v>
                </c:pt>
                <c:pt idx="39">
                  <c:v>21.387267966241115</c:v>
                </c:pt>
                <c:pt idx="40">
                  <c:v>19.97333698015942</c:v>
                </c:pt>
                <c:pt idx="41">
                  <c:v>18.559405994077729</c:v>
                </c:pt>
                <c:pt idx="42">
                  <c:v>17.145475008000961</c:v>
                </c:pt>
                <c:pt idx="43">
                  <c:v>15.731544021924201</c:v>
                </c:pt>
                <c:pt idx="44">
                  <c:v>14.317613035847438</c:v>
                </c:pt>
                <c:pt idx="45">
                  <c:v>12.90368204977068</c:v>
                </c:pt>
                <c:pt idx="46">
                  <c:v>11.489751063688983</c:v>
                </c:pt>
                <c:pt idx="47">
                  <c:v>10.075820077617157</c:v>
                </c:pt>
                <c:pt idx="48">
                  <c:v>8.6618890915354623</c:v>
                </c:pt>
                <c:pt idx="49">
                  <c:v>7.2479581054587001</c:v>
                </c:pt>
                <c:pt idx="50">
                  <c:v>5.8340271193819389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FF3-4719-91D0-4CC87A3179E0}"/>
            </c:ext>
          </c:extLst>
        </c:ser>
        <c:ser>
          <c:idx val="29"/>
          <c:order val="29"/>
          <c:tx>
            <c:strRef>
              <c:f>グラフ!$AR$5</c:f>
              <c:strCache>
                <c:ptCount val="1"/>
                <c:pt idx="0">
                  <c:v>outer降伏点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グラフ!$AR$6:$AR$56</c:f>
              <c:numCache>
                <c:formatCode>0.0</c:formatCode>
                <c:ptCount val="5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150</c:v>
                </c:pt>
                <c:pt idx="22">
                  <c:v>150</c:v>
                </c:pt>
                <c:pt idx="23">
                  <c:v>150</c:v>
                </c:pt>
                <c:pt idx="24">
                  <c:v>150</c:v>
                </c:pt>
                <c:pt idx="25">
                  <c:v>150</c:v>
                </c:pt>
                <c:pt idx="26">
                  <c:v>150</c:v>
                </c:pt>
                <c:pt idx="27">
                  <c:v>150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FF3-4719-91D0-4CC87A317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8419104"/>
        <c:axId val="18784012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グラフ!$O$5</c15:sqref>
                        </c15:formulaRef>
                      </c:ext>
                    </c:extLst>
                    <c:strCache>
                      <c:ptCount val="1"/>
                      <c:pt idx="0">
                        <c:v>締め代：Δ-30℃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グラフ!$O$6:$O$56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0.16679667000000364</c:v>
                      </c:pt>
                      <c:pt idx="1">
                        <c:v>0.16476026499999818</c:v>
                      </c:pt>
                      <c:pt idx="2">
                        <c:v>0.16272385999999983</c:v>
                      </c:pt>
                      <c:pt idx="3">
                        <c:v>0.16068745500000148</c:v>
                      </c:pt>
                      <c:pt idx="4">
                        <c:v>0.15865104999999602</c:v>
                      </c:pt>
                      <c:pt idx="5">
                        <c:v>0.15661464499999767</c:v>
                      </c:pt>
                      <c:pt idx="6">
                        <c:v>0.15457823999999931</c:v>
                      </c:pt>
                      <c:pt idx="7">
                        <c:v>0.15254183499999385</c:v>
                      </c:pt>
                      <c:pt idx="8">
                        <c:v>0.1505054300000026</c:v>
                      </c:pt>
                      <c:pt idx="9">
                        <c:v>0.14846902500000425</c:v>
                      </c:pt>
                      <c:pt idx="10">
                        <c:v>0.14643261999999879</c:v>
                      </c:pt>
                      <c:pt idx="11">
                        <c:v>0.14439621500000044</c:v>
                      </c:pt>
                      <c:pt idx="12">
                        <c:v>0.14235980999999498</c:v>
                      </c:pt>
                      <c:pt idx="13">
                        <c:v>0.14032340500000373</c:v>
                      </c:pt>
                      <c:pt idx="14">
                        <c:v>0.13828699999999827</c:v>
                      </c:pt>
                      <c:pt idx="15">
                        <c:v>0.13625059500000702</c:v>
                      </c:pt>
                      <c:pt idx="16">
                        <c:v>0.13421419000000157</c:v>
                      </c:pt>
                      <c:pt idx="17">
                        <c:v>0.13217778499999611</c:v>
                      </c:pt>
                      <c:pt idx="18">
                        <c:v>0.13014138000000486</c:v>
                      </c:pt>
                      <c:pt idx="19">
                        <c:v>0.1281049749999994</c:v>
                      </c:pt>
                      <c:pt idx="20">
                        <c:v>0.12606856999999394</c:v>
                      </c:pt>
                      <c:pt idx="21">
                        <c:v>0.12403216500000269</c:v>
                      </c:pt>
                      <c:pt idx="22">
                        <c:v>0.12199575999999013</c:v>
                      </c:pt>
                      <c:pt idx="23">
                        <c:v>0.11995935499999888</c:v>
                      </c:pt>
                      <c:pt idx="24">
                        <c:v>0.11792294999999342</c:v>
                      </c:pt>
                      <c:pt idx="25">
                        <c:v>0.11588654499999507</c:v>
                      </c:pt>
                      <c:pt idx="26">
                        <c:v>0.11385014000000382</c:v>
                      </c:pt>
                      <c:pt idx="27">
                        <c:v>0.11181373499999836</c:v>
                      </c:pt>
                      <c:pt idx="28">
                        <c:v>0.10977733000000711</c:v>
                      </c:pt>
                      <c:pt idx="29">
                        <c:v>0.10774092499999455</c:v>
                      </c:pt>
                      <c:pt idx="30">
                        <c:v>0.1057045200000033</c:v>
                      </c:pt>
                      <c:pt idx="31">
                        <c:v>0.10366811499999784</c:v>
                      </c:pt>
                      <c:pt idx="32">
                        <c:v>0.10163170999999949</c:v>
                      </c:pt>
                      <c:pt idx="33">
                        <c:v>9.9595304999994028E-2</c:v>
                      </c:pt>
                      <c:pt idx="34">
                        <c:v>9.7558899999995674E-2</c:v>
                      </c:pt>
                      <c:pt idx="35">
                        <c:v>9.5522494999990215E-2</c:v>
                      </c:pt>
                      <c:pt idx="36">
                        <c:v>9.3486090000006072E-2</c:v>
                      </c:pt>
                      <c:pt idx="37">
                        <c:v>9.1449685000007719E-2</c:v>
                      </c:pt>
                      <c:pt idx="38">
                        <c:v>8.941328000000226E-2</c:v>
                      </c:pt>
                      <c:pt idx="39">
                        <c:v>8.7376875000011012E-2</c:v>
                      </c:pt>
                      <c:pt idx="40">
                        <c:v>8.5340469999998447E-2</c:v>
                      </c:pt>
                      <c:pt idx="41">
                        <c:v>8.3304065000000094E-2</c:v>
                      </c:pt>
                      <c:pt idx="42">
                        <c:v>8.126766000000174E-2</c:v>
                      </c:pt>
                      <c:pt idx="43">
                        <c:v>7.9231254999996281E-2</c:v>
                      </c:pt>
                      <c:pt idx="44">
                        <c:v>7.7194849999990822E-2</c:v>
                      </c:pt>
                      <c:pt idx="45">
                        <c:v>7.5158444999999574E-2</c:v>
                      </c:pt>
                      <c:pt idx="46">
                        <c:v>7.3122040000001221E-2</c:v>
                      </c:pt>
                      <c:pt idx="47">
                        <c:v>7.1085635000002867E-2</c:v>
                      </c:pt>
                      <c:pt idx="48">
                        <c:v>6.9049230000004513E-2</c:v>
                      </c:pt>
                      <c:pt idx="49">
                        <c:v>6.701282500000616E-2</c:v>
                      </c:pt>
                      <c:pt idx="50">
                        <c:v>6.4976420000000701E-2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8FF3-4719-91D0-4CC87A3179E0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グラフ!$P$5</c15:sqref>
                        </c15:formulaRef>
                      </c:ext>
                    </c:extLst>
                    <c:strCache>
                      <c:ptCount val="1"/>
                      <c:pt idx="0">
                        <c:v>締め代：Δ-20℃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グラフ!$P$6:$P$56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0.15736766999999929</c:v>
                      </c:pt>
                      <c:pt idx="1">
                        <c:v>0.15533126500000805</c:v>
                      </c:pt>
                      <c:pt idx="2">
                        <c:v>0.15329486000000259</c:v>
                      </c:pt>
                      <c:pt idx="3">
                        <c:v>0.15125845499999713</c:v>
                      </c:pt>
                      <c:pt idx="4">
                        <c:v>0.14922204999999877</c:v>
                      </c:pt>
                      <c:pt idx="5">
                        <c:v>0.14718564499999331</c:v>
                      </c:pt>
                      <c:pt idx="6">
                        <c:v>0.14514924000000207</c:v>
                      </c:pt>
                      <c:pt idx="7">
                        <c:v>0.14311283499999661</c:v>
                      </c:pt>
                      <c:pt idx="8">
                        <c:v>0.14107642999999825</c:v>
                      </c:pt>
                      <c:pt idx="9">
                        <c:v>0.13904002500000701</c:v>
                      </c:pt>
                      <c:pt idx="10">
                        <c:v>0.13700361999999444</c:v>
                      </c:pt>
                      <c:pt idx="11">
                        <c:v>0.13496721500000319</c:v>
                      </c:pt>
                      <c:pt idx="12">
                        <c:v>0.13293080999999773</c:v>
                      </c:pt>
                      <c:pt idx="13">
                        <c:v>0.13089440499999938</c:v>
                      </c:pt>
                      <c:pt idx="14">
                        <c:v>0.12885800000000103</c:v>
                      </c:pt>
                      <c:pt idx="15">
                        <c:v>0.12682159500000267</c:v>
                      </c:pt>
                      <c:pt idx="16">
                        <c:v>0.12478519000000432</c:v>
                      </c:pt>
                      <c:pt idx="17">
                        <c:v>0.12274878499999886</c:v>
                      </c:pt>
                      <c:pt idx="18">
                        <c:v>0.12071238000000051</c:v>
                      </c:pt>
                      <c:pt idx="19">
                        <c:v>0.11867597500000215</c:v>
                      </c:pt>
                      <c:pt idx="20">
                        <c:v>0.11663956999998959</c:v>
                      </c:pt>
                      <c:pt idx="21">
                        <c:v>0.11460316499999834</c:v>
                      </c:pt>
                      <c:pt idx="22">
                        <c:v>0.11256675999999288</c:v>
                      </c:pt>
                      <c:pt idx="23">
                        <c:v>0.11053035499999453</c:v>
                      </c:pt>
                      <c:pt idx="24">
                        <c:v>0.10849394999999618</c:v>
                      </c:pt>
                      <c:pt idx="25">
                        <c:v>0.10645754500000493</c:v>
                      </c:pt>
                      <c:pt idx="26">
                        <c:v>0.10442114000000657</c:v>
                      </c:pt>
                      <c:pt idx="27">
                        <c:v>0.10238473499999401</c:v>
                      </c:pt>
                      <c:pt idx="28">
                        <c:v>0.10034833000000276</c:v>
                      </c:pt>
                      <c:pt idx="29">
                        <c:v>9.8311924999997302E-2</c:v>
                      </c:pt>
                      <c:pt idx="30">
                        <c:v>9.6275519999998949E-2</c:v>
                      </c:pt>
                      <c:pt idx="31">
                        <c:v>9.423911499999349E-2</c:v>
                      </c:pt>
                      <c:pt idx="32">
                        <c:v>9.2202710000002241E-2</c:v>
                      </c:pt>
                      <c:pt idx="33">
                        <c:v>9.0166304999989677E-2</c:v>
                      </c:pt>
                      <c:pt idx="34">
                        <c:v>8.8129900000005534E-2</c:v>
                      </c:pt>
                      <c:pt idx="35">
                        <c:v>8.6093495000000075E-2</c:v>
                      </c:pt>
                      <c:pt idx="36">
                        <c:v>8.4057090000001722E-2</c:v>
                      </c:pt>
                      <c:pt idx="37">
                        <c:v>8.2020685000010474E-2</c:v>
                      </c:pt>
                      <c:pt idx="38">
                        <c:v>7.9984279999997909E-2</c:v>
                      </c:pt>
                      <c:pt idx="39">
                        <c:v>7.7947875000006661E-2</c:v>
                      </c:pt>
                      <c:pt idx="40">
                        <c:v>7.5911470000001202E-2</c:v>
                      </c:pt>
                      <c:pt idx="41">
                        <c:v>7.3875064999995743E-2</c:v>
                      </c:pt>
                      <c:pt idx="42">
                        <c:v>7.183865999999739E-2</c:v>
                      </c:pt>
                      <c:pt idx="43">
                        <c:v>6.9802254999999036E-2</c:v>
                      </c:pt>
                      <c:pt idx="44">
                        <c:v>6.7765850000000682E-2</c:v>
                      </c:pt>
                      <c:pt idx="45">
                        <c:v>6.5729445000002329E-2</c:v>
                      </c:pt>
                      <c:pt idx="46">
                        <c:v>6.369303999999687E-2</c:v>
                      </c:pt>
                      <c:pt idx="47">
                        <c:v>6.1656635000005622E-2</c:v>
                      </c:pt>
                      <c:pt idx="48">
                        <c:v>5.9620230000000163E-2</c:v>
                      </c:pt>
                      <c:pt idx="49">
                        <c:v>5.7583825000001809E-2</c:v>
                      </c:pt>
                      <c:pt idx="50">
                        <c:v>5.5547420000003456E-2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FF3-4719-91D0-4CC87A3179E0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グラフ!$Q$5</c15:sqref>
                        </c15:formulaRef>
                      </c:ext>
                    </c:extLst>
                    <c:strCache>
                      <c:ptCount val="1"/>
                      <c:pt idx="0">
                        <c:v>締め代：Δ-10℃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グラフ!$Q$6:$Q$56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0.14793867000000205</c:v>
                      </c:pt>
                      <c:pt idx="1">
                        <c:v>0.14590226500000369</c:v>
                      </c:pt>
                      <c:pt idx="2">
                        <c:v>0.14386586000000534</c:v>
                      </c:pt>
                      <c:pt idx="3">
                        <c:v>0.14182945499999278</c:v>
                      </c:pt>
                      <c:pt idx="4">
                        <c:v>0.13979305000000153</c:v>
                      </c:pt>
                      <c:pt idx="5">
                        <c:v>0.13775664499999607</c:v>
                      </c:pt>
                      <c:pt idx="6">
                        <c:v>0.13572023999999772</c:v>
                      </c:pt>
                      <c:pt idx="7">
                        <c:v>0.13368383499999936</c:v>
                      </c:pt>
                      <c:pt idx="8">
                        <c:v>0.1316474299999939</c:v>
                      </c:pt>
                      <c:pt idx="9">
                        <c:v>0.12961102500000976</c:v>
                      </c:pt>
                      <c:pt idx="10">
                        <c:v>0.1275746199999972</c:v>
                      </c:pt>
                      <c:pt idx="11">
                        <c:v>0.12553821499999884</c:v>
                      </c:pt>
                      <c:pt idx="12">
                        <c:v>0.12350181000000049</c:v>
                      </c:pt>
                      <c:pt idx="13">
                        <c:v>0.12146540499999503</c:v>
                      </c:pt>
                      <c:pt idx="14">
                        <c:v>0.11942900000000378</c:v>
                      </c:pt>
                      <c:pt idx="15">
                        <c:v>0.11739259500000543</c:v>
                      </c:pt>
                      <c:pt idx="16">
                        <c:v>0.11535618999999997</c:v>
                      </c:pt>
                      <c:pt idx="17">
                        <c:v>0.11331978500000162</c:v>
                      </c:pt>
                      <c:pt idx="18">
                        <c:v>0.11128337999999616</c:v>
                      </c:pt>
                      <c:pt idx="19">
                        <c:v>0.1092469749999978</c:v>
                      </c:pt>
                      <c:pt idx="20">
                        <c:v>0.10721056999999234</c:v>
                      </c:pt>
                      <c:pt idx="21">
                        <c:v>0.10517416499999399</c:v>
                      </c:pt>
                      <c:pt idx="22">
                        <c:v>0.10313775999999564</c:v>
                      </c:pt>
                      <c:pt idx="23">
                        <c:v>0.10110135500000439</c:v>
                      </c:pt>
                      <c:pt idx="24">
                        <c:v>9.906494999999893E-2</c:v>
                      </c:pt>
                      <c:pt idx="25">
                        <c:v>9.7028545000000577E-2</c:v>
                      </c:pt>
                      <c:pt idx="26">
                        <c:v>9.4992140000002223E-2</c:v>
                      </c:pt>
                      <c:pt idx="27">
                        <c:v>9.2955734999996764E-2</c:v>
                      </c:pt>
                      <c:pt idx="28">
                        <c:v>9.0919329999998411E-2</c:v>
                      </c:pt>
                      <c:pt idx="29">
                        <c:v>8.8882924999992952E-2</c:v>
                      </c:pt>
                      <c:pt idx="30">
                        <c:v>8.6846520000001703E-2</c:v>
                      </c:pt>
                      <c:pt idx="31">
                        <c:v>8.4810114999989139E-2</c:v>
                      </c:pt>
                      <c:pt idx="32">
                        <c:v>8.2773710000012102E-2</c:v>
                      </c:pt>
                      <c:pt idx="33">
                        <c:v>8.0737304999999537E-2</c:v>
                      </c:pt>
                      <c:pt idx="34">
                        <c:v>7.8700900000001184E-2</c:v>
                      </c:pt>
                      <c:pt idx="35">
                        <c:v>7.666449500000283E-2</c:v>
                      </c:pt>
                      <c:pt idx="36">
                        <c:v>7.4628089999997371E-2</c:v>
                      </c:pt>
                      <c:pt idx="37">
                        <c:v>7.2591685000006123E-2</c:v>
                      </c:pt>
                      <c:pt idx="38">
                        <c:v>7.0555280000000664E-2</c:v>
                      </c:pt>
                      <c:pt idx="39">
                        <c:v>6.8518875000002311E-2</c:v>
                      </c:pt>
                      <c:pt idx="40">
                        <c:v>6.6482469999996852E-2</c:v>
                      </c:pt>
                      <c:pt idx="41">
                        <c:v>6.4446064999998498E-2</c:v>
                      </c:pt>
                      <c:pt idx="42">
                        <c:v>6.240966000000725E-2</c:v>
                      </c:pt>
                      <c:pt idx="43">
                        <c:v>6.0373255000001791E-2</c:v>
                      </c:pt>
                      <c:pt idx="44">
                        <c:v>5.8336849999996332E-2</c:v>
                      </c:pt>
                      <c:pt idx="45">
                        <c:v>5.6300445000005084E-2</c:v>
                      </c:pt>
                      <c:pt idx="46">
                        <c:v>5.4264039999992519E-2</c:v>
                      </c:pt>
                      <c:pt idx="47">
                        <c:v>5.2227635000001271E-2</c:v>
                      </c:pt>
                      <c:pt idx="48">
                        <c:v>5.0191230000002918E-2</c:v>
                      </c:pt>
                      <c:pt idx="49">
                        <c:v>4.8154824999997459E-2</c:v>
                      </c:pt>
                      <c:pt idx="50">
                        <c:v>4.6118419999999105E-2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FF3-4719-91D0-4CC87A3179E0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グラフ!$R$5</c15:sqref>
                        </c15:formulaRef>
                      </c:ext>
                    </c:extLst>
                    <c:strCache>
                      <c:ptCount val="1"/>
                      <c:pt idx="0">
                        <c:v>締め代：Δ0℃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グラフ!$R$6:$R$56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0.1385096700000048</c:v>
                      </c:pt>
                      <c:pt idx="1">
                        <c:v>0.13647326499999934</c:v>
                      </c:pt>
                      <c:pt idx="2">
                        <c:v>0.1344368600000081</c:v>
                      </c:pt>
                      <c:pt idx="3">
                        <c:v>0.13240045499999553</c:v>
                      </c:pt>
                      <c:pt idx="4">
                        <c:v>0.13036404999999718</c:v>
                      </c:pt>
                      <c:pt idx="5">
                        <c:v>0.12832764499999882</c:v>
                      </c:pt>
                      <c:pt idx="6">
                        <c:v>0.12629123999999337</c:v>
                      </c:pt>
                      <c:pt idx="7">
                        <c:v>0.12425483500000212</c:v>
                      </c:pt>
                      <c:pt idx="8">
                        <c:v>0.12221842999999666</c:v>
                      </c:pt>
                      <c:pt idx="9">
                        <c:v>0.12018202500000541</c:v>
                      </c:pt>
                      <c:pt idx="10">
                        <c:v>0.11814561999999995</c:v>
                      </c:pt>
                      <c:pt idx="11">
                        <c:v>0.11610921499999449</c:v>
                      </c:pt>
                      <c:pt idx="12">
                        <c:v>0.11407281000000324</c:v>
                      </c:pt>
                      <c:pt idx="13">
                        <c:v>0.11203640499999779</c:v>
                      </c:pt>
                      <c:pt idx="14">
                        <c:v>0.10999999999999943</c:v>
                      </c:pt>
                      <c:pt idx="15">
                        <c:v>0.10796359500000818</c:v>
                      </c:pt>
                      <c:pt idx="16">
                        <c:v>0.10592718999999562</c:v>
                      </c:pt>
                      <c:pt idx="17">
                        <c:v>0.10389078499999727</c:v>
                      </c:pt>
                      <c:pt idx="18">
                        <c:v>0.10185437999999891</c:v>
                      </c:pt>
                      <c:pt idx="19">
                        <c:v>9.9817974999993453E-2</c:v>
                      </c:pt>
                      <c:pt idx="20">
                        <c:v>9.7781569999995099E-2</c:v>
                      </c:pt>
                      <c:pt idx="21">
                        <c:v>9.5745165000003851E-2</c:v>
                      </c:pt>
                      <c:pt idx="22">
                        <c:v>9.3708759999998392E-2</c:v>
                      </c:pt>
                      <c:pt idx="23">
                        <c:v>9.1672355000000039E-2</c:v>
                      </c:pt>
                      <c:pt idx="24">
                        <c:v>8.963594999999458E-2</c:v>
                      </c:pt>
                      <c:pt idx="25">
                        <c:v>8.7599545000003332E-2</c:v>
                      </c:pt>
                      <c:pt idx="26">
                        <c:v>8.5563139999997873E-2</c:v>
                      </c:pt>
                      <c:pt idx="27">
                        <c:v>8.3526734999992414E-2</c:v>
                      </c:pt>
                      <c:pt idx="28">
                        <c:v>8.1490330000001165E-2</c:v>
                      </c:pt>
                      <c:pt idx="29">
                        <c:v>7.9453924999988601E-2</c:v>
                      </c:pt>
                      <c:pt idx="30">
                        <c:v>7.7417520000011564E-2</c:v>
                      </c:pt>
                      <c:pt idx="31">
                        <c:v>7.5381114999998999E-2</c:v>
                      </c:pt>
                      <c:pt idx="32">
                        <c:v>7.3344710000007751E-2</c:v>
                      </c:pt>
                      <c:pt idx="33">
                        <c:v>7.1308305000002292E-2</c:v>
                      </c:pt>
                      <c:pt idx="34">
                        <c:v>6.9271899999996833E-2</c:v>
                      </c:pt>
                      <c:pt idx="35">
                        <c:v>6.723549499999848E-2</c:v>
                      </c:pt>
                      <c:pt idx="36">
                        <c:v>6.5199090000000126E-2</c:v>
                      </c:pt>
                      <c:pt idx="37">
                        <c:v>6.3162685000001773E-2</c:v>
                      </c:pt>
                      <c:pt idx="38">
                        <c:v>6.1126279999996314E-2</c:v>
                      </c:pt>
                      <c:pt idx="39">
                        <c:v>5.9089875000005065E-2</c:v>
                      </c:pt>
                      <c:pt idx="40">
                        <c:v>5.7053470000006712E-2</c:v>
                      </c:pt>
                      <c:pt idx="41">
                        <c:v>5.5017065000001253E-2</c:v>
                      </c:pt>
                      <c:pt idx="42">
                        <c:v>5.2980660000002899E-2</c:v>
                      </c:pt>
                      <c:pt idx="43">
                        <c:v>5.0944255000004546E-2</c:v>
                      </c:pt>
                      <c:pt idx="44">
                        <c:v>4.8907849999991981E-2</c:v>
                      </c:pt>
                      <c:pt idx="45">
                        <c:v>4.6871445000000733E-2</c:v>
                      </c:pt>
                      <c:pt idx="46">
                        <c:v>4.4835039999995274E-2</c:v>
                      </c:pt>
                      <c:pt idx="47">
                        <c:v>4.2798634999996921E-2</c:v>
                      </c:pt>
                      <c:pt idx="48">
                        <c:v>4.0762229999998567E-2</c:v>
                      </c:pt>
                      <c:pt idx="49">
                        <c:v>3.8725825000000214E-2</c:v>
                      </c:pt>
                      <c:pt idx="50">
                        <c:v>3.6689420000008965E-2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FF3-4719-91D0-4CC87A3179E0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グラフ!$S$5</c15:sqref>
                        </c15:formulaRef>
                      </c:ext>
                    </c:extLst>
                    <c:strCache>
                      <c:ptCount val="1"/>
                      <c:pt idx="0">
                        <c:v>締め代：Δ+10℃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グラフ!$S$6:$S$56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0.12908067000000756</c:v>
                      </c:pt>
                      <c:pt idx="1">
                        <c:v>0.1270442650000021</c:v>
                      </c:pt>
                      <c:pt idx="2">
                        <c:v>0.12500786000000375</c:v>
                      </c:pt>
                      <c:pt idx="3">
                        <c:v>0.12297145499999829</c:v>
                      </c:pt>
                      <c:pt idx="4">
                        <c:v>0.12093504999999283</c:v>
                      </c:pt>
                      <c:pt idx="5">
                        <c:v>0.11889864500000158</c:v>
                      </c:pt>
                      <c:pt idx="6">
                        <c:v>0.11686223999999612</c:v>
                      </c:pt>
                      <c:pt idx="7">
                        <c:v>0.11482583499999777</c:v>
                      </c:pt>
                      <c:pt idx="8">
                        <c:v>0.11278942999999941</c:v>
                      </c:pt>
                      <c:pt idx="9">
                        <c:v>0.11075302500000106</c:v>
                      </c:pt>
                      <c:pt idx="10">
                        <c:v>0.10871662000000271</c:v>
                      </c:pt>
                      <c:pt idx="11">
                        <c:v>0.10668021499999725</c:v>
                      </c:pt>
                      <c:pt idx="12">
                        <c:v>0.10464380999999889</c:v>
                      </c:pt>
                      <c:pt idx="13">
                        <c:v>0.10260740500000054</c:v>
                      </c:pt>
                      <c:pt idx="14">
                        <c:v>0.10057099999999508</c:v>
                      </c:pt>
                      <c:pt idx="15">
                        <c:v>9.8534595000003833E-2</c:v>
                      </c:pt>
                      <c:pt idx="16">
                        <c:v>9.6498189999998374E-2</c:v>
                      </c:pt>
                      <c:pt idx="17">
                        <c:v>9.4461784999992915E-2</c:v>
                      </c:pt>
                      <c:pt idx="18">
                        <c:v>9.2425380000001667E-2</c:v>
                      </c:pt>
                      <c:pt idx="19">
                        <c:v>9.0388975000003313E-2</c:v>
                      </c:pt>
                      <c:pt idx="20">
                        <c:v>8.8352569999997854E-2</c:v>
                      </c:pt>
                      <c:pt idx="21">
                        <c:v>8.6316164999999501E-2</c:v>
                      </c:pt>
                      <c:pt idx="22">
                        <c:v>8.4279759999994042E-2</c:v>
                      </c:pt>
                      <c:pt idx="23">
                        <c:v>8.2243355000002794E-2</c:v>
                      </c:pt>
                      <c:pt idx="24">
                        <c:v>8.0206949999990229E-2</c:v>
                      </c:pt>
                      <c:pt idx="25">
                        <c:v>7.8170544999998981E-2</c:v>
                      </c:pt>
                      <c:pt idx="26">
                        <c:v>7.6134140000000627E-2</c:v>
                      </c:pt>
                      <c:pt idx="27">
                        <c:v>7.4097734999988063E-2</c:v>
                      </c:pt>
                      <c:pt idx="28">
                        <c:v>7.2061330000011026E-2</c:v>
                      </c:pt>
                      <c:pt idx="29">
                        <c:v>7.0024924999998461E-2</c:v>
                      </c:pt>
                      <c:pt idx="30">
                        <c:v>6.7988520000007213E-2</c:v>
                      </c:pt>
                      <c:pt idx="31">
                        <c:v>6.5952115000001754E-2</c:v>
                      </c:pt>
                      <c:pt idx="32">
                        <c:v>6.3915710000003401E-2</c:v>
                      </c:pt>
                      <c:pt idx="33">
                        <c:v>6.1879304999997942E-2</c:v>
                      </c:pt>
                      <c:pt idx="34">
                        <c:v>5.9842899999999588E-2</c:v>
                      </c:pt>
                      <c:pt idx="35">
                        <c:v>5.7806494999994129E-2</c:v>
                      </c:pt>
                      <c:pt idx="36">
                        <c:v>5.5770089999995776E-2</c:v>
                      </c:pt>
                      <c:pt idx="37">
                        <c:v>5.3733685000004527E-2</c:v>
                      </c:pt>
                      <c:pt idx="38">
                        <c:v>5.1697280000006174E-2</c:v>
                      </c:pt>
                      <c:pt idx="39">
                        <c:v>4.966087500000782E-2</c:v>
                      </c:pt>
                      <c:pt idx="40">
                        <c:v>4.7624470000002361E-2</c:v>
                      </c:pt>
                      <c:pt idx="41">
                        <c:v>4.5588065000004008E-2</c:v>
                      </c:pt>
                      <c:pt idx="42">
                        <c:v>4.3551659999998549E-2</c:v>
                      </c:pt>
                      <c:pt idx="43">
                        <c:v>4.1515255000000195E-2</c:v>
                      </c:pt>
                      <c:pt idx="44">
                        <c:v>3.9478849999994736E-2</c:v>
                      </c:pt>
                      <c:pt idx="45">
                        <c:v>3.7442444999996383E-2</c:v>
                      </c:pt>
                      <c:pt idx="46">
                        <c:v>3.5406039999990924E-2</c:v>
                      </c:pt>
                      <c:pt idx="47">
                        <c:v>3.3369634999999676E-2</c:v>
                      </c:pt>
                      <c:pt idx="48">
                        <c:v>3.1333230000008427E-2</c:v>
                      </c:pt>
                      <c:pt idx="49">
                        <c:v>2.9296825000002968E-2</c:v>
                      </c:pt>
                      <c:pt idx="50">
                        <c:v>2.7260420000004615E-2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FF3-4719-91D0-4CC87A3179E0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グラフ!$T$5</c15:sqref>
                        </c15:formulaRef>
                      </c:ext>
                    </c:extLst>
                    <c:strCache>
                      <c:ptCount val="1"/>
                      <c:pt idx="0">
                        <c:v>締め代：Δ+20℃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グラフ!$T$6:$T$56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0.11965167000000321</c:v>
                      </c:pt>
                      <c:pt idx="1">
                        <c:v>0.11761526500000485</c:v>
                      </c:pt>
                      <c:pt idx="2">
                        <c:v>0.11557885999999939</c:v>
                      </c:pt>
                      <c:pt idx="3">
                        <c:v>0.11354245500000104</c:v>
                      </c:pt>
                      <c:pt idx="4">
                        <c:v>0.11150604999999558</c:v>
                      </c:pt>
                      <c:pt idx="5">
                        <c:v>0.10946964499999723</c:v>
                      </c:pt>
                      <c:pt idx="6">
                        <c:v>0.10743323999999888</c:v>
                      </c:pt>
                      <c:pt idx="7">
                        <c:v>0.10539683499999342</c:v>
                      </c:pt>
                      <c:pt idx="8">
                        <c:v>0.10336043000000217</c:v>
                      </c:pt>
                      <c:pt idx="9">
                        <c:v>0.10132402500000381</c:v>
                      </c:pt>
                      <c:pt idx="10">
                        <c:v>9.9287619999998356E-2</c:v>
                      </c:pt>
                      <c:pt idx="11">
                        <c:v>9.7251215000000002E-2</c:v>
                      </c:pt>
                      <c:pt idx="12">
                        <c:v>9.5214809999994543E-2</c:v>
                      </c:pt>
                      <c:pt idx="13">
                        <c:v>9.3178404999996189E-2</c:v>
                      </c:pt>
                      <c:pt idx="14">
                        <c:v>9.1141999999997836E-2</c:v>
                      </c:pt>
                      <c:pt idx="15">
                        <c:v>8.9105594999999482E-2</c:v>
                      </c:pt>
                      <c:pt idx="16">
                        <c:v>8.7069190000001129E-2</c:v>
                      </c:pt>
                      <c:pt idx="17">
                        <c:v>8.5032785000002775E-2</c:v>
                      </c:pt>
                      <c:pt idx="18">
                        <c:v>8.2996380000004422E-2</c:v>
                      </c:pt>
                      <c:pt idx="19">
                        <c:v>8.0959974999998963E-2</c:v>
                      </c:pt>
                      <c:pt idx="20">
                        <c:v>7.8923569999993504E-2</c:v>
                      </c:pt>
                      <c:pt idx="21">
                        <c:v>7.6887165000002256E-2</c:v>
                      </c:pt>
                      <c:pt idx="22">
                        <c:v>7.4850759999989691E-2</c:v>
                      </c:pt>
                      <c:pt idx="23">
                        <c:v>7.2814354999998443E-2</c:v>
                      </c:pt>
                      <c:pt idx="24">
                        <c:v>7.0777949999992984E-2</c:v>
                      </c:pt>
                      <c:pt idx="25">
                        <c:v>6.874154499999463E-2</c:v>
                      </c:pt>
                      <c:pt idx="26">
                        <c:v>6.6705140000010488E-2</c:v>
                      </c:pt>
                      <c:pt idx="27">
                        <c:v>6.4668734999997923E-2</c:v>
                      </c:pt>
                      <c:pt idx="28">
                        <c:v>6.2632330000006675E-2</c:v>
                      </c:pt>
                      <c:pt idx="29">
                        <c:v>6.0595925000001216E-2</c:v>
                      </c:pt>
                      <c:pt idx="30">
                        <c:v>5.8559520000002863E-2</c:v>
                      </c:pt>
                      <c:pt idx="31">
                        <c:v>5.6523114999997404E-2</c:v>
                      </c:pt>
                      <c:pt idx="32">
                        <c:v>5.4486710000006155E-2</c:v>
                      </c:pt>
                      <c:pt idx="33">
                        <c:v>5.2450304999993591E-2</c:v>
                      </c:pt>
                      <c:pt idx="34">
                        <c:v>5.0413899999995238E-2</c:v>
                      </c:pt>
                      <c:pt idx="35">
                        <c:v>4.8377494999996884E-2</c:v>
                      </c:pt>
                      <c:pt idx="36">
                        <c:v>4.6341090000005636E-2</c:v>
                      </c:pt>
                      <c:pt idx="37">
                        <c:v>4.4304685000007282E-2</c:v>
                      </c:pt>
                      <c:pt idx="38">
                        <c:v>4.2268280000001823E-2</c:v>
                      </c:pt>
                      <c:pt idx="39">
                        <c:v>4.0231875000010575E-2</c:v>
                      </c:pt>
                      <c:pt idx="40">
                        <c:v>3.8195469999998011E-2</c:v>
                      </c:pt>
                      <c:pt idx="41">
                        <c:v>3.6159064999999657E-2</c:v>
                      </c:pt>
                      <c:pt idx="42">
                        <c:v>3.4122660000001304E-2</c:v>
                      </c:pt>
                      <c:pt idx="43">
                        <c:v>3.2086254999995845E-2</c:v>
                      </c:pt>
                      <c:pt idx="44">
                        <c:v>3.0049849999990386E-2</c:v>
                      </c:pt>
                      <c:pt idx="45">
                        <c:v>2.8013444999999138E-2</c:v>
                      </c:pt>
                      <c:pt idx="46">
                        <c:v>2.5977040000000784E-2</c:v>
                      </c:pt>
                      <c:pt idx="47">
                        <c:v>2.394063500000243E-2</c:v>
                      </c:pt>
                      <c:pt idx="48">
                        <c:v>2.1904230000004077E-2</c:v>
                      </c:pt>
                      <c:pt idx="49">
                        <c:v>1.9867825000005723E-2</c:v>
                      </c:pt>
                      <c:pt idx="50">
                        <c:v>1.7831420000000264E-2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FF3-4719-91D0-4CC87A3179E0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グラフ!$U$5</c15:sqref>
                        </c15:formulaRef>
                      </c:ext>
                    </c:extLst>
                    <c:strCache>
                      <c:ptCount val="1"/>
                      <c:pt idx="0">
                        <c:v>締め代：Δ+30℃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グラフ!$U$6:$U$56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0.11022266999999886</c:v>
                      </c:pt>
                      <c:pt idx="1">
                        <c:v>0.10818626500000761</c:v>
                      </c:pt>
                      <c:pt idx="2">
                        <c:v>0.10614986000000215</c:v>
                      </c:pt>
                      <c:pt idx="3">
                        <c:v>0.10411345499999669</c:v>
                      </c:pt>
                      <c:pt idx="4">
                        <c:v>0.10207704999999834</c:v>
                      </c:pt>
                      <c:pt idx="5">
                        <c:v>0.10004064499999288</c:v>
                      </c:pt>
                      <c:pt idx="6">
                        <c:v>9.800424000000163E-2</c:v>
                      </c:pt>
                      <c:pt idx="7">
                        <c:v>9.5967834999996171E-2</c:v>
                      </c:pt>
                      <c:pt idx="8">
                        <c:v>9.3931429999997818E-2</c:v>
                      </c:pt>
                      <c:pt idx="9">
                        <c:v>9.1895025000006569E-2</c:v>
                      </c:pt>
                      <c:pt idx="10">
                        <c:v>8.9858619999994005E-2</c:v>
                      </c:pt>
                      <c:pt idx="11">
                        <c:v>8.7822214999995651E-2</c:v>
                      </c:pt>
                      <c:pt idx="12">
                        <c:v>8.5785809999997298E-2</c:v>
                      </c:pt>
                      <c:pt idx="13">
                        <c:v>8.3749404999991839E-2</c:v>
                      </c:pt>
                      <c:pt idx="14">
                        <c:v>8.1713000000000591E-2</c:v>
                      </c:pt>
                      <c:pt idx="15">
                        <c:v>7.9676595000009343E-2</c:v>
                      </c:pt>
                      <c:pt idx="16">
                        <c:v>7.7640190000003884E-2</c:v>
                      </c:pt>
                      <c:pt idx="17">
                        <c:v>7.5603784999998425E-2</c:v>
                      </c:pt>
                      <c:pt idx="18">
                        <c:v>7.3567380000000071E-2</c:v>
                      </c:pt>
                      <c:pt idx="19">
                        <c:v>7.1530975000001717E-2</c:v>
                      </c:pt>
                      <c:pt idx="20">
                        <c:v>6.9494569999989153E-2</c:v>
                      </c:pt>
                      <c:pt idx="21">
                        <c:v>6.7458164999997905E-2</c:v>
                      </c:pt>
                      <c:pt idx="22">
                        <c:v>6.5421759999992446E-2</c:v>
                      </c:pt>
                      <c:pt idx="23">
                        <c:v>6.3385354999994092E-2</c:v>
                      </c:pt>
                      <c:pt idx="24">
                        <c:v>6.1348950000002844E-2</c:v>
                      </c:pt>
                      <c:pt idx="25">
                        <c:v>5.9312545000004491E-2</c:v>
                      </c:pt>
                      <c:pt idx="26">
                        <c:v>5.7276140000006137E-2</c:v>
                      </c:pt>
                      <c:pt idx="27">
                        <c:v>5.5239735000000678E-2</c:v>
                      </c:pt>
                      <c:pt idx="28">
                        <c:v>5.3203330000002325E-2</c:v>
                      </c:pt>
                      <c:pt idx="29">
                        <c:v>5.1166924999996866E-2</c:v>
                      </c:pt>
                      <c:pt idx="30">
                        <c:v>4.9130520000005617E-2</c:v>
                      </c:pt>
                      <c:pt idx="31">
                        <c:v>4.7094114999993053E-2</c:v>
                      </c:pt>
                      <c:pt idx="32">
                        <c:v>4.5057710000001805E-2</c:v>
                      </c:pt>
                      <c:pt idx="33">
                        <c:v>4.3021304999996346E-2</c:v>
                      </c:pt>
                      <c:pt idx="34">
                        <c:v>4.0984900000005098E-2</c:v>
                      </c:pt>
                      <c:pt idx="35">
                        <c:v>3.8948494999999639E-2</c:v>
                      </c:pt>
                      <c:pt idx="36">
                        <c:v>3.6912090000001285E-2</c:v>
                      </c:pt>
                      <c:pt idx="37">
                        <c:v>3.4875685000010037E-2</c:v>
                      </c:pt>
                      <c:pt idx="38">
                        <c:v>3.2839279999997473E-2</c:v>
                      </c:pt>
                      <c:pt idx="39">
                        <c:v>3.0802875000006225E-2</c:v>
                      </c:pt>
                      <c:pt idx="40">
                        <c:v>2.8766470000000766E-2</c:v>
                      </c:pt>
                      <c:pt idx="41">
                        <c:v>2.6730064999995307E-2</c:v>
                      </c:pt>
                      <c:pt idx="42">
                        <c:v>2.4693659999996953E-2</c:v>
                      </c:pt>
                      <c:pt idx="43">
                        <c:v>2.2657254999998599E-2</c:v>
                      </c:pt>
                      <c:pt idx="44">
                        <c:v>2.0620850000000246E-2</c:v>
                      </c:pt>
                      <c:pt idx="45">
                        <c:v>1.8584445000001892E-2</c:v>
                      </c:pt>
                      <c:pt idx="46">
                        <c:v>1.6548039999996433E-2</c:v>
                      </c:pt>
                      <c:pt idx="47">
                        <c:v>1.4511635000005185E-2</c:v>
                      </c:pt>
                      <c:pt idx="48">
                        <c:v>1.2475229999999726E-2</c:v>
                      </c:pt>
                      <c:pt idx="49">
                        <c:v>1.0438825000001373E-2</c:v>
                      </c:pt>
                      <c:pt idx="50">
                        <c:v>8.4024200000030191E-3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FF3-4719-91D0-4CC87A3179E0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グラフ!$V$5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グラフ!$V$6:$V$56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59.163797517995462</c:v>
                      </c:pt>
                      <c:pt idx="1">
                        <c:v>58.441472227658714</c:v>
                      </c:pt>
                      <c:pt idx="2">
                        <c:v>57.719146937324474</c:v>
                      </c:pt>
                      <c:pt idx="3">
                        <c:v>56.996821646990234</c:v>
                      </c:pt>
                      <c:pt idx="4">
                        <c:v>56.274496356653486</c:v>
                      </c:pt>
                      <c:pt idx="5">
                        <c:v>55.552171066319254</c:v>
                      </c:pt>
                      <c:pt idx="6">
                        <c:v>54.829845775985014</c:v>
                      </c:pt>
                      <c:pt idx="7">
                        <c:v>54.107520485648266</c:v>
                      </c:pt>
                      <c:pt idx="8">
                        <c:v>53.385195195316548</c:v>
                      </c:pt>
                      <c:pt idx="9">
                        <c:v>52.662869904982308</c:v>
                      </c:pt>
                      <c:pt idx="10">
                        <c:v>51.940544614645553</c:v>
                      </c:pt>
                      <c:pt idx="11">
                        <c:v>51.21821932431132</c:v>
                      </c:pt>
                      <c:pt idx="12">
                        <c:v>50.495894033974572</c:v>
                      </c:pt>
                      <c:pt idx="13">
                        <c:v>49.773568743642855</c:v>
                      </c:pt>
                      <c:pt idx="14">
                        <c:v>49.0512434533061</c:v>
                      </c:pt>
                      <c:pt idx="15">
                        <c:v>48.328918162974389</c:v>
                      </c:pt>
                      <c:pt idx="16">
                        <c:v>47.606592872637627</c:v>
                      </c:pt>
                      <c:pt idx="17">
                        <c:v>46.884267582300872</c:v>
                      </c:pt>
                      <c:pt idx="18">
                        <c:v>46.161942291969162</c:v>
                      </c:pt>
                      <c:pt idx="19">
                        <c:v>45.439617001632406</c:v>
                      </c:pt>
                      <c:pt idx="20">
                        <c:v>44.717291711295651</c:v>
                      </c:pt>
                      <c:pt idx="21">
                        <c:v>43.994966420963941</c:v>
                      </c:pt>
                      <c:pt idx="22">
                        <c:v>43.272641130624656</c:v>
                      </c:pt>
                      <c:pt idx="23">
                        <c:v>42.550315840292946</c:v>
                      </c:pt>
                      <c:pt idx="24">
                        <c:v>41.827990549956191</c:v>
                      </c:pt>
                      <c:pt idx="25">
                        <c:v>41.105665259621958</c:v>
                      </c:pt>
                      <c:pt idx="26">
                        <c:v>40.383339969290247</c:v>
                      </c:pt>
                      <c:pt idx="27">
                        <c:v>39.661014678953492</c:v>
                      </c:pt>
                      <c:pt idx="28">
                        <c:v>38.938689388621775</c:v>
                      </c:pt>
                      <c:pt idx="29">
                        <c:v>38.216364098282497</c:v>
                      </c:pt>
                      <c:pt idx="30">
                        <c:v>37.494038807950787</c:v>
                      </c:pt>
                      <c:pt idx="31">
                        <c:v>36.771713517614032</c:v>
                      </c:pt>
                      <c:pt idx="32">
                        <c:v>36.049388227279799</c:v>
                      </c:pt>
                      <c:pt idx="33">
                        <c:v>35.327062936943044</c:v>
                      </c:pt>
                      <c:pt idx="34">
                        <c:v>34.604737646608804</c:v>
                      </c:pt>
                      <c:pt idx="35">
                        <c:v>33.882412356272049</c:v>
                      </c:pt>
                      <c:pt idx="36">
                        <c:v>33.160087065942854</c:v>
                      </c:pt>
                      <c:pt idx="37">
                        <c:v>32.437761775608621</c:v>
                      </c:pt>
                      <c:pt idx="38">
                        <c:v>31.715436485271869</c:v>
                      </c:pt>
                      <c:pt idx="39">
                        <c:v>30.993111194940155</c:v>
                      </c:pt>
                      <c:pt idx="40">
                        <c:v>30.270785904600878</c:v>
                      </c:pt>
                      <c:pt idx="41">
                        <c:v>29.548460614266645</c:v>
                      </c:pt>
                      <c:pt idx="42">
                        <c:v>28.826135323932409</c:v>
                      </c:pt>
                      <c:pt idx="43">
                        <c:v>28.103810033595654</c:v>
                      </c:pt>
                      <c:pt idx="44">
                        <c:v>27.381484743258902</c:v>
                      </c:pt>
                      <c:pt idx="45">
                        <c:v>26.659159452927188</c:v>
                      </c:pt>
                      <c:pt idx="46">
                        <c:v>25.936834162592948</c:v>
                      </c:pt>
                      <c:pt idx="47">
                        <c:v>25.214508872258715</c:v>
                      </c:pt>
                      <c:pt idx="48">
                        <c:v>24.492183581924483</c:v>
                      </c:pt>
                      <c:pt idx="49">
                        <c:v>23.76985829159025</c:v>
                      </c:pt>
                      <c:pt idx="50">
                        <c:v>23.047533001253491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FF3-4719-91D0-4CC87A3179E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グラフ!$W$5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グラフ!$W$6:$W$56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55.819273632731907</c:v>
                      </c:pt>
                      <c:pt idx="1">
                        <c:v>55.096948342400189</c:v>
                      </c:pt>
                      <c:pt idx="2">
                        <c:v>54.374623052063427</c:v>
                      </c:pt>
                      <c:pt idx="3">
                        <c:v>53.652297761726679</c:v>
                      </c:pt>
                      <c:pt idx="4">
                        <c:v>52.929972471392446</c:v>
                      </c:pt>
                      <c:pt idx="5">
                        <c:v>52.207647181055691</c:v>
                      </c:pt>
                      <c:pt idx="6">
                        <c:v>51.485321890723974</c:v>
                      </c:pt>
                      <c:pt idx="7">
                        <c:v>50.762996600387218</c:v>
                      </c:pt>
                      <c:pt idx="8">
                        <c:v>50.040671310052979</c:v>
                      </c:pt>
                      <c:pt idx="9">
                        <c:v>49.318346019721268</c:v>
                      </c:pt>
                      <c:pt idx="10">
                        <c:v>48.596020729381998</c:v>
                      </c:pt>
                      <c:pt idx="11">
                        <c:v>47.87369543905028</c:v>
                      </c:pt>
                      <c:pt idx="12">
                        <c:v>47.151370148713525</c:v>
                      </c:pt>
                      <c:pt idx="13">
                        <c:v>46.429044858379292</c:v>
                      </c:pt>
                      <c:pt idx="14">
                        <c:v>45.706719568045052</c:v>
                      </c:pt>
                      <c:pt idx="15">
                        <c:v>44.98439427771082</c:v>
                      </c:pt>
                      <c:pt idx="16">
                        <c:v>44.262068987376587</c:v>
                      </c:pt>
                      <c:pt idx="17">
                        <c:v>43.539743697039832</c:v>
                      </c:pt>
                      <c:pt idx="18">
                        <c:v>42.817418406705599</c:v>
                      </c:pt>
                      <c:pt idx="19">
                        <c:v>42.095093116371366</c:v>
                      </c:pt>
                      <c:pt idx="20">
                        <c:v>41.372767826032089</c:v>
                      </c:pt>
                      <c:pt idx="21">
                        <c:v>40.650442535700371</c:v>
                      </c:pt>
                      <c:pt idx="22">
                        <c:v>39.928117245363616</c:v>
                      </c:pt>
                      <c:pt idx="23">
                        <c:v>39.205791955029383</c:v>
                      </c:pt>
                      <c:pt idx="24">
                        <c:v>38.48346666469515</c:v>
                      </c:pt>
                      <c:pt idx="25">
                        <c:v>37.76114137436344</c:v>
                      </c:pt>
                      <c:pt idx="26">
                        <c:v>37.0388160840292</c:v>
                      </c:pt>
                      <c:pt idx="27">
                        <c:v>36.316490793689923</c:v>
                      </c:pt>
                      <c:pt idx="28">
                        <c:v>35.594165503358212</c:v>
                      </c:pt>
                      <c:pt idx="29">
                        <c:v>34.871840213021457</c:v>
                      </c:pt>
                      <c:pt idx="30">
                        <c:v>34.149514922687224</c:v>
                      </c:pt>
                      <c:pt idx="31">
                        <c:v>33.427189632350469</c:v>
                      </c:pt>
                      <c:pt idx="32">
                        <c:v>32.704864342018752</c:v>
                      </c:pt>
                      <c:pt idx="33">
                        <c:v>31.982539051679474</c:v>
                      </c:pt>
                      <c:pt idx="34">
                        <c:v>31.260213761350279</c:v>
                      </c:pt>
                      <c:pt idx="35">
                        <c:v>30.537888471013527</c:v>
                      </c:pt>
                      <c:pt idx="36">
                        <c:v>29.815563180679295</c:v>
                      </c:pt>
                      <c:pt idx="37">
                        <c:v>29.093237890347581</c:v>
                      </c:pt>
                      <c:pt idx="38">
                        <c:v>28.370912600008303</c:v>
                      </c:pt>
                      <c:pt idx="39">
                        <c:v>27.648587309676589</c:v>
                      </c:pt>
                      <c:pt idx="40">
                        <c:v>26.926262019339838</c:v>
                      </c:pt>
                      <c:pt idx="41">
                        <c:v>26.203936729003079</c:v>
                      </c:pt>
                      <c:pt idx="42">
                        <c:v>25.481611438668846</c:v>
                      </c:pt>
                      <c:pt idx="43">
                        <c:v>24.759286148334613</c:v>
                      </c:pt>
                      <c:pt idx="44">
                        <c:v>24.036960858000377</c:v>
                      </c:pt>
                      <c:pt idx="45">
                        <c:v>23.314635567666141</c:v>
                      </c:pt>
                      <c:pt idx="46">
                        <c:v>22.592310277329389</c:v>
                      </c:pt>
                      <c:pt idx="47">
                        <c:v>21.869984986997675</c:v>
                      </c:pt>
                      <c:pt idx="48">
                        <c:v>21.147659696660916</c:v>
                      </c:pt>
                      <c:pt idx="49">
                        <c:v>20.425334406326684</c:v>
                      </c:pt>
                      <c:pt idx="50">
                        <c:v>19.703009115992451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FF3-4719-91D0-4CC87A3179E0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グラフ!$X$5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グラフ!$X$6:$X$56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52.474749747470852</c:v>
                      </c:pt>
                      <c:pt idx="1">
                        <c:v>51.75242445713662</c:v>
                      </c:pt>
                      <c:pt idx="2">
                        <c:v>51.030099166802387</c:v>
                      </c:pt>
                      <c:pt idx="3">
                        <c:v>50.307773876463116</c:v>
                      </c:pt>
                      <c:pt idx="4">
                        <c:v>49.585448586131399</c:v>
                      </c:pt>
                      <c:pt idx="5">
                        <c:v>48.863123295794651</c:v>
                      </c:pt>
                      <c:pt idx="6">
                        <c:v>48.140798005460404</c:v>
                      </c:pt>
                      <c:pt idx="7">
                        <c:v>47.418472715126171</c:v>
                      </c:pt>
                      <c:pt idx="8">
                        <c:v>46.696147424789423</c:v>
                      </c:pt>
                      <c:pt idx="9">
                        <c:v>45.973822134460228</c:v>
                      </c:pt>
                      <c:pt idx="10">
                        <c:v>45.25149684412095</c:v>
                      </c:pt>
                      <c:pt idx="11">
                        <c:v>44.529171553786718</c:v>
                      </c:pt>
                      <c:pt idx="12">
                        <c:v>43.806846263452485</c:v>
                      </c:pt>
                      <c:pt idx="13">
                        <c:v>43.084520973115723</c:v>
                      </c:pt>
                      <c:pt idx="14">
                        <c:v>42.362195682784012</c:v>
                      </c:pt>
                      <c:pt idx="15">
                        <c:v>41.63987039244978</c:v>
                      </c:pt>
                      <c:pt idx="16">
                        <c:v>40.917545102113024</c:v>
                      </c:pt>
                      <c:pt idx="17">
                        <c:v>40.195219811778792</c:v>
                      </c:pt>
                      <c:pt idx="18">
                        <c:v>39.472894521442036</c:v>
                      </c:pt>
                      <c:pt idx="19">
                        <c:v>38.750569231107796</c:v>
                      </c:pt>
                      <c:pt idx="20">
                        <c:v>38.028243940771041</c:v>
                      </c:pt>
                      <c:pt idx="21">
                        <c:v>37.305918650436809</c:v>
                      </c:pt>
                      <c:pt idx="22">
                        <c:v>36.583593360102576</c:v>
                      </c:pt>
                      <c:pt idx="23">
                        <c:v>35.861268069770865</c:v>
                      </c:pt>
                      <c:pt idx="24">
                        <c:v>35.13894277943411</c:v>
                      </c:pt>
                      <c:pt idx="25">
                        <c:v>34.416617489099878</c:v>
                      </c:pt>
                      <c:pt idx="26">
                        <c:v>33.694292198765638</c:v>
                      </c:pt>
                      <c:pt idx="27">
                        <c:v>32.971966908428882</c:v>
                      </c:pt>
                      <c:pt idx="28">
                        <c:v>32.24964161809465</c:v>
                      </c:pt>
                      <c:pt idx="29">
                        <c:v>31.527316327757894</c:v>
                      </c:pt>
                      <c:pt idx="30">
                        <c:v>30.804991037426181</c:v>
                      </c:pt>
                      <c:pt idx="31">
                        <c:v>30.082665747086903</c:v>
                      </c:pt>
                      <c:pt idx="32">
                        <c:v>29.36034045676023</c:v>
                      </c:pt>
                      <c:pt idx="33">
                        <c:v>28.638015166420956</c:v>
                      </c:pt>
                      <c:pt idx="34">
                        <c:v>27.91568987608672</c:v>
                      </c:pt>
                      <c:pt idx="35">
                        <c:v>27.193364585752487</c:v>
                      </c:pt>
                      <c:pt idx="36">
                        <c:v>26.471039295415732</c:v>
                      </c:pt>
                      <c:pt idx="37">
                        <c:v>25.748714005084015</c:v>
                      </c:pt>
                      <c:pt idx="38">
                        <c:v>25.026388714747263</c:v>
                      </c:pt>
                      <c:pt idx="39">
                        <c:v>24.304063424413027</c:v>
                      </c:pt>
                      <c:pt idx="40">
                        <c:v>23.581738134076272</c:v>
                      </c:pt>
                      <c:pt idx="41">
                        <c:v>22.859412843742039</c:v>
                      </c:pt>
                      <c:pt idx="42">
                        <c:v>22.137087553410325</c:v>
                      </c:pt>
                      <c:pt idx="43">
                        <c:v>21.41476226307357</c:v>
                      </c:pt>
                      <c:pt idx="44">
                        <c:v>20.692436972736814</c:v>
                      </c:pt>
                      <c:pt idx="45">
                        <c:v>19.970111682405101</c:v>
                      </c:pt>
                      <c:pt idx="46">
                        <c:v>19.247786392065823</c:v>
                      </c:pt>
                      <c:pt idx="47">
                        <c:v>18.525461101734109</c:v>
                      </c:pt>
                      <c:pt idx="48">
                        <c:v>17.803135811399876</c:v>
                      </c:pt>
                      <c:pt idx="49">
                        <c:v>17.080810521063121</c:v>
                      </c:pt>
                      <c:pt idx="50">
                        <c:v>16.358485230728885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FF3-4719-91D0-4CC87A3179E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グラフ!$Y$5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グラフ!$Y$6:$Y$56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49.130225862209812</c:v>
                      </c:pt>
                      <c:pt idx="1">
                        <c:v>48.407900571873057</c:v>
                      </c:pt>
                      <c:pt idx="2">
                        <c:v>47.685575281541347</c:v>
                      </c:pt>
                      <c:pt idx="3">
                        <c:v>46.963249991202076</c:v>
                      </c:pt>
                      <c:pt idx="4">
                        <c:v>46.240924700867829</c:v>
                      </c:pt>
                      <c:pt idx="5">
                        <c:v>45.518599410533596</c:v>
                      </c:pt>
                      <c:pt idx="6">
                        <c:v>44.796274120196848</c:v>
                      </c:pt>
                      <c:pt idx="7">
                        <c:v>44.073948829865131</c:v>
                      </c:pt>
                      <c:pt idx="8">
                        <c:v>43.351623539528376</c:v>
                      </c:pt>
                      <c:pt idx="9">
                        <c:v>42.629298249196665</c:v>
                      </c:pt>
                      <c:pt idx="10">
                        <c:v>41.90697295885991</c:v>
                      </c:pt>
                      <c:pt idx="11">
                        <c:v>41.184647668523148</c:v>
                      </c:pt>
                      <c:pt idx="12">
                        <c:v>40.462322378191438</c:v>
                      </c:pt>
                      <c:pt idx="13">
                        <c:v>39.739997087854682</c:v>
                      </c:pt>
                      <c:pt idx="14">
                        <c:v>39.01767179752045</c:v>
                      </c:pt>
                      <c:pt idx="15">
                        <c:v>38.295346507188739</c:v>
                      </c:pt>
                      <c:pt idx="16">
                        <c:v>37.573021216849462</c:v>
                      </c:pt>
                      <c:pt idx="17">
                        <c:v>36.850695926515222</c:v>
                      </c:pt>
                      <c:pt idx="18">
                        <c:v>36.128370636180989</c:v>
                      </c:pt>
                      <c:pt idx="19">
                        <c:v>35.406045345844234</c:v>
                      </c:pt>
                      <c:pt idx="20">
                        <c:v>34.683720055510001</c:v>
                      </c:pt>
                      <c:pt idx="21">
                        <c:v>33.961394765178291</c:v>
                      </c:pt>
                      <c:pt idx="22">
                        <c:v>33.239069474841536</c:v>
                      </c:pt>
                      <c:pt idx="23">
                        <c:v>32.516744184507303</c:v>
                      </c:pt>
                      <c:pt idx="24">
                        <c:v>31.794418894170541</c:v>
                      </c:pt>
                      <c:pt idx="25">
                        <c:v>31.07209360383883</c:v>
                      </c:pt>
                      <c:pt idx="26">
                        <c:v>30.349768313502071</c:v>
                      </c:pt>
                      <c:pt idx="27">
                        <c:v>29.62744302316532</c:v>
                      </c:pt>
                      <c:pt idx="28">
                        <c:v>28.905117732833606</c:v>
                      </c:pt>
                      <c:pt idx="29">
                        <c:v>28.182792442494328</c:v>
                      </c:pt>
                      <c:pt idx="30">
                        <c:v>27.460467152167656</c:v>
                      </c:pt>
                      <c:pt idx="31">
                        <c:v>26.738141861828382</c:v>
                      </c:pt>
                      <c:pt idx="32">
                        <c:v>26.015816571496668</c:v>
                      </c:pt>
                      <c:pt idx="33">
                        <c:v>25.293491281159913</c:v>
                      </c:pt>
                      <c:pt idx="34">
                        <c:v>24.571165990823157</c:v>
                      </c:pt>
                      <c:pt idx="35">
                        <c:v>23.848840700488921</c:v>
                      </c:pt>
                      <c:pt idx="36">
                        <c:v>23.126515410154688</c:v>
                      </c:pt>
                      <c:pt idx="37">
                        <c:v>22.404190119820452</c:v>
                      </c:pt>
                      <c:pt idx="38">
                        <c:v>21.681864829483697</c:v>
                      </c:pt>
                      <c:pt idx="39">
                        <c:v>20.959539539151983</c:v>
                      </c:pt>
                      <c:pt idx="40">
                        <c:v>20.23721424881775</c:v>
                      </c:pt>
                      <c:pt idx="41">
                        <c:v>19.514888958480995</c:v>
                      </c:pt>
                      <c:pt idx="42">
                        <c:v>18.792563668146759</c:v>
                      </c:pt>
                      <c:pt idx="43">
                        <c:v>18.070238377812526</c:v>
                      </c:pt>
                      <c:pt idx="44">
                        <c:v>17.347913087473252</c:v>
                      </c:pt>
                      <c:pt idx="45">
                        <c:v>16.625587797141534</c:v>
                      </c:pt>
                      <c:pt idx="46">
                        <c:v>15.903262506804781</c:v>
                      </c:pt>
                      <c:pt idx="47">
                        <c:v>15.180937216470547</c:v>
                      </c:pt>
                      <c:pt idx="48">
                        <c:v>14.458611926136312</c:v>
                      </c:pt>
                      <c:pt idx="49">
                        <c:v>13.736286635802077</c:v>
                      </c:pt>
                      <c:pt idx="50">
                        <c:v>13.013961345470364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FF3-4719-91D0-4CC87A3179E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グラフ!$Z$5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グラフ!$Z$6:$Z$56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45.785701976948772</c:v>
                      </c:pt>
                      <c:pt idx="1">
                        <c:v>45.063376686612017</c:v>
                      </c:pt>
                      <c:pt idx="2">
                        <c:v>44.341051396277784</c:v>
                      </c:pt>
                      <c:pt idx="3">
                        <c:v>43.618726105941022</c:v>
                      </c:pt>
                      <c:pt idx="4">
                        <c:v>42.896400815604274</c:v>
                      </c:pt>
                      <c:pt idx="5">
                        <c:v>42.174075525272556</c:v>
                      </c:pt>
                      <c:pt idx="6">
                        <c:v>41.451750234935801</c:v>
                      </c:pt>
                      <c:pt idx="7">
                        <c:v>40.729424944601568</c:v>
                      </c:pt>
                      <c:pt idx="8">
                        <c:v>40.007099654267336</c:v>
                      </c:pt>
                      <c:pt idx="9">
                        <c:v>39.284774363933103</c:v>
                      </c:pt>
                      <c:pt idx="10">
                        <c:v>38.562449073598863</c:v>
                      </c:pt>
                      <c:pt idx="11">
                        <c:v>37.840123783262108</c:v>
                      </c:pt>
                      <c:pt idx="12">
                        <c:v>37.117798492927875</c:v>
                      </c:pt>
                      <c:pt idx="13">
                        <c:v>36.395473202593642</c:v>
                      </c:pt>
                      <c:pt idx="14">
                        <c:v>35.673147912256887</c:v>
                      </c:pt>
                      <c:pt idx="15">
                        <c:v>34.950822621925177</c:v>
                      </c:pt>
                      <c:pt idx="16">
                        <c:v>34.228497331588414</c:v>
                      </c:pt>
                      <c:pt idx="17">
                        <c:v>33.506172041251659</c:v>
                      </c:pt>
                      <c:pt idx="18">
                        <c:v>32.783846750919949</c:v>
                      </c:pt>
                      <c:pt idx="19">
                        <c:v>32.061521460585716</c:v>
                      </c:pt>
                      <c:pt idx="20">
                        <c:v>31.339196170248961</c:v>
                      </c:pt>
                      <c:pt idx="21">
                        <c:v>30.616870879914721</c:v>
                      </c:pt>
                      <c:pt idx="22">
                        <c:v>29.894545589577969</c:v>
                      </c:pt>
                      <c:pt idx="23">
                        <c:v>29.172220299246256</c:v>
                      </c:pt>
                      <c:pt idx="24">
                        <c:v>28.449895008906978</c:v>
                      </c:pt>
                      <c:pt idx="25">
                        <c:v>27.727569718575264</c:v>
                      </c:pt>
                      <c:pt idx="26">
                        <c:v>27.005244428241031</c:v>
                      </c:pt>
                      <c:pt idx="27">
                        <c:v>26.282919137901754</c:v>
                      </c:pt>
                      <c:pt idx="28">
                        <c:v>25.560593847575085</c:v>
                      </c:pt>
                      <c:pt idx="29">
                        <c:v>24.838268557235807</c:v>
                      </c:pt>
                      <c:pt idx="30">
                        <c:v>24.115943266904093</c:v>
                      </c:pt>
                      <c:pt idx="31">
                        <c:v>23.393617976567338</c:v>
                      </c:pt>
                      <c:pt idx="32">
                        <c:v>22.671292686233102</c:v>
                      </c:pt>
                      <c:pt idx="33">
                        <c:v>21.94896739589635</c:v>
                      </c:pt>
                      <c:pt idx="34">
                        <c:v>21.226642105562114</c:v>
                      </c:pt>
                      <c:pt idx="35">
                        <c:v>20.504316815225359</c:v>
                      </c:pt>
                      <c:pt idx="36">
                        <c:v>19.781991524891126</c:v>
                      </c:pt>
                      <c:pt idx="37">
                        <c:v>19.059666234559412</c:v>
                      </c:pt>
                      <c:pt idx="38">
                        <c:v>18.337340944225176</c:v>
                      </c:pt>
                      <c:pt idx="39">
                        <c:v>17.615015653890939</c:v>
                      </c:pt>
                      <c:pt idx="40">
                        <c:v>16.892690363554188</c:v>
                      </c:pt>
                      <c:pt idx="41">
                        <c:v>16.170365073219951</c:v>
                      </c:pt>
                      <c:pt idx="42">
                        <c:v>15.448039782883196</c:v>
                      </c:pt>
                      <c:pt idx="43">
                        <c:v>14.725714492548962</c:v>
                      </c:pt>
                      <c:pt idx="44">
                        <c:v>14.003389202212206</c:v>
                      </c:pt>
                      <c:pt idx="45">
                        <c:v>13.281063911877974</c:v>
                      </c:pt>
                      <c:pt idx="46">
                        <c:v>12.558738621541218</c:v>
                      </c:pt>
                      <c:pt idx="47">
                        <c:v>11.836413331209505</c:v>
                      </c:pt>
                      <c:pt idx="48">
                        <c:v>11.114088040877791</c:v>
                      </c:pt>
                      <c:pt idx="49">
                        <c:v>10.391762750541035</c:v>
                      </c:pt>
                      <c:pt idx="50">
                        <c:v>9.6694374602067992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FF3-4719-91D0-4CC87A3179E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グラフ!$AA$5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グラフ!$AA$6:$AA$56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42.441178091685209</c:v>
                      </c:pt>
                      <c:pt idx="1">
                        <c:v>41.718852801350977</c:v>
                      </c:pt>
                      <c:pt idx="2">
                        <c:v>40.996527511014214</c:v>
                      </c:pt>
                      <c:pt idx="3">
                        <c:v>40.274202220679982</c:v>
                      </c:pt>
                      <c:pt idx="4">
                        <c:v>39.551876930343226</c:v>
                      </c:pt>
                      <c:pt idx="5">
                        <c:v>38.829551640008994</c:v>
                      </c:pt>
                      <c:pt idx="6">
                        <c:v>38.107226349674761</c:v>
                      </c:pt>
                      <c:pt idx="7">
                        <c:v>37.384901059338006</c:v>
                      </c:pt>
                      <c:pt idx="8">
                        <c:v>36.662575769006295</c:v>
                      </c:pt>
                      <c:pt idx="9">
                        <c:v>35.940250478672056</c:v>
                      </c:pt>
                      <c:pt idx="10">
                        <c:v>35.2179251883353</c:v>
                      </c:pt>
                      <c:pt idx="11">
                        <c:v>34.495599898001068</c:v>
                      </c:pt>
                      <c:pt idx="12">
                        <c:v>33.773274607664312</c:v>
                      </c:pt>
                      <c:pt idx="13">
                        <c:v>33.05094931733008</c:v>
                      </c:pt>
                      <c:pt idx="14">
                        <c:v>32.328624026995847</c:v>
                      </c:pt>
                      <c:pt idx="15">
                        <c:v>31.606298736661607</c:v>
                      </c:pt>
                      <c:pt idx="16">
                        <c:v>30.883973446327374</c:v>
                      </c:pt>
                      <c:pt idx="17">
                        <c:v>30.161648155993138</c:v>
                      </c:pt>
                      <c:pt idx="18">
                        <c:v>29.439322865658905</c:v>
                      </c:pt>
                      <c:pt idx="19">
                        <c:v>28.71699757532215</c:v>
                      </c:pt>
                      <c:pt idx="20">
                        <c:v>27.994672284985395</c:v>
                      </c:pt>
                      <c:pt idx="21">
                        <c:v>27.272346994653681</c:v>
                      </c:pt>
                      <c:pt idx="22">
                        <c:v>26.550021704314403</c:v>
                      </c:pt>
                      <c:pt idx="23">
                        <c:v>25.827696413982689</c:v>
                      </c:pt>
                      <c:pt idx="24">
                        <c:v>25.105371123645938</c:v>
                      </c:pt>
                      <c:pt idx="25">
                        <c:v>24.383045833311705</c:v>
                      </c:pt>
                      <c:pt idx="26">
                        <c:v>23.66072054298251</c:v>
                      </c:pt>
                      <c:pt idx="27">
                        <c:v>22.938395252643232</c:v>
                      </c:pt>
                      <c:pt idx="28">
                        <c:v>22.216069962311519</c:v>
                      </c:pt>
                      <c:pt idx="29">
                        <c:v>21.493744671974767</c:v>
                      </c:pt>
                      <c:pt idx="30">
                        <c:v>20.771419381640527</c:v>
                      </c:pt>
                      <c:pt idx="31">
                        <c:v>20.049094091303775</c:v>
                      </c:pt>
                      <c:pt idx="32">
                        <c:v>19.326768800972062</c:v>
                      </c:pt>
                      <c:pt idx="33">
                        <c:v>18.604443510632784</c:v>
                      </c:pt>
                      <c:pt idx="34">
                        <c:v>17.882118220298551</c:v>
                      </c:pt>
                      <c:pt idx="35">
                        <c:v>17.159792929964318</c:v>
                      </c:pt>
                      <c:pt idx="36">
                        <c:v>16.437467639632601</c:v>
                      </c:pt>
                      <c:pt idx="37">
                        <c:v>15.715142349298366</c:v>
                      </c:pt>
                      <c:pt idx="38">
                        <c:v>14.992817058961613</c:v>
                      </c:pt>
                      <c:pt idx="39">
                        <c:v>14.270491768629897</c:v>
                      </c:pt>
                      <c:pt idx="40">
                        <c:v>13.548166478290623</c:v>
                      </c:pt>
                      <c:pt idx="41">
                        <c:v>12.825841187956389</c:v>
                      </c:pt>
                      <c:pt idx="42">
                        <c:v>12.103515897622154</c:v>
                      </c:pt>
                      <c:pt idx="43">
                        <c:v>11.381190607285399</c:v>
                      </c:pt>
                      <c:pt idx="44">
                        <c:v>10.658865316948644</c:v>
                      </c:pt>
                      <c:pt idx="45">
                        <c:v>9.9365400266169299</c:v>
                      </c:pt>
                      <c:pt idx="46">
                        <c:v>9.2142147362826954</c:v>
                      </c:pt>
                      <c:pt idx="47">
                        <c:v>8.4918894459484608</c:v>
                      </c:pt>
                      <c:pt idx="48">
                        <c:v>7.7695641556142254</c:v>
                      </c:pt>
                      <c:pt idx="49">
                        <c:v>7.0472388652799909</c:v>
                      </c:pt>
                      <c:pt idx="50">
                        <c:v>6.3249135749432366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FF3-4719-91D0-4CC87A3179E0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グラフ!$AB$5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グラフ!$AB$6:$AB$56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39.09665420642164</c:v>
                      </c:pt>
                      <c:pt idx="1">
                        <c:v>38.374328916089929</c:v>
                      </c:pt>
                      <c:pt idx="2">
                        <c:v>37.652003625753174</c:v>
                      </c:pt>
                      <c:pt idx="3">
                        <c:v>36.929678335416419</c:v>
                      </c:pt>
                      <c:pt idx="4">
                        <c:v>36.207353045082186</c:v>
                      </c:pt>
                      <c:pt idx="5">
                        <c:v>35.485027754745431</c:v>
                      </c:pt>
                      <c:pt idx="6">
                        <c:v>34.762702464413721</c:v>
                      </c:pt>
                      <c:pt idx="7">
                        <c:v>34.040377174076959</c:v>
                      </c:pt>
                      <c:pt idx="8">
                        <c:v>33.318051883742726</c:v>
                      </c:pt>
                      <c:pt idx="9">
                        <c:v>32.595726593411015</c:v>
                      </c:pt>
                      <c:pt idx="10">
                        <c:v>31.873401303071738</c:v>
                      </c:pt>
                      <c:pt idx="11">
                        <c:v>31.151076012737505</c:v>
                      </c:pt>
                      <c:pt idx="12">
                        <c:v>30.428750722403269</c:v>
                      </c:pt>
                      <c:pt idx="13">
                        <c:v>29.706425432066514</c:v>
                      </c:pt>
                      <c:pt idx="14">
                        <c:v>28.9841001417348</c:v>
                      </c:pt>
                      <c:pt idx="15">
                        <c:v>28.261774851403086</c:v>
                      </c:pt>
                      <c:pt idx="16">
                        <c:v>27.539449561066331</c:v>
                      </c:pt>
                      <c:pt idx="17">
                        <c:v>26.817124270729575</c:v>
                      </c:pt>
                      <c:pt idx="18">
                        <c:v>26.094798980395339</c:v>
                      </c:pt>
                      <c:pt idx="19">
                        <c:v>25.372473690061106</c:v>
                      </c:pt>
                      <c:pt idx="20">
                        <c:v>24.650148399721832</c:v>
                      </c:pt>
                      <c:pt idx="21">
                        <c:v>23.927823109390115</c:v>
                      </c:pt>
                      <c:pt idx="22">
                        <c:v>23.205497819053363</c:v>
                      </c:pt>
                      <c:pt idx="23">
                        <c:v>22.48317252871913</c:v>
                      </c:pt>
                      <c:pt idx="24">
                        <c:v>21.760847238387417</c:v>
                      </c:pt>
                      <c:pt idx="25">
                        <c:v>21.038521948053177</c:v>
                      </c:pt>
                      <c:pt idx="26">
                        <c:v>20.316196657718944</c:v>
                      </c:pt>
                      <c:pt idx="27">
                        <c:v>19.593871367382192</c:v>
                      </c:pt>
                      <c:pt idx="28">
                        <c:v>18.871546077047952</c:v>
                      </c:pt>
                      <c:pt idx="29">
                        <c:v>18.149220786711201</c:v>
                      </c:pt>
                      <c:pt idx="30">
                        <c:v>17.426895496379487</c:v>
                      </c:pt>
                      <c:pt idx="31">
                        <c:v>16.704570206040209</c:v>
                      </c:pt>
                      <c:pt idx="32">
                        <c:v>15.982244915708495</c:v>
                      </c:pt>
                      <c:pt idx="33">
                        <c:v>15.259919625371742</c:v>
                      </c:pt>
                      <c:pt idx="34">
                        <c:v>14.537594335040026</c:v>
                      </c:pt>
                      <c:pt idx="35">
                        <c:v>13.815269044703273</c:v>
                      </c:pt>
                      <c:pt idx="36">
                        <c:v>13.092943754369038</c:v>
                      </c:pt>
                      <c:pt idx="37">
                        <c:v>12.370618464037324</c:v>
                      </c:pt>
                      <c:pt idx="38">
                        <c:v>11.648293173698049</c:v>
                      </c:pt>
                      <c:pt idx="39">
                        <c:v>10.925967883366335</c:v>
                      </c:pt>
                      <c:pt idx="40">
                        <c:v>10.20364259302958</c:v>
                      </c:pt>
                      <c:pt idx="41">
                        <c:v>9.4813173026928261</c:v>
                      </c:pt>
                      <c:pt idx="42">
                        <c:v>8.7589920123585898</c:v>
                      </c:pt>
                      <c:pt idx="43">
                        <c:v>8.0366667220243553</c:v>
                      </c:pt>
                      <c:pt idx="44">
                        <c:v>7.3143414316901207</c:v>
                      </c:pt>
                      <c:pt idx="45">
                        <c:v>6.5920161413558871</c:v>
                      </c:pt>
                      <c:pt idx="46">
                        <c:v>5.8696908510191319</c:v>
                      </c:pt>
                      <c:pt idx="47">
                        <c:v>5.147365560687418</c:v>
                      </c:pt>
                      <c:pt idx="48">
                        <c:v>4.4250402703506628</c:v>
                      </c:pt>
                      <c:pt idx="49">
                        <c:v>3.7027149800164283</c:v>
                      </c:pt>
                      <c:pt idx="50">
                        <c:v>2.9803896896821938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FF3-4719-91D0-4CC87A3179E0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グラフ!$AC$5</c15:sqref>
                        </c15:formulaRef>
                      </c:ext>
                    </c:extLst>
                    <c:strCache>
                      <c:ptCount val="1"/>
                      <c:pt idx="0">
                        <c:v>inner応力:Δ-30℃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グラフ!$AC$6:$AC$56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302.16444084778072</c:v>
                      </c:pt>
                      <c:pt idx="1">
                        <c:v>298.4753433486145</c:v>
                      </c:pt>
                      <c:pt idx="2">
                        <c:v>294.78624584946107</c:v>
                      </c:pt>
                      <c:pt idx="3">
                        <c:v>291.09714835030763</c:v>
                      </c:pt>
                      <c:pt idx="4">
                        <c:v>287.40805085114141</c:v>
                      </c:pt>
                      <c:pt idx="5">
                        <c:v>283.71895335198803</c:v>
                      </c:pt>
                      <c:pt idx="6">
                        <c:v>280.0298558528346</c:v>
                      </c:pt>
                      <c:pt idx="7">
                        <c:v>276.34075835366838</c:v>
                      </c:pt>
                      <c:pt idx="8">
                        <c:v>272.65166085452779</c:v>
                      </c:pt>
                      <c:pt idx="9">
                        <c:v>268.96256335537441</c:v>
                      </c:pt>
                      <c:pt idx="10">
                        <c:v>265.27346585620813</c:v>
                      </c:pt>
                      <c:pt idx="11">
                        <c:v>261.58436835705476</c:v>
                      </c:pt>
                      <c:pt idx="12">
                        <c:v>257.89527085788853</c:v>
                      </c:pt>
                      <c:pt idx="13">
                        <c:v>254.20617335874798</c:v>
                      </c:pt>
                      <c:pt idx="14">
                        <c:v>250.51707585958169</c:v>
                      </c:pt>
                      <c:pt idx="15">
                        <c:v>246.82797836044122</c:v>
                      </c:pt>
                      <c:pt idx="16">
                        <c:v>243.13888086127491</c:v>
                      </c:pt>
                      <c:pt idx="17">
                        <c:v>239.44978336210866</c:v>
                      </c:pt>
                      <c:pt idx="18">
                        <c:v>235.76068586296813</c:v>
                      </c:pt>
                      <c:pt idx="19">
                        <c:v>232.07158836380185</c:v>
                      </c:pt>
                      <c:pt idx="20">
                        <c:v>228.3824908646356</c:v>
                      </c:pt>
                      <c:pt idx="21">
                        <c:v>224.6933933654951</c:v>
                      </c:pt>
                      <c:pt idx="22">
                        <c:v>221.00429586631594</c:v>
                      </c:pt>
                      <c:pt idx="23">
                        <c:v>217.31519836717538</c:v>
                      </c:pt>
                      <c:pt idx="24">
                        <c:v>213.62610086800913</c:v>
                      </c:pt>
                      <c:pt idx="25">
                        <c:v>209.93700336885576</c:v>
                      </c:pt>
                      <c:pt idx="26">
                        <c:v>206.24790586971525</c:v>
                      </c:pt>
                      <c:pt idx="27">
                        <c:v>202.558808370549</c:v>
                      </c:pt>
                      <c:pt idx="28">
                        <c:v>198.86971087140844</c:v>
                      </c:pt>
                      <c:pt idx="29">
                        <c:v>195.18061337222929</c:v>
                      </c:pt>
                      <c:pt idx="30">
                        <c:v>191.49151587308879</c:v>
                      </c:pt>
                      <c:pt idx="31">
                        <c:v>187.80241837392254</c:v>
                      </c:pt>
                      <c:pt idx="32">
                        <c:v>184.11332087476916</c:v>
                      </c:pt>
                      <c:pt idx="33">
                        <c:v>180.42422337560288</c:v>
                      </c:pt>
                      <c:pt idx="34">
                        <c:v>176.73512587644944</c:v>
                      </c:pt>
                      <c:pt idx="35">
                        <c:v>173.04602837728319</c:v>
                      </c:pt>
                      <c:pt idx="36">
                        <c:v>169.35693087815554</c:v>
                      </c:pt>
                      <c:pt idx="37">
                        <c:v>165.66783337900216</c:v>
                      </c:pt>
                      <c:pt idx="38">
                        <c:v>161.97873587983591</c:v>
                      </c:pt>
                      <c:pt idx="39">
                        <c:v>158.28963838069538</c:v>
                      </c:pt>
                      <c:pt idx="40">
                        <c:v>154.60054088151622</c:v>
                      </c:pt>
                      <c:pt idx="41">
                        <c:v>150.91144338236285</c:v>
                      </c:pt>
                      <c:pt idx="42">
                        <c:v>147.22234588320944</c:v>
                      </c:pt>
                      <c:pt idx="43">
                        <c:v>143.53324838404319</c:v>
                      </c:pt>
                      <c:pt idx="44">
                        <c:v>139.84415088487691</c:v>
                      </c:pt>
                      <c:pt idx="45">
                        <c:v>136.15505338573641</c:v>
                      </c:pt>
                      <c:pt idx="46">
                        <c:v>132.46595588658298</c:v>
                      </c:pt>
                      <c:pt idx="47">
                        <c:v>128.7768583874296</c:v>
                      </c:pt>
                      <c:pt idx="48">
                        <c:v>125.08776088827622</c:v>
                      </c:pt>
                      <c:pt idx="49">
                        <c:v>121.39866338912283</c:v>
                      </c:pt>
                      <c:pt idx="50">
                        <c:v>117.70956588995655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FF3-4719-91D0-4CC87A3179E0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グラフ!$AD$5</c15:sqref>
                        </c15:formulaRef>
                      </c:ext>
                    </c:extLst>
                    <c:strCache>
                      <c:ptCount val="1"/>
                      <c:pt idx="0">
                        <c:v>inner応力:Δ-20℃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グラフ!$AD$6:$AD$56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285.08311354817113</c:v>
                      </c:pt>
                      <c:pt idx="1">
                        <c:v>281.3940160490306</c:v>
                      </c:pt>
                      <c:pt idx="2">
                        <c:v>277.70491854986426</c:v>
                      </c:pt>
                      <c:pt idx="3">
                        <c:v>274.01582105069804</c:v>
                      </c:pt>
                      <c:pt idx="4">
                        <c:v>270.32672355154466</c:v>
                      </c:pt>
                      <c:pt idx="5">
                        <c:v>266.63762605237838</c:v>
                      </c:pt>
                      <c:pt idx="6">
                        <c:v>262.94852855323785</c:v>
                      </c:pt>
                      <c:pt idx="7">
                        <c:v>259.25943105407157</c:v>
                      </c:pt>
                      <c:pt idx="8">
                        <c:v>255.57033355491816</c:v>
                      </c:pt>
                      <c:pt idx="9">
                        <c:v>251.88123605577769</c:v>
                      </c:pt>
                      <c:pt idx="10">
                        <c:v>248.19213855659854</c:v>
                      </c:pt>
                      <c:pt idx="11">
                        <c:v>244.50304105745801</c:v>
                      </c:pt>
                      <c:pt idx="12">
                        <c:v>240.81394355829175</c:v>
                      </c:pt>
                      <c:pt idx="13">
                        <c:v>237.12484605913838</c:v>
                      </c:pt>
                      <c:pt idx="14">
                        <c:v>233.43574855998494</c:v>
                      </c:pt>
                      <c:pt idx="15">
                        <c:v>229.74665106083154</c:v>
                      </c:pt>
                      <c:pt idx="16">
                        <c:v>226.05755356167816</c:v>
                      </c:pt>
                      <c:pt idx="17">
                        <c:v>222.36845606251191</c:v>
                      </c:pt>
                      <c:pt idx="18">
                        <c:v>218.67935856335853</c:v>
                      </c:pt>
                      <c:pt idx="19">
                        <c:v>214.99026106420516</c:v>
                      </c:pt>
                      <c:pt idx="20">
                        <c:v>211.30116356502597</c:v>
                      </c:pt>
                      <c:pt idx="21">
                        <c:v>207.61206606588544</c:v>
                      </c:pt>
                      <c:pt idx="22">
                        <c:v>203.92296856671919</c:v>
                      </c:pt>
                      <c:pt idx="23">
                        <c:v>200.23387106756581</c:v>
                      </c:pt>
                      <c:pt idx="24">
                        <c:v>196.54477356841244</c:v>
                      </c:pt>
                      <c:pt idx="25">
                        <c:v>192.85567606927191</c:v>
                      </c:pt>
                      <c:pt idx="26">
                        <c:v>189.16657857011847</c:v>
                      </c:pt>
                      <c:pt idx="27">
                        <c:v>185.47748107093935</c:v>
                      </c:pt>
                      <c:pt idx="28">
                        <c:v>181.78838357179885</c:v>
                      </c:pt>
                      <c:pt idx="29">
                        <c:v>178.09928607263259</c:v>
                      </c:pt>
                      <c:pt idx="30">
                        <c:v>174.41018857347916</c:v>
                      </c:pt>
                      <c:pt idx="31">
                        <c:v>170.72109107431291</c:v>
                      </c:pt>
                      <c:pt idx="32">
                        <c:v>167.03199357517238</c:v>
                      </c:pt>
                      <c:pt idx="33">
                        <c:v>163.34289607599322</c:v>
                      </c:pt>
                      <c:pt idx="34">
                        <c:v>159.65379857686557</c:v>
                      </c:pt>
                      <c:pt idx="35">
                        <c:v>155.96470107769932</c:v>
                      </c:pt>
                      <c:pt idx="36">
                        <c:v>152.27560357854594</c:v>
                      </c:pt>
                      <c:pt idx="37">
                        <c:v>148.58650607940541</c:v>
                      </c:pt>
                      <c:pt idx="38">
                        <c:v>144.89740858022626</c:v>
                      </c:pt>
                      <c:pt idx="39">
                        <c:v>141.20831108108575</c:v>
                      </c:pt>
                      <c:pt idx="40">
                        <c:v>137.5192135819195</c:v>
                      </c:pt>
                      <c:pt idx="41">
                        <c:v>133.83011608275319</c:v>
                      </c:pt>
                      <c:pt idx="42">
                        <c:v>130.14101858359982</c:v>
                      </c:pt>
                      <c:pt idx="43">
                        <c:v>126.45192108444644</c:v>
                      </c:pt>
                      <c:pt idx="44">
                        <c:v>122.76282358529303</c:v>
                      </c:pt>
                      <c:pt idx="45">
                        <c:v>119.07372608613964</c:v>
                      </c:pt>
                      <c:pt idx="46">
                        <c:v>115.38462858697338</c:v>
                      </c:pt>
                      <c:pt idx="47">
                        <c:v>111.69553108783286</c:v>
                      </c:pt>
                      <c:pt idx="48">
                        <c:v>108.00643358866657</c:v>
                      </c:pt>
                      <c:pt idx="49">
                        <c:v>104.31733608951319</c:v>
                      </c:pt>
                      <c:pt idx="50">
                        <c:v>100.62823859035981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FF3-4719-91D0-4CC87A3179E0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グラフ!$AE$5</c15:sqref>
                        </c15:formulaRef>
                      </c:ext>
                    </c:extLst>
                    <c:strCache>
                      <c:ptCount val="1"/>
                      <c:pt idx="0">
                        <c:v>inner応力:Δ-10℃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グラフ!$AE$6:$AE$56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268.00178624857432</c:v>
                      </c:pt>
                      <c:pt idx="1">
                        <c:v>264.31268874942094</c:v>
                      </c:pt>
                      <c:pt idx="2">
                        <c:v>260.62359125026751</c:v>
                      </c:pt>
                      <c:pt idx="3">
                        <c:v>256.93449375108844</c:v>
                      </c:pt>
                      <c:pt idx="4">
                        <c:v>253.24539625194791</c:v>
                      </c:pt>
                      <c:pt idx="5">
                        <c:v>249.55629875278169</c:v>
                      </c:pt>
                      <c:pt idx="6">
                        <c:v>245.86720125362822</c:v>
                      </c:pt>
                      <c:pt idx="7">
                        <c:v>242.17810375447482</c:v>
                      </c:pt>
                      <c:pt idx="8">
                        <c:v>238.4890062553086</c:v>
                      </c:pt>
                      <c:pt idx="9">
                        <c:v>234.79990875618094</c:v>
                      </c:pt>
                      <c:pt idx="10">
                        <c:v>231.11081125700179</c:v>
                      </c:pt>
                      <c:pt idx="11">
                        <c:v>227.42171375784841</c:v>
                      </c:pt>
                      <c:pt idx="12">
                        <c:v>223.732616258695</c:v>
                      </c:pt>
                      <c:pt idx="13">
                        <c:v>220.04351875952869</c:v>
                      </c:pt>
                      <c:pt idx="14">
                        <c:v>216.35442126038822</c:v>
                      </c:pt>
                      <c:pt idx="15">
                        <c:v>212.66532376123484</c:v>
                      </c:pt>
                      <c:pt idx="16">
                        <c:v>208.97622626206856</c:v>
                      </c:pt>
                      <c:pt idx="17">
                        <c:v>205.28712876291516</c:v>
                      </c:pt>
                      <c:pt idx="18">
                        <c:v>201.59803126374891</c:v>
                      </c:pt>
                      <c:pt idx="19">
                        <c:v>197.90893376459547</c:v>
                      </c:pt>
                      <c:pt idx="20">
                        <c:v>194.21983626542922</c:v>
                      </c:pt>
                      <c:pt idx="21">
                        <c:v>190.53073876627585</c:v>
                      </c:pt>
                      <c:pt idx="22">
                        <c:v>186.84164126712244</c:v>
                      </c:pt>
                      <c:pt idx="23">
                        <c:v>183.15254376798194</c:v>
                      </c:pt>
                      <c:pt idx="24">
                        <c:v>179.46344626881569</c:v>
                      </c:pt>
                      <c:pt idx="25">
                        <c:v>175.77434876966231</c:v>
                      </c:pt>
                      <c:pt idx="26">
                        <c:v>172.08525127050888</c:v>
                      </c:pt>
                      <c:pt idx="27">
                        <c:v>168.3961537713426</c:v>
                      </c:pt>
                      <c:pt idx="28">
                        <c:v>164.70705627218922</c:v>
                      </c:pt>
                      <c:pt idx="29">
                        <c:v>161.01795877302297</c:v>
                      </c:pt>
                      <c:pt idx="30">
                        <c:v>157.32886127388244</c:v>
                      </c:pt>
                      <c:pt idx="31">
                        <c:v>153.63976377470328</c:v>
                      </c:pt>
                      <c:pt idx="32">
                        <c:v>149.9506662755885</c:v>
                      </c:pt>
                      <c:pt idx="33">
                        <c:v>146.26156877640938</c:v>
                      </c:pt>
                      <c:pt idx="34">
                        <c:v>142.57247127725597</c:v>
                      </c:pt>
                      <c:pt idx="35">
                        <c:v>138.88337377810259</c:v>
                      </c:pt>
                      <c:pt idx="36">
                        <c:v>135.19427627893631</c:v>
                      </c:pt>
                      <c:pt idx="37">
                        <c:v>131.50517877979578</c:v>
                      </c:pt>
                      <c:pt idx="38">
                        <c:v>127.81608128062953</c:v>
                      </c:pt>
                      <c:pt idx="39">
                        <c:v>124.12698378147613</c:v>
                      </c:pt>
                      <c:pt idx="40">
                        <c:v>120.43788628230986</c:v>
                      </c:pt>
                      <c:pt idx="41">
                        <c:v>116.74878878315647</c:v>
                      </c:pt>
                      <c:pt idx="42">
                        <c:v>113.05969128401597</c:v>
                      </c:pt>
                      <c:pt idx="43">
                        <c:v>109.37059378484969</c:v>
                      </c:pt>
                      <c:pt idx="44">
                        <c:v>105.68149628568342</c:v>
                      </c:pt>
                      <c:pt idx="45">
                        <c:v>101.99239878654289</c:v>
                      </c:pt>
                      <c:pt idx="46">
                        <c:v>98.303301287363752</c:v>
                      </c:pt>
                      <c:pt idx="47">
                        <c:v>94.614203788223236</c:v>
                      </c:pt>
                      <c:pt idx="48">
                        <c:v>90.925106289069845</c:v>
                      </c:pt>
                      <c:pt idx="49">
                        <c:v>87.236008789903579</c:v>
                      </c:pt>
                      <c:pt idx="50">
                        <c:v>83.546911290750174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FF3-4719-91D0-4CC87A3179E0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グラフ!$AF$5</c15:sqref>
                        </c15:formulaRef>
                      </c:ext>
                    </c:extLst>
                    <c:strCache>
                      <c:ptCount val="1"/>
                      <c:pt idx="0">
                        <c:v>inner応力:Δ0℃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グラフ!$AF$6:$AF$56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250.92045894897757</c:v>
                      </c:pt>
                      <c:pt idx="1">
                        <c:v>247.23136144981132</c:v>
                      </c:pt>
                      <c:pt idx="2">
                        <c:v>243.54226395067082</c:v>
                      </c:pt>
                      <c:pt idx="3">
                        <c:v>239.85316645149172</c:v>
                      </c:pt>
                      <c:pt idx="4">
                        <c:v>236.16406895233823</c:v>
                      </c:pt>
                      <c:pt idx="5">
                        <c:v>232.47497145318485</c:v>
                      </c:pt>
                      <c:pt idx="6">
                        <c:v>228.78587395401863</c:v>
                      </c:pt>
                      <c:pt idx="7">
                        <c:v>225.0967764548781</c:v>
                      </c:pt>
                      <c:pt idx="8">
                        <c:v>221.40767895571184</c:v>
                      </c:pt>
                      <c:pt idx="9">
                        <c:v>217.71858145657131</c:v>
                      </c:pt>
                      <c:pt idx="10">
                        <c:v>214.02948395740503</c:v>
                      </c:pt>
                      <c:pt idx="11">
                        <c:v>210.34038645823875</c:v>
                      </c:pt>
                      <c:pt idx="12">
                        <c:v>206.65128895909825</c:v>
                      </c:pt>
                      <c:pt idx="13">
                        <c:v>202.962191459932</c:v>
                      </c:pt>
                      <c:pt idx="14">
                        <c:v>199.27309396077857</c:v>
                      </c:pt>
                      <c:pt idx="15">
                        <c:v>195.58399646163809</c:v>
                      </c:pt>
                      <c:pt idx="16">
                        <c:v>191.89489896245894</c:v>
                      </c:pt>
                      <c:pt idx="17">
                        <c:v>188.20580146330553</c:v>
                      </c:pt>
                      <c:pt idx="18">
                        <c:v>184.51670396415216</c:v>
                      </c:pt>
                      <c:pt idx="19">
                        <c:v>180.82760646498585</c:v>
                      </c:pt>
                      <c:pt idx="20">
                        <c:v>177.13850896583247</c:v>
                      </c:pt>
                      <c:pt idx="21">
                        <c:v>173.44941146669197</c:v>
                      </c:pt>
                      <c:pt idx="22">
                        <c:v>169.76031396752572</c:v>
                      </c:pt>
                      <c:pt idx="23">
                        <c:v>166.07121646837234</c:v>
                      </c:pt>
                      <c:pt idx="24">
                        <c:v>162.38211896920603</c:v>
                      </c:pt>
                      <c:pt idx="25">
                        <c:v>158.69302147006553</c:v>
                      </c:pt>
                      <c:pt idx="26">
                        <c:v>155.00392397089925</c:v>
                      </c:pt>
                      <c:pt idx="27">
                        <c:v>151.314826471733</c:v>
                      </c:pt>
                      <c:pt idx="28">
                        <c:v>147.62572897259247</c:v>
                      </c:pt>
                      <c:pt idx="29">
                        <c:v>143.93663147341331</c:v>
                      </c:pt>
                      <c:pt idx="30">
                        <c:v>140.24753397429853</c:v>
                      </c:pt>
                      <c:pt idx="31">
                        <c:v>136.55843647511941</c:v>
                      </c:pt>
                      <c:pt idx="32">
                        <c:v>132.86933897597891</c:v>
                      </c:pt>
                      <c:pt idx="33">
                        <c:v>129.18024147681263</c:v>
                      </c:pt>
                      <c:pt idx="34">
                        <c:v>125.49114397764636</c:v>
                      </c:pt>
                      <c:pt idx="35">
                        <c:v>121.80204647849295</c:v>
                      </c:pt>
                      <c:pt idx="36">
                        <c:v>118.11294897933958</c:v>
                      </c:pt>
                      <c:pt idx="37">
                        <c:v>114.42385148018617</c:v>
                      </c:pt>
                      <c:pt idx="38">
                        <c:v>110.73475398101989</c:v>
                      </c:pt>
                      <c:pt idx="39">
                        <c:v>107.04565648187939</c:v>
                      </c:pt>
                      <c:pt idx="40">
                        <c:v>103.35655898272599</c:v>
                      </c:pt>
                      <c:pt idx="41">
                        <c:v>99.667461483559734</c:v>
                      </c:pt>
                      <c:pt idx="42">
                        <c:v>95.978363984406329</c:v>
                      </c:pt>
                      <c:pt idx="43">
                        <c:v>92.289266485252938</c:v>
                      </c:pt>
                      <c:pt idx="44">
                        <c:v>88.600168986073811</c:v>
                      </c:pt>
                      <c:pt idx="45">
                        <c:v>84.911071486933267</c:v>
                      </c:pt>
                      <c:pt idx="46">
                        <c:v>81.221973987767015</c:v>
                      </c:pt>
                      <c:pt idx="47">
                        <c:v>77.532876488613624</c:v>
                      </c:pt>
                      <c:pt idx="48">
                        <c:v>73.843778989460219</c:v>
                      </c:pt>
                      <c:pt idx="49">
                        <c:v>70.154681490306828</c:v>
                      </c:pt>
                      <c:pt idx="50">
                        <c:v>66.465583991166312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FF3-4719-91D0-4CC87A3179E0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グラフ!$AG$5</c15:sqref>
                        </c15:formulaRef>
                      </c:ext>
                    </c:extLst>
                    <c:strCache>
                      <c:ptCount val="1"/>
                      <c:pt idx="0">
                        <c:v>inner応力:Δ+10℃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グラフ!$AG$6:$AG$56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233.83913164938087</c:v>
                      </c:pt>
                      <c:pt idx="1">
                        <c:v>230.15003415021457</c:v>
                      </c:pt>
                      <c:pt idx="2">
                        <c:v>226.46093665106119</c:v>
                      </c:pt>
                      <c:pt idx="3">
                        <c:v>222.77183915189491</c:v>
                      </c:pt>
                      <c:pt idx="4">
                        <c:v>219.08274165272869</c:v>
                      </c:pt>
                      <c:pt idx="5">
                        <c:v>215.39364415358813</c:v>
                      </c:pt>
                      <c:pt idx="6">
                        <c:v>211.70454665442185</c:v>
                      </c:pt>
                      <c:pt idx="7">
                        <c:v>208.01544915526847</c:v>
                      </c:pt>
                      <c:pt idx="8">
                        <c:v>204.32635165611509</c:v>
                      </c:pt>
                      <c:pt idx="9">
                        <c:v>200.63725415696172</c:v>
                      </c:pt>
                      <c:pt idx="10">
                        <c:v>196.94815665780831</c:v>
                      </c:pt>
                      <c:pt idx="11">
                        <c:v>193.259059158642</c:v>
                      </c:pt>
                      <c:pt idx="12">
                        <c:v>189.56996165948863</c:v>
                      </c:pt>
                      <c:pt idx="13">
                        <c:v>185.88086416033525</c:v>
                      </c:pt>
                      <c:pt idx="14">
                        <c:v>182.191766661169</c:v>
                      </c:pt>
                      <c:pt idx="15">
                        <c:v>178.5026691620285</c:v>
                      </c:pt>
                      <c:pt idx="16">
                        <c:v>174.81357166286216</c:v>
                      </c:pt>
                      <c:pt idx="17">
                        <c:v>171.12447416369591</c:v>
                      </c:pt>
                      <c:pt idx="18">
                        <c:v>167.43537666455541</c:v>
                      </c:pt>
                      <c:pt idx="19">
                        <c:v>163.74627916540203</c:v>
                      </c:pt>
                      <c:pt idx="20">
                        <c:v>160.05718166623575</c:v>
                      </c:pt>
                      <c:pt idx="21">
                        <c:v>156.36808416708234</c:v>
                      </c:pt>
                      <c:pt idx="22">
                        <c:v>152.67898666791606</c:v>
                      </c:pt>
                      <c:pt idx="23">
                        <c:v>148.98988916877556</c:v>
                      </c:pt>
                      <c:pt idx="24">
                        <c:v>145.30079166959641</c:v>
                      </c:pt>
                      <c:pt idx="25">
                        <c:v>141.61169417045588</c:v>
                      </c:pt>
                      <c:pt idx="26">
                        <c:v>137.9225966713025</c:v>
                      </c:pt>
                      <c:pt idx="27">
                        <c:v>134.23349917212335</c:v>
                      </c:pt>
                      <c:pt idx="28">
                        <c:v>130.54440167300859</c:v>
                      </c:pt>
                      <c:pt idx="29">
                        <c:v>126.85530417382945</c:v>
                      </c:pt>
                      <c:pt idx="30">
                        <c:v>123.16620667468892</c:v>
                      </c:pt>
                      <c:pt idx="31">
                        <c:v>119.47710917552267</c:v>
                      </c:pt>
                      <c:pt idx="32">
                        <c:v>115.78801167636925</c:v>
                      </c:pt>
                      <c:pt idx="33">
                        <c:v>112.09891417720301</c:v>
                      </c:pt>
                      <c:pt idx="34">
                        <c:v>108.40981667804962</c:v>
                      </c:pt>
                      <c:pt idx="35">
                        <c:v>104.72071917888334</c:v>
                      </c:pt>
                      <c:pt idx="36">
                        <c:v>101.03162167972997</c:v>
                      </c:pt>
                      <c:pt idx="37">
                        <c:v>97.342524180589436</c:v>
                      </c:pt>
                      <c:pt idx="38">
                        <c:v>93.653426681436031</c:v>
                      </c:pt>
                      <c:pt idx="39">
                        <c:v>89.96432918228264</c:v>
                      </c:pt>
                      <c:pt idx="40">
                        <c:v>86.275231683116374</c:v>
                      </c:pt>
                      <c:pt idx="41">
                        <c:v>82.586134183962983</c:v>
                      </c:pt>
                      <c:pt idx="42">
                        <c:v>78.897036684796717</c:v>
                      </c:pt>
                      <c:pt idx="43">
                        <c:v>75.207939185643312</c:v>
                      </c:pt>
                      <c:pt idx="44">
                        <c:v>71.518841686477046</c:v>
                      </c:pt>
                      <c:pt idx="45">
                        <c:v>67.829744187323655</c:v>
                      </c:pt>
                      <c:pt idx="46">
                        <c:v>64.140646688157389</c:v>
                      </c:pt>
                      <c:pt idx="47">
                        <c:v>60.45154918901688</c:v>
                      </c:pt>
                      <c:pt idx="48">
                        <c:v>56.762451689876357</c:v>
                      </c:pt>
                      <c:pt idx="49">
                        <c:v>53.073354190710091</c:v>
                      </c:pt>
                      <c:pt idx="50">
                        <c:v>49.384256691556686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FF3-4719-91D0-4CC87A3179E0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グラフ!$AH$5</c15:sqref>
                        </c15:formulaRef>
                      </c:ext>
                    </c:extLst>
                    <c:strCache>
                      <c:ptCount val="1"/>
                      <c:pt idx="0">
                        <c:v>inner応力:Δ+20℃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グラフ!$AH$6:$AH$56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216.75780434977125</c:v>
                      </c:pt>
                      <c:pt idx="1">
                        <c:v>213.06870685061787</c:v>
                      </c:pt>
                      <c:pt idx="2">
                        <c:v>209.37960935145156</c:v>
                      </c:pt>
                      <c:pt idx="3">
                        <c:v>205.69051185229819</c:v>
                      </c:pt>
                      <c:pt idx="4">
                        <c:v>202.00141435313188</c:v>
                      </c:pt>
                      <c:pt idx="5">
                        <c:v>198.3123168539785</c:v>
                      </c:pt>
                      <c:pt idx="6">
                        <c:v>194.62321935482512</c:v>
                      </c:pt>
                      <c:pt idx="7">
                        <c:v>190.93412185565887</c:v>
                      </c:pt>
                      <c:pt idx="8">
                        <c:v>187.24502435651834</c:v>
                      </c:pt>
                      <c:pt idx="9">
                        <c:v>183.55592685736494</c:v>
                      </c:pt>
                      <c:pt idx="10">
                        <c:v>179.86682935819866</c:v>
                      </c:pt>
                      <c:pt idx="11">
                        <c:v>176.17773185904528</c:v>
                      </c:pt>
                      <c:pt idx="12">
                        <c:v>172.48863435987903</c:v>
                      </c:pt>
                      <c:pt idx="13">
                        <c:v>168.79953686072562</c:v>
                      </c:pt>
                      <c:pt idx="14">
                        <c:v>165.11043936157225</c:v>
                      </c:pt>
                      <c:pt idx="15">
                        <c:v>161.42134186241881</c:v>
                      </c:pt>
                      <c:pt idx="16">
                        <c:v>157.73224436326544</c:v>
                      </c:pt>
                      <c:pt idx="17">
                        <c:v>154.04314686411203</c:v>
                      </c:pt>
                      <c:pt idx="18">
                        <c:v>150.35404936495866</c:v>
                      </c:pt>
                      <c:pt idx="19">
                        <c:v>146.6649518657924</c:v>
                      </c:pt>
                      <c:pt idx="20">
                        <c:v>142.97585436662612</c:v>
                      </c:pt>
                      <c:pt idx="21">
                        <c:v>139.28675686748559</c:v>
                      </c:pt>
                      <c:pt idx="22">
                        <c:v>135.59765936830644</c:v>
                      </c:pt>
                      <c:pt idx="23">
                        <c:v>131.90856186916594</c:v>
                      </c:pt>
                      <c:pt idx="24">
                        <c:v>128.21946436999968</c:v>
                      </c:pt>
                      <c:pt idx="25">
                        <c:v>124.53036687084629</c:v>
                      </c:pt>
                      <c:pt idx="26">
                        <c:v>120.84126937171864</c:v>
                      </c:pt>
                      <c:pt idx="27">
                        <c:v>117.15217187253948</c:v>
                      </c:pt>
                      <c:pt idx="28">
                        <c:v>113.46307437339897</c:v>
                      </c:pt>
                      <c:pt idx="29">
                        <c:v>109.77397687423272</c:v>
                      </c:pt>
                      <c:pt idx="30">
                        <c:v>106.0848793750793</c:v>
                      </c:pt>
                      <c:pt idx="31">
                        <c:v>102.39578187591306</c:v>
                      </c:pt>
                      <c:pt idx="32">
                        <c:v>98.706684376772529</c:v>
                      </c:pt>
                      <c:pt idx="33">
                        <c:v>95.017586877593388</c:v>
                      </c:pt>
                      <c:pt idx="34">
                        <c:v>91.328489378439983</c:v>
                      </c:pt>
                      <c:pt idx="35">
                        <c:v>87.639391879286606</c:v>
                      </c:pt>
                      <c:pt idx="36">
                        <c:v>83.950294380146076</c:v>
                      </c:pt>
                      <c:pt idx="37">
                        <c:v>80.261196880992685</c:v>
                      </c:pt>
                      <c:pt idx="38">
                        <c:v>76.572099381826419</c:v>
                      </c:pt>
                      <c:pt idx="39">
                        <c:v>72.883001882685889</c:v>
                      </c:pt>
                      <c:pt idx="40">
                        <c:v>69.193904383506762</c:v>
                      </c:pt>
                      <c:pt idx="41">
                        <c:v>65.504806884353357</c:v>
                      </c:pt>
                      <c:pt idx="42">
                        <c:v>61.815709385199966</c:v>
                      </c:pt>
                      <c:pt idx="43">
                        <c:v>58.126611886033707</c:v>
                      </c:pt>
                      <c:pt idx="44">
                        <c:v>54.437514386867434</c:v>
                      </c:pt>
                      <c:pt idx="45">
                        <c:v>50.748416887726911</c:v>
                      </c:pt>
                      <c:pt idx="46">
                        <c:v>47.05931938857352</c:v>
                      </c:pt>
                      <c:pt idx="47">
                        <c:v>43.370221889420122</c:v>
                      </c:pt>
                      <c:pt idx="48">
                        <c:v>39.681124390266724</c:v>
                      </c:pt>
                      <c:pt idx="49">
                        <c:v>35.992026891113333</c:v>
                      </c:pt>
                      <c:pt idx="50">
                        <c:v>32.302929391947075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FF3-4719-91D0-4CC87A3179E0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グラフ!$AI$5</c15:sqref>
                        </c15:formulaRef>
                      </c:ext>
                    </c:extLst>
                    <c:strCache>
                      <c:ptCount val="1"/>
                      <c:pt idx="0">
                        <c:v>inner応力:Δ+30℃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グラフ!$AI$6:$AI$56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199.67647705016159</c:v>
                      </c:pt>
                      <c:pt idx="1">
                        <c:v>195.98737955102106</c:v>
                      </c:pt>
                      <c:pt idx="2">
                        <c:v>192.29828205185481</c:v>
                      </c:pt>
                      <c:pt idx="3">
                        <c:v>188.60918455268856</c:v>
                      </c:pt>
                      <c:pt idx="4">
                        <c:v>184.92008705353518</c:v>
                      </c:pt>
                      <c:pt idx="5">
                        <c:v>181.23098955436893</c:v>
                      </c:pt>
                      <c:pt idx="6">
                        <c:v>177.54189205522837</c:v>
                      </c:pt>
                      <c:pt idx="7">
                        <c:v>173.85279455606209</c:v>
                      </c:pt>
                      <c:pt idx="8">
                        <c:v>170.16369705690872</c:v>
                      </c:pt>
                      <c:pt idx="9">
                        <c:v>166.47459955776822</c:v>
                      </c:pt>
                      <c:pt idx="10">
                        <c:v>162.78550205858906</c:v>
                      </c:pt>
                      <c:pt idx="11">
                        <c:v>159.09640455943568</c:v>
                      </c:pt>
                      <c:pt idx="12">
                        <c:v>155.40730706028228</c:v>
                      </c:pt>
                      <c:pt idx="13">
                        <c:v>151.718209561116</c:v>
                      </c:pt>
                      <c:pt idx="14">
                        <c:v>148.02911206197547</c:v>
                      </c:pt>
                      <c:pt idx="15">
                        <c:v>144.34001456283497</c:v>
                      </c:pt>
                      <c:pt idx="16">
                        <c:v>140.65091706366871</c:v>
                      </c:pt>
                      <c:pt idx="17">
                        <c:v>136.96181956450243</c:v>
                      </c:pt>
                      <c:pt idx="18">
                        <c:v>133.27272206534903</c:v>
                      </c:pt>
                      <c:pt idx="19">
                        <c:v>129.58362456619562</c:v>
                      </c:pt>
                      <c:pt idx="20">
                        <c:v>125.89452706701651</c:v>
                      </c:pt>
                      <c:pt idx="21">
                        <c:v>122.20542956787598</c:v>
                      </c:pt>
                      <c:pt idx="22">
                        <c:v>118.51633206870972</c:v>
                      </c:pt>
                      <c:pt idx="23">
                        <c:v>114.82723456955634</c:v>
                      </c:pt>
                      <c:pt idx="24">
                        <c:v>111.13813707041581</c:v>
                      </c:pt>
                      <c:pt idx="25">
                        <c:v>107.44903957126239</c:v>
                      </c:pt>
                      <c:pt idx="26">
                        <c:v>103.75994207210901</c:v>
                      </c:pt>
                      <c:pt idx="27">
                        <c:v>100.07084457294276</c:v>
                      </c:pt>
                      <c:pt idx="28">
                        <c:v>96.381747073789342</c:v>
                      </c:pt>
                      <c:pt idx="29">
                        <c:v>92.692649574623076</c:v>
                      </c:pt>
                      <c:pt idx="30">
                        <c:v>89.003552075482574</c:v>
                      </c:pt>
                      <c:pt idx="31">
                        <c:v>85.314454576303405</c:v>
                      </c:pt>
                      <c:pt idx="32">
                        <c:v>81.625357077162889</c:v>
                      </c:pt>
                      <c:pt idx="33">
                        <c:v>77.936259577996637</c:v>
                      </c:pt>
                      <c:pt idx="34">
                        <c:v>74.247162078856107</c:v>
                      </c:pt>
                      <c:pt idx="35">
                        <c:v>70.558064579689855</c:v>
                      </c:pt>
                      <c:pt idx="36">
                        <c:v>66.86896708053645</c:v>
                      </c:pt>
                      <c:pt idx="37">
                        <c:v>63.179869581395934</c:v>
                      </c:pt>
                      <c:pt idx="38">
                        <c:v>59.490772082216793</c:v>
                      </c:pt>
                      <c:pt idx="39">
                        <c:v>55.801674583076277</c:v>
                      </c:pt>
                      <c:pt idx="40">
                        <c:v>52.112577083910011</c:v>
                      </c:pt>
                      <c:pt idx="41">
                        <c:v>48.423479584743752</c:v>
                      </c:pt>
                      <c:pt idx="42">
                        <c:v>44.734382085590347</c:v>
                      </c:pt>
                      <c:pt idx="43">
                        <c:v>41.045284586436956</c:v>
                      </c:pt>
                      <c:pt idx="44">
                        <c:v>37.356187087283558</c:v>
                      </c:pt>
                      <c:pt idx="45">
                        <c:v>33.667089588130167</c:v>
                      </c:pt>
                      <c:pt idx="46">
                        <c:v>29.977992088963902</c:v>
                      </c:pt>
                      <c:pt idx="47">
                        <c:v>26.288894589823379</c:v>
                      </c:pt>
                      <c:pt idx="48">
                        <c:v>22.599797090657116</c:v>
                      </c:pt>
                      <c:pt idx="49">
                        <c:v>18.910699591503718</c:v>
                      </c:pt>
                      <c:pt idx="50">
                        <c:v>15.221602092350325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FF3-4719-91D0-4CC87A3179E0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グラフ!$AJ$5</c15:sqref>
                        </c15:formulaRef>
                      </c:ext>
                    </c:extLst>
                    <c:strCache>
                      <c:ptCount val="1"/>
                      <c:pt idx="0">
                        <c:v>inner降伏点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グラフ!$AJ$6:$AJ$56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345</c:v>
                      </c:pt>
                      <c:pt idx="1">
                        <c:v>345</c:v>
                      </c:pt>
                      <c:pt idx="2">
                        <c:v>345</c:v>
                      </c:pt>
                      <c:pt idx="3">
                        <c:v>345</c:v>
                      </c:pt>
                      <c:pt idx="4">
                        <c:v>345</c:v>
                      </c:pt>
                      <c:pt idx="5">
                        <c:v>345</c:v>
                      </c:pt>
                      <c:pt idx="6">
                        <c:v>345</c:v>
                      </c:pt>
                      <c:pt idx="7">
                        <c:v>345</c:v>
                      </c:pt>
                      <c:pt idx="8">
                        <c:v>345</c:v>
                      </c:pt>
                      <c:pt idx="9">
                        <c:v>345</c:v>
                      </c:pt>
                      <c:pt idx="10">
                        <c:v>345</c:v>
                      </c:pt>
                      <c:pt idx="11">
                        <c:v>345</c:v>
                      </c:pt>
                      <c:pt idx="12">
                        <c:v>345</c:v>
                      </c:pt>
                      <c:pt idx="13">
                        <c:v>345</c:v>
                      </c:pt>
                      <c:pt idx="14">
                        <c:v>345</c:v>
                      </c:pt>
                      <c:pt idx="15">
                        <c:v>345</c:v>
                      </c:pt>
                      <c:pt idx="16">
                        <c:v>345</c:v>
                      </c:pt>
                      <c:pt idx="17">
                        <c:v>345</c:v>
                      </c:pt>
                      <c:pt idx="18">
                        <c:v>345</c:v>
                      </c:pt>
                      <c:pt idx="19">
                        <c:v>345</c:v>
                      </c:pt>
                      <c:pt idx="20">
                        <c:v>345</c:v>
                      </c:pt>
                      <c:pt idx="21">
                        <c:v>345</c:v>
                      </c:pt>
                      <c:pt idx="22">
                        <c:v>345</c:v>
                      </c:pt>
                      <c:pt idx="23">
                        <c:v>345</c:v>
                      </c:pt>
                      <c:pt idx="24">
                        <c:v>345</c:v>
                      </c:pt>
                      <c:pt idx="25">
                        <c:v>345</c:v>
                      </c:pt>
                      <c:pt idx="26">
                        <c:v>345</c:v>
                      </c:pt>
                      <c:pt idx="27">
                        <c:v>345</c:v>
                      </c:pt>
                      <c:pt idx="28">
                        <c:v>345</c:v>
                      </c:pt>
                      <c:pt idx="29">
                        <c:v>345</c:v>
                      </c:pt>
                      <c:pt idx="30">
                        <c:v>345</c:v>
                      </c:pt>
                      <c:pt idx="31">
                        <c:v>345</c:v>
                      </c:pt>
                      <c:pt idx="32">
                        <c:v>345</c:v>
                      </c:pt>
                      <c:pt idx="33">
                        <c:v>345</c:v>
                      </c:pt>
                      <c:pt idx="34">
                        <c:v>345</c:v>
                      </c:pt>
                      <c:pt idx="35">
                        <c:v>345</c:v>
                      </c:pt>
                      <c:pt idx="36">
                        <c:v>345</c:v>
                      </c:pt>
                      <c:pt idx="37">
                        <c:v>345</c:v>
                      </c:pt>
                      <c:pt idx="38">
                        <c:v>345</c:v>
                      </c:pt>
                      <c:pt idx="39">
                        <c:v>345</c:v>
                      </c:pt>
                      <c:pt idx="40">
                        <c:v>345</c:v>
                      </c:pt>
                      <c:pt idx="41">
                        <c:v>345</c:v>
                      </c:pt>
                      <c:pt idx="42">
                        <c:v>345</c:v>
                      </c:pt>
                      <c:pt idx="43">
                        <c:v>345</c:v>
                      </c:pt>
                      <c:pt idx="44">
                        <c:v>345</c:v>
                      </c:pt>
                      <c:pt idx="45">
                        <c:v>345</c:v>
                      </c:pt>
                      <c:pt idx="46">
                        <c:v>345</c:v>
                      </c:pt>
                      <c:pt idx="47">
                        <c:v>345</c:v>
                      </c:pt>
                      <c:pt idx="48">
                        <c:v>345</c:v>
                      </c:pt>
                      <c:pt idx="49">
                        <c:v>345</c:v>
                      </c:pt>
                      <c:pt idx="50">
                        <c:v>345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FF3-4719-91D0-4CC87A3179E0}"/>
                  </c:ext>
                </c:extLst>
              </c15:ser>
            </c15:filteredScatterSeries>
          </c:ext>
        </c:extLst>
      </c:scatterChart>
      <c:valAx>
        <c:axId val="1878419104"/>
        <c:scaling>
          <c:orientation val="minMax"/>
          <c:max val="20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グラフ!$N$5</c:f>
              <c:strCache>
                <c:ptCount val="1"/>
                <c:pt idx="0">
                  <c:v>inner温度[℃]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8401216"/>
        <c:crosses val="autoZero"/>
        <c:crossBetween val="midCat"/>
      </c:valAx>
      <c:valAx>
        <c:axId val="18784012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グラフ!$AK$4</c:f>
              <c:strCache>
                <c:ptCount val="1"/>
                <c:pt idx="0">
                  <c:v>outer応力[MPa]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8419104"/>
        <c:crossesAt val="-100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締め代</a:t>
            </a:r>
            <a:r>
              <a:rPr lang="en-US" altLang="ja-JP"/>
              <a:t>vs</a:t>
            </a:r>
            <a:r>
              <a:rPr lang="ja-JP" altLang="en-US"/>
              <a:t>圧入力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グラフ!$E$5</c:f>
              <c:strCache>
                <c:ptCount val="1"/>
                <c:pt idx="0">
                  <c:v>圧入力min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グラフ!$E$6:$E$56</c:f>
              <c:numCache>
                <c:formatCode>0.0</c:formatCode>
                <c:ptCount val="51"/>
                <c:pt idx="0">
                  <c:v>0</c:v>
                </c:pt>
                <c:pt idx="1">
                  <c:v>0.60277889062060708</c:v>
                </c:pt>
                <c:pt idx="2">
                  <c:v>1.2055577812412142</c:v>
                </c:pt>
                <c:pt idx="3">
                  <c:v>1.8083366718618206</c:v>
                </c:pt>
                <c:pt idx="4">
                  <c:v>2.4111155624824283</c:v>
                </c:pt>
                <c:pt idx="5">
                  <c:v>3.0138944531030347</c:v>
                </c:pt>
                <c:pt idx="6">
                  <c:v>3.6166733437236411</c:v>
                </c:pt>
                <c:pt idx="7">
                  <c:v>4.2194522343442493</c:v>
                </c:pt>
                <c:pt idx="8">
                  <c:v>4.8222311249648566</c:v>
                </c:pt>
                <c:pt idx="9">
                  <c:v>5.425010015585463</c:v>
                </c:pt>
                <c:pt idx="10">
                  <c:v>6.0277889062060694</c:v>
                </c:pt>
                <c:pt idx="11">
                  <c:v>6.6305677968266767</c:v>
                </c:pt>
                <c:pt idx="12">
                  <c:v>7.2333466874472823</c:v>
                </c:pt>
                <c:pt idx="13">
                  <c:v>7.8361255780678913</c:v>
                </c:pt>
                <c:pt idx="14">
                  <c:v>8.4389044686884986</c:v>
                </c:pt>
                <c:pt idx="15">
                  <c:v>9.0416833593091024</c:v>
                </c:pt>
                <c:pt idx="16">
                  <c:v>9.6444622499297132</c:v>
                </c:pt>
                <c:pt idx="17">
                  <c:v>10.247241140550319</c:v>
                </c:pt>
                <c:pt idx="18">
                  <c:v>10.850020031170926</c:v>
                </c:pt>
                <c:pt idx="19">
                  <c:v>11.452798921791533</c:v>
                </c:pt>
                <c:pt idx="20">
                  <c:v>12.055577812412139</c:v>
                </c:pt>
                <c:pt idx="21">
                  <c:v>12.658356703032744</c:v>
                </c:pt>
                <c:pt idx="22">
                  <c:v>13.261135593653353</c:v>
                </c:pt>
                <c:pt idx="23">
                  <c:v>13.863914484273963</c:v>
                </c:pt>
                <c:pt idx="24">
                  <c:v>14.466693374894565</c:v>
                </c:pt>
                <c:pt idx="25">
                  <c:v>15.069472265515175</c:v>
                </c:pt>
                <c:pt idx="26">
                  <c:v>15.672251156135783</c:v>
                </c:pt>
                <c:pt idx="27">
                  <c:v>16.275030046756388</c:v>
                </c:pt>
                <c:pt idx="28">
                  <c:v>16.877808937376997</c:v>
                </c:pt>
                <c:pt idx="29">
                  <c:v>17.480587827997599</c:v>
                </c:pt>
                <c:pt idx="30">
                  <c:v>18.083366718618205</c:v>
                </c:pt>
                <c:pt idx="31">
                  <c:v>18.686145609238817</c:v>
                </c:pt>
                <c:pt idx="32">
                  <c:v>19.288924499859426</c:v>
                </c:pt>
                <c:pt idx="33">
                  <c:v>19.891703390480032</c:v>
                </c:pt>
                <c:pt idx="34">
                  <c:v>20.494482281100638</c:v>
                </c:pt>
                <c:pt idx="35">
                  <c:v>21.097261171721247</c:v>
                </c:pt>
                <c:pt idx="36">
                  <c:v>21.700040062341852</c:v>
                </c:pt>
                <c:pt idx="37">
                  <c:v>22.302818952962458</c:v>
                </c:pt>
                <c:pt idx="38">
                  <c:v>22.905597843583067</c:v>
                </c:pt>
                <c:pt idx="39">
                  <c:v>23.508376734203669</c:v>
                </c:pt>
                <c:pt idx="40">
                  <c:v>24.111155624824278</c:v>
                </c:pt>
                <c:pt idx="41">
                  <c:v>24.71393451544489</c:v>
                </c:pt>
                <c:pt idx="42">
                  <c:v>25.316713406065489</c:v>
                </c:pt>
                <c:pt idx="43">
                  <c:v>25.919492296686098</c:v>
                </c:pt>
                <c:pt idx="44">
                  <c:v>26.522271187306707</c:v>
                </c:pt>
                <c:pt idx="45">
                  <c:v>27.125050077927316</c:v>
                </c:pt>
                <c:pt idx="46">
                  <c:v>27.727828968547925</c:v>
                </c:pt>
                <c:pt idx="47">
                  <c:v>28.330607859168531</c:v>
                </c:pt>
                <c:pt idx="48">
                  <c:v>28.933386749789129</c:v>
                </c:pt>
                <c:pt idx="49">
                  <c:v>29.536165640409738</c:v>
                </c:pt>
                <c:pt idx="50">
                  <c:v>30.138944531030351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A1-4C62-9348-87DC5D975BBC}"/>
            </c:ext>
          </c:extLst>
        </c:ser>
        <c:ser>
          <c:idx val="4"/>
          <c:order val="4"/>
          <c:tx>
            <c:strRef>
              <c:f>グラフ!$F$5</c:f>
              <c:strCache>
                <c:ptCount val="1"/>
                <c:pt idx="0">
                  <c:v>圧入力nor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グラフ!$F$6:$F$56</c:f>
              <c:numCache>
                <c:formatCode>0.0</c:formatCode>
                <c:ptCount val="51"/>
                <c:pt idx="0">
                  <c:v>0</c:v>
                </c:pt>
                <c:pt idx="1">
                  <c:v>0.76978047179033804</c:v>
                </c:pt>
                <c:pt idx="2">
                  <c:v>1.5395609435806761</c:v>
                </c:pt>
                <c:pt idx="3">
                  <c:v>2.3093414153710143</c:v>
                </c:pt>
                <c:pt idx="4">
                  <c:v>3.0791218871613522</c:v>
                </c:pt>
                <c:pt idx="5">
                  <c:v>3.8489023589516904</c:v>
                </c:pt>
                <c:pt idx="6">
                  <c:v>4.6186828307420287</c:v>
                </c:pt>
                <c:pt idx="7">
                  <c:v>5.3884633025323669</c:v>
                </c:pt>
                <c:pt idx="8">
                  <c:v>6.1582437743227043</c:v>
                </c:pt>
                <c:pt idx="9">
                  <c:v>6.9280242461130435</c:v>
                </c:pt>
                <c:pt idx="10">
                  <c:v>7.6978047179033808</c:v>
                </c:pt>
                <c:pt idx="11">
                  <c:v>8.46758518969372</c:v>
                </c:pt>
                <c:pt idx="12">
                  <c:v>9.2373656614840574</c:v>
                </c:pt>
                <c:pt idx="13">
                  <c:v>10.007146133274395</c:v>
                </c:pt>
                <c:pt idx="14">
                  <c:v>10.776926605064734</c:v>
                </c:pt>
                <c:pt idx="15">
                  <c:v>11.546707076855073</c:v>
                </c:pt>
                <c:pt idx="16">
                  <c:v>12.316487548645409</c:v>
                </c:pt>
                <c:pt idx="17">
                  <c:v>13.08626802043575</c:v>
                </c:pt>
                <c:pt idx="18">
                  <c:v>13.856048492226087</c:v>
                </c:pt>
                <c:pt idx="19">
                  <c:v>14.625828964016424</c:v>
                </c:pt>
                <c:pt idx="20">
                  <c:v>15.395609435806762</c:v>
                </c:pt>
                <c:pt idx="21">
                  <c:v>16.165389907597099</c:v>
                </c:pt>
                <c:pt idx="22">
                  <c:v>16.93517037938744</c:v>
                </c:pt>
                <c:pt idx="23">
                  <c:v>17.704950851177777</c:v>
                </c:pt>
                <c:pt idx="24">
                  <c:v>18.474731322968115</c:v>
                </c:pt>
                <c:pt idx="25">
                  <c:v>19.244511794758456</c:v>
                </c:pt>
                <c:pt idx="26">
                  <c:v>20.014292266548789</c:v>
                </c:pt>
                <c:pt idx="27">
                  <c:v>20.784072738339127</c:v>
                </c:pt>
                <c:pt idx="28">
                  <c:v>21.553853210129468</c:v>
                </c:pt>
                <c:pt idx="29">
                  <c:v>22.323633681919805</c:v>
                </c:pt>
                <c:pt idx="30">
                  <c:v>23.093414153710146</c:v>
                </c:pt>
                <c:pt idx="31">
                  <c:v>23.863194625500476</c:v>
                </c:pt>
                <c:pt idx="32">
                  <c:v>24.632975097290817</c:v>
                </c:pt>
                <c:pt idx="33">
                  <c:v>25.402755569081162</c:v>
                </c:pt>
                <c:pt idx="34">
                  <c:v>26.172536040871499</c:v>
                </c:pt>
                <c:pt idx="35">
                  <c:v>26.942316512661836</c:v>
                </c:pt>
                <c:pt idx="36">
                  <c:v>27.712096984452174</c:v>
                </c:pt>
                <c:pt idx="37">
                  <c:v>28.481877456242515</c:v>
                </c:pt>
                <c:pt idx="38">
                  <c:v>29.251657928032849</c:v>
                </c:pt>
                <c:pt idx="39">
                  <c:v>30.021438399823186</c:v>
                </c:pt>
                <c:pt idx="40">
                  <c:v>30.791218871613523</c:v>
                </c:pt>
                <c:pt idx="41">
                  <c:v>31.560999343403868</c:v>
                </c:pt>
                <c:pt idx="42">
                  <c:v>32.330779815194198</c:v>
                </c:pt>
                <c:pt idx="43">
                  <c:v>33.100560286984539</c:v>
                </c:pt>
                <c:pt idx="44">
                  <c:v>33.87034075877488</c:v>
                </c:pt>
                <c:pt idx="45">
                  <c:v>34.640121230565221</c:v>
                </c:pt>
                <c:pt idx="46">
                  <c:v>35.409901702355555</c:v>
                </c:pt>
                <c:pt idx="47">
                  <c:v>36.179682174145888</c:v>
                </c:pt>
                <c:pt idx="48">
                  <c:v>36.949462645936229</c:v>
                </c:pt>
                <c:pt idx="49">
                  <c:v>37.71924311772657</c:v>
                </c:pt>
                <c:pt idx="50">
                  <c:v>38.489023589516911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A1-4C62-9348-87DC5D975BBC}"/>
            </c:ext>
          </c:extLst>
        </c:ser>
        <c:ser>
          <c:idx val="5"/>
          <c:order val="5"/>
          <c:tx>
            <c:strRef>
              <c:f>グラフ!$G$5</c:f>
              <c:strCache>
                <c:ptCount val="1"/>
                <c:pt idx="0">
                  <c:v>圧入力max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グラフ!$G$6:$G$56</c:f>
              <c:numCache>
                <c:formatCode>0.0</c:formatCode>
                <c:ptCount val="51"/>
                <c:pt idx="0">
                  <c:v>0</c:v>
                </c:pt>
                <c:pt idx="1">
                  <c:v>0.9434936592184483</c:v>
                </c:pt>
                <c:pt idx="2">
                  <c:v>1.8869873184368966</c:v>
                </c:pt>
                <c:pt idx="3">
                  <c:v>2.8304809776553448</c:v>
                </c:pt>
                <c:pt idx="4">
                  <c:v>3.7739746368737932</c:v>
                </c:pt>
                <c:pt idx="5">
                  <c:v>4.7174682960922416</c:v>
                </c:pt>
                <c:pt idx="6">
                  <c:v>5.6609619553106896</c:v>
                </c:pt>
                <c:pt idx="7">
                  <c:v>6.6044556145291393</c:v>
                </c:pt>
                <c:pt idx="8">
                  <c:v>7.5479492737475864</c:v>
                </c:pt>
                <c:pt idx="9">
                  <c:v>8.4914429329660361</c:v>
                </c:pt>
                <c:pt idx="10">
                  <c:v>9.4349365921844832</c:v>
                </c:pt>
                <c:pt idx="11">
                  <c:v>10.378430251402932</c:v>
                </c:pt>
                <c:pt idx="12">
                  <c:v>11.321923910621379</c:v>
                </c:pt>
                <c:pt idx="13">
                  <c:v>12.265417569839828</c:v>
                </c:pt>
                <c:pt idx="14">
                  <c:v>13.208911229058279</c:v>
                </c:pt>
                <c:pt idx="15">
                  <c:v>14.152404888276724</c:v>
                </c:pt>
                <c:pt idx="16">
                  <c:v>15.095898547495173</c:v>
                </c:pt>
                <c:pt idx="17">
                  <c:v>16.039392206713622</c:v>
                </c:pt>
                <c:pt idx="18">
                  <c:v>16.982885865932072</c:v>
                </c:pt>
                <c:pt idx="19">
                  <c:v>17.926379525150519</c:v>
                </c:pt>
                <c:pt idx="20">
                  <c:v>18.869873184368966</c:v>
                </c:pt>
                <c:pt idx="21">
                  <c:v>19.81336684358741</c:v>
                </c:pt>
                <c:pt idx="22">
                  <c:v>20.756860502805864</c:v>
                </c:pt>
                <c:pt idx="23">
                  <c:v>21.700354162024315</c:v>
                </c:pt>
                <c:pt idx="24">
                  <c:v>22.643847821242758</c:v>
                </c:pt>
                <c:pt idx="25">
                  <c:v>23.587341480461209</c:v>
                </c:pt>
                <c:pt idx="26">
                  <c:v>24.530835139679656</c:v>
                </c:pt>
                <c:pt idx="27">
                  <c:v>25.474328798898103</c:v>
                </c:pt>
                <c:pt idx="28">
                  <c:v>26.417822458116557</c:v>
                </c:pt>
                <c:pt idx="29">
                  <c:v>27.361316117334997</c:v>
                </c:pt>
                <c:pt idx="30">
                  <c:v>28.304809776553448</c:v>
                </c:pt>
                <c:pt idx="31">
                  <c:v>29.248303435771899</c:v>
                </c:pt>
                <c:pt idx="32">
                  <c:v>30.191797094990346</c:v>
                </c:pt>
                <c:pt idx="33">
                  <c:v>31.135290754208796</c:v>
                </c:pt>
                <c:pt idx="34">
                  <c:v>32.078784413427243</c:v>
                </c:pt>
                <c:pt idx="35">
                  <c:v>33.02227807264569</c:v>
                </c:pt>
                <c:pt idx="36">
                  <c:v>33.965771731864145</c:v>
                </c:pt>
                <c:pt idx="37">
                  <c:v>34.909265391082592</c:v>
                </c:pt>
                <c:pt idx="38">
                  <c:v>35.852759050301039</c:v>
                </c:pt>
                <c:pt idx="39">
                  <c:v>36.796252709519479</c:v>
                </c:pt>
                <c:pt idx="40">
                  <c:v>37.739746368737933</c:v>
                </c:pt>
                <c:pt idx="41">
                  <c:v>38.68324002795638</c:v>
                </c:pt>
                <c:pt idx="42">
                  <c:v>39.62673368717482</c:v>
                </c:pt>
                <c:pt idx="43">
                  <c:v>40.570227346393274</c:v>
                </c:pt>
                <c:pt idx="44">
                  <c:v>41.513721005611728</c:v>
                </c:pt>
                <c:pt idx="45">
                  <c:v>42.457214664830175</c:v>
                </c:pt>
                <c:pt idx="46">
                  <c:v>43.40070832404863</c:v>
                </c:pt>
                <c:pt idx="47">
                  <c:v>44.34420198326707</c:v>
                </c:pt>
                <c:pt idx="48">
                  <c:v>45.287695642485517</c:v>
                </c:pt>
                <c:pt idx="49">
                  <c:v>46.231189301703964</c:v>
                </c:pt>
                <c:pt idx="50">
                  <c:v>47.174682960922418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5A1-4C62-9348-87DC5D975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338655"/>
        <c:axId val="2069334079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グラフ!$B$5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半径方向応力min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グラフ!$B$6:$B$56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3.4598865694423666</c:v>
                      </c:pt>
                      <c:pt idx="2">
                        <c:v>6.9197731388847332</c:v>
                      </c:pt>
                      <c:pt idx="3">
                        <c:v>10.379659708327098</c:v>
                      </c:pt>
                      <c:pt idx="4">
                        <c:v>13.839546277769466</c:v>
                      </c:pt>
                      <c:pt idx="5">
                        <c:v>17.299432847211833</c:v>
                      </c:pt>
                      <c:pt idx="6">
                        <c:v>20.759319416654197</c:v>
                      </c:pt>
                      <c:pt idx="7">
                        <c:v>24.219205986096568</c:v>
                      </c:pt>
                      <c:pt idx="8">
                        <c:v>27.679092555538933</c:v>
                      </c:pt>
                      <c:pt idx="9">
                        <c:v>31.138979124981301</c:v>
                      </c:pt>
                      <c:pt idx="10">
                        <c:v>34.598865694423665</c:v>
                      </c:pt>
                      <c:pt idx="11">
                        <c:v>38.058752263866033</c:v>
                      </c:pt>
                      <c:pt idx="12">
                        <c:v>41.518638833308394</c:v>
                      </c:pt>
                      <c:pt idx="13">
                        <c:v>44.978525402750769</c:v>
                      </c:pt>
                      <c:pt idx="14">
                        <c:v>48.438411972193137</c:v>
                      </c:pt>
                      <c:pt idx="15">
                        <c:v>51.898298541635498</c:v>
                      </c:pt>
                      <c:pt idx="16">
                        <c:v>55.358185111077866</c:v>
                      </c:pt>
                      <c:pt idx="17">
                        <c:v>58.818071680520234</c:v>
                      </c:pt>
                      <c:pt idx="18">
                        <c:v>62.277958249962602</c:v>
                      </c:pt>
                      <c:pt idx="19">
                        <c:v>65.73784481940497</c:v>
                      </c:pt>
                      <c:pt idx="20">
                        <c:v>69.19773138884733</c:v>
                      </c:pt>
                      <c:pt idx="21">
                        <c:v>72.657617958289691</c:v>
                      </c:pt>
                      <c:pt idx="22">
                        <c:v>76.117504527732066</c:v>
                      </c:pt>
                      <c:pt idx="23">
                        <c:v>79.577391097174441</c:v>
                      </c:pt>
                      <c:pt idx="24">
                        <c:v>83.037277666616788</c:v>
                      </c:pt>
                      <c:pt idx="25">
                        <c:v>86.497164236059163</c:v>
                      </c:pt>
                      <c:pt idx="26">
                        <c:v>89.957050805501538</c:v>
                      </c:pt>
                      <c:pt idx="27">
                        <c:v>93.416937374943899</c:v>
                      </c:pt>
                      <c:pt idx="28">
                        <c:v>96.876823944386274</c:v>
                      </c:pt>
                      <c:pt idx="29">
                        <c:v>100.33671051382862</c:v>
                      </c:pt>
                      <c:pt idx="30">
                        <c:v>103.796597083271</c:v>
                      </c:pt>
                      <c:pt idx="31">
                        <c:v>107.25648365271336</c:v>
                      </c:pt>
                      <c:pt idx="32">
                        <c:v>110.71637022215573</c:v>
                      </c:pt>
                      <c:pt idx="33">
                        <c:v>114.17625679159811</c:v>
                      </c:pt>
                      <c:pt idx="34">
                        <c:v>117.63614336104047</c:v>
                      </c:pt>
                      <c:pt idx="35">
                        <c:v>121.09602993048284</c:v>
                      </c:pt>
                      <c:pt idx="36">
                        <c:v>124.5559164999252</c:v>
                      </c:pt>
                      <c:pt idx="37">
                        <c:v>128.01580306936756</c:v>
                      </c:pt>
                      <c:pt idx="38">
                        <c:v>131.47568963880994</c:v>
                      </c:pt>
                      <c:pt idx="39">
                        <c:v>134.93557620825229</c:v>
                      </c:pt>
                      <c:pt idx="40">
                        <c:v>138.39546277769466</c:v>
                      </c:pt>
                      <c:pt idx="41">
                        <c:v>141.85534934713704</c:v>
                      </c:pt>
                      <c:pt idx="42">
                        <c:v>145.31523591657938</c:v>
                      </c:pt>
                      <c:pt idx="43">
                        <c:v>148.77512248602176</c:v>
                      </c:pt>
                      <c:pt idx="44">
                        <c:v>152.23500905546413</c:v>
                      </c:pt>
                      <c:pt idx="45">
                        <c:v>155.69489562490651</c:v>
                      </c:pt>
                      <c:pt idx="46">
                        <c:v>159.15478219434888</c:v>
                      </c:pt>
                      <c:pt idx="47">
                        <c:v>162.61466876379123</c:v>
                      </c:pt>
                      <c:pt idx="48">
                        <c:v>166.07455533323358</c:v>
                      </c:pt>
                      <c:pt idx="49">
                        <c:v>169.53444190267595</c:v>
                      </c:pt>
                      <c:pt idx="50">
                        <c:v>172.99432847211833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65A1-4C62-9348-87DC5D975BB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グラフ!$C$5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半径方向応力nor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グラフ!$C$6:$C$56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3.5035590732134589</c:v>
                      </c:pt>
                      <c:pt idx="2">
                        <c:v>7.0071181464269179</c:v>
                      </c:pt>
                      <c:pt idx="3">
                        <c:v>10.510677219640376</c:v>
                      </c:pt>
                      <c:pt idx="4">
                        <c:v>14.014236292853836</c:v>
                      </c:pt>
                      <c:pt idx="5">
                        <c:v>17.517795366067293</c:v>
                      </c:pt>
                      <c:pt idx="6">
                        <c:v>21.021354439280753</c:v>
                      </c:pt>
                      <c:pt idx="7">
                        <c:v>24.524913512494212</c:v>
                      </c:pt>
                      <c:pt idx="8">
                        <c:v>28.028472585707672</c:v>
                      </c:pt>
                      <c:pt idx="9">
                        <c:v>31.532031658921131</c:v>
                      </c:pt>
                      <c:pt idx="10">
                        <c:v>35.035590732134587</c:v>
                      </c:pt>
                      <c:pt idx="11">
                        <c:v>38.539149805348046</c:v>
                      </c:pt>
                      <c:pt idx="12">
                        <c:v>42.042708878561506</c:v>
                      </c:pt>
                      <c:pt idx="13">
                        <c:v>45.546267951774972</c:v>
                      </c:pt>
                      <c:pt idx="14">
                        <c:v>49.049827024988424</c:v>
                      </c:pt>
                      <c:pt idx="15">
                        <c:v>52.553386098201877</c:v>
                      </c:pt>
                      <c:pt idx="16">
                        <c:v>56.056945171415343</c:v>
                      </c:pt>
                      <c:pt idx="17">
                        <c:v>59.560504244628802</c:v>
                      </c:pt>
                      <c:pt idx="18">
                        <c:v>63.064063317842262</c:v>
                      </c:pt>
                      <c:pt idx="19">
                        <c:v>66.567622391055721</c:v>
                      </c:pt>
                      <c:pt idx="20">
                        <c:v>70.071181464269173</c:v>
                      </c:pt>
                      <c:pt idx="21">
                        <c:v>73.574740537482626</c:v>
                      </c:pt>
                      <c:pt idx="22">
                        <c:v>77.078299610696092</c:v>
                      </c:pt>
                      <c:pt idx="23">
                        <c:v>80.581858683909559</c:v>
                      </c:pt>
                      <c:pt idx="24">
                        <c:v>84.085417757123011</c:v>
                      </c:pt>
                      <c:pt idx="25">
                        <c:v>87.588976830336478</c:v>
                      </c:pt>
                      <c:pt idx="26">
                        <c:v>91.092535903549944</c:v>
                      </c:pt>
                      <c:pt idx="27">
                        <c:v>94.596094976763382</c:v>
                      </c:pt>
                      <c:pt idx="28">
                        <c:v>98.099654049976849</c:v>
                      </c:pt>
                      <c:pt idx="29">
                        <c:v>101.60321312319029</c:v>
                      </c:pt>
                      <c:pt idx="30">
                        <c:v>105.10677219640375</c:v>
                      </c:pt>
                      <c:pt idx="31">
                        <c:v>108.61033126961722</c:v>
                      </c:pt>
                      <c:pt idx="32">
                        <c:v>112.11389034283069</c:v>
                      </c:pt>
                      <c:pt idx="33">
                        <c:v>115.61744941604415</c:v>
                      </c:pt>
                      <c:pt idx="34">
                        <c:v>119.1210084892576</c:v>
                      </c:pt>
                      <c:pt idx="35">
                        <c:v>122.62456756247107</c:v>
                      </c:pt>
                      <c:pt idx="36">
                        <c:v>126.12812663568452</c:v>
                      </c:pt>
                      <c:pt idx="37">
                        <c:v>129.63168570889798</c:v>
                      </c:pt>
                      <c:pt idx="38">
                        <c:v>133.13524478211144</c:v>
                      </c:pt>
                      <c:pt idx="39">
                        <c:v>136.63880385532488</c:v>
                      </c:pt>
                      <c:pt idx="40">
                        <c:v>140.14236292853835</c:v>
                      </c:pt>
                      <c:pt idx="41">
                        <c:v>143.64592200175181</c:v>
                      </c:pt>
                      <c:pt idx="42">
                        <c:v>147.14948107496525</c:v>
                      </c:pt>
                      <c:pt idx="43">
                        <c:v>150.65304014817872</c:v>
                      </c:pt>
                      <c:pt idx="44">
                        <c:v>154.15659922139218</c:v>
                      </c:pt>
                      <c:pt idx="45">
                        <c:v>157.66015829460565</c:v>
                      </c:pt>
                      <c:pt idx="46">
                        <c:v>161.16371736781912</c:v>
                      </c:pt>
                      <c:pt idx="47">
                        <c:v>164.66727644103258</c:v>
                      </c:pt>
                      <c:pt idx="48">
                        <c:v>168.17083551424602</c:v>
                      </c:pt>
                      <c:pt idx="49">
                        <c:v>171.67439458745949</c:v>
                      </c:pt>
                      <c:pt idx="50">
                        <c:v>175.17795366067296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5A1-4C62-9348-87DC5D975BB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グラフ!$D$5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半径方向応力max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グラフ!$D$6:$D$56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3.5470610725018776</c:v>
                      </c:pt>
                      <c:pt idx="2">
                        <c:v>7.0941221450037553</c:v>
                      </c:pt>
                      <c:pt idx="3">
                        <c:v>10.641183217505631</c:v>
                      </c:pt>
                      <c:pt idx="4">
                        <c:v>14.188244290007511</c:v>
                      </c:pt>
                      <c:pt idx="5">
                        <c:v>17.735305362509386</c:v>
                      </c:pt>
                      <c:pt idx="6">
                        <c:v>21.282366435011262</c:v>
                      </c:pt>
                      <c:pt idx="7">
                        <c:v>24.829427507513145</c:v>
                      </c:pt>
                      <c:pt idx="8">
                        <c:v>28.376488580015021</c:v>
                      </c:pt>
                      <c:pt idx="9">
                        <c:v>31.923549652516897</c:v>
                      </c:pt>
                      <c:pt idx="10">
                        <c:v>35.470610725018773</c:v>
                      </c:pt>
                      <c:pt idx="11">
                        <c:v>39.017671797520649</c:v>
                      </c:pt>
                      <c:pt idx="12">
                        <c:v>42.564732870022524</c:v>
                      </c:pt>
                      <c:pt idx="13">
                        <c:v>46.111793942524407</c:v>
                      </c:pt>
                      <c:pt idx="14">
                        <c:v>49.65885501502629</c:v>
                      </c:pt>
                      <c:pt idx="15">
                        <c:v>53.205916087528159</c:v>
                      </c:pt>
                      <c:pt idx="16">
                        <c:v>56.752977160030042</c:v>
                      </c:pt>
                      <c:pt idx="17">
                        <c:v>60.300038232531918</c:v>
                      </c:pt>
                      <c:pt idx="18">
                        <c:v>63.847099305033794</c:v>
                      </c:pt>
                      <c:pt idx="19">
                        <c:v>67.394160377535684</c:v>
                      </c:pt>
                      <c:pt idx="20">
                        <c:v>70.941221450037546</c:v>
                      </c:pt>
                      <c:pt idx="21">
                        <c:v>74.488282522539421</c:v>
                      </c:pt>
                      <c:pt idx="22">
                        <c:v>78.035343595041297</c:v>
                      </c:pt>
                      <c:pt idx="23">
                        <c:v>81.582404667543187</c:v>
                      </c:pt>
                      <c:pt idx="24">
                        <c:v>85.129465740045049</c:v>
                      </c:pt>
                      <c:pt idx="25">
                        <c:v>88.676526812546939</c:v>
                      </c:pt>
                      <c:pt idx="26">
                        <c:v>92.223587885048815</c:v>
                      </c:pt>
                      <c:pt idx="27">
                        <c:v>95.770648957550691</c:v>
                      </c:pt>
                      <c:pt idx="28">
                        <c:v>99.317710030052581</c:v>
                      </c:pt>
                      <c:pt idx="29">
                        <c:v>102.86477110255443</c:v>
                      </c:pt>
                      <c:pt idx="30">
                        <c:v>106.41183217505632</c:v>
                      </c:pt>
                      <c:pt idx="31">
                        <c:v>109.95889324755819</c:v>
                      </c:pt>
                      <c:pt idx="32">
                        <c:v>113.50595432006008</c:v>
                      </c:pt>
                      <c:pt idx="33">
                        <c:v>117.05301539256196</c:v>
                      </c:pt>
                      <c:pt idx="34">
                        <c:v>120.60007646506384</c:v>
                      </c:pt>
                      <c:pt idx="35">
                        <c:v>124.14713753756571</c:v>
                      </c:pt>
                      <c:pt idx="36">
                        <c:v>127.69419861006759</c:v>
                      </c:pt>
                      <c:pt idx="37">
                        <c:v>131.24125968256948</c:v>
                      </c:pt>
                      <c:pt idx="38">
                        <c:v>134.78832075507137</c:v>
                      </c:pt>
                      <c:pt idx="39">
                        <c:v>138.3353818275732</c:v>
                      </c:pt>
                      <c:pt idx="40">
                        <c:v>141.88244290007509</c:v>
                      </c:pt>
                      <c:pt idx="41">
                        <c:v>145.42950397257698</c:v>
                      </c:pt>
                      <c:pt idx="42">
                        <c:v>148.97656504507884</c:v>
                      </c:pt>
                      <c:pt idx="43">
                        <c:v>152.5236261175807</c:v>
                      </c:pt>
                      <c:pt idx="44">
                        <c:v>156.07068719008259</c:v>
                      </c:pt>
                      <c:pt idx="45">
                        <c:v>159.61774826258448</c:v>
                      </c:pt>
                      <c:pt idx="46">
                        <c:v>163.16480933508637</c:v>
                      </c:pt>
                      <c:pt idx="47">
                        <c:v>166.71187040758826</c:v>
                      </c:pt>
                      <c:pt idx="48">
                        <c:v>170.2589314800901</c:v>
                      </c:pt>
                      <c:pt idx="49">
                        <c:v>173.80599255259199</c:v>
                      </c:pt>
                      <c:pt idx="50">
                        <c:v>177.35305362509388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5A1-4C62-9348-87DC5D975BBC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グラフ!$H$5</c15:sqref>
                        </c15:formulaRef>
                      </c:ext>
                    </c:extLst>
                    <c:strCache>
                      <c:ptCount val="1"/>
                      <c:pt idx="0">
                        <c:v>降伏点inner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グラフ!$H$6:$H$56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345</c:v>
                      </c:pt>
                      <c:pt idx="1">
                        <c:v>345</c:v>
                      </c:pt>
                      <c:pt idx="2">
                        <c:v>345</c:v>
                      </c:pt>
                      <c:pt idx="3">
                        <c:v>345</c:v>
                      </c:pt>
                      <c:pt idx="4">
                        <c:v>345</c:v>
                      </c:pt>
                      <c:pt idx="5">
                        <c:v>345</c:v>
                      </c:pt>
                      <c:pt idx="6">
                        <c:v>345</c:v>
                      </c:pt>
                      <c:pt idx="7">
                        <c:v>345</c:v>
                      </c:pt>
                      <c:pt idx="8">
                        <c:v>345</c:v>
                      </c:pt>
                      <c:pt idx="9">
                        <c:v>345</c:v>
                      </c:pt>
                      <c:pt idx="10">
                        <c:v>345</c:v>
                      </c:pt>
                      <c:pt idx="11">
                        <c:v>345</c:v>
                      </c:pt>
                      <c:pt idx="12">
                        <c:v>345</c:v>
                      </c:pt>
                      <c:pt idx="13">
                        <c:v>345</c:v>
                      </c:pt>
                      <c:pt idx="14">
                        <c:v>345</c:v>
                      </c:pt>
                      <c:pt idx="15">
                        <c:v>345</c:v>
                      </c:pt>
                      <c:pt idx="16">
                        <c:v>345</c:v>
                      </c:pt>
                      <c:pt idx="17">
                        <c:v>345</c:v>
                      </c:pt>
                      <c:pt idx="18">
                        <c:v>345</c:v>
                      </c:pt>
                      <c:pt idx="19">
                        <c:v>345</c:v>
                      </c:pt>
                      <c:pt idx="20">
                        <c:v>345</c:v>
                      </c:pt>
                      <c:pt idx="21">
                        <c:v>345</c:v>
                      </c:pt>
                      <c:pt idx="22">
                        <c:v>345</c:v>
                      </c:pt>
                      <c:pt idx="23">
                        <c:v>345</c:v>
                      </c:pt>
                      <c:pt idx="24">
                        <c:v>345</c:v>
                      </c:pt>
                      <c:pt idx="25">
                        <c:v>345</c:v>
                      </c:pt>
                      <c:pt idx="26">
                        <c:v>345</c:v>
                      </c:pt>
                      <c:pt idx="27">
                        <c:v>345</c:v>
                      </c:pt>
                      <c:pt idx="28">
                        <c:v>345</c:v>
                      </c:pt>
                      <c:pt idx="29">
                        <c:v>345</c:v>
                      </c:pt>
                      <c:pt idx="30">
                        <c:v>345</c:v>
                      </c:pt>
                      <c:pt idx="31">
                        <c:v>345</c:v>
                      </c:pt>
                      <c:pt idx="32">
                        <c:v>345</c:v>
                      </c:pt>
                      <c:pt idx="33">
                        <c:v>345</c:v>
                      </c:pt>
                      <c:pt idx="34">
                        <c:v>345</c:v>
                      </c:pt>
                      <c:pt idx="35">
                        <c:v>345</c:v>
                      </c:pt>
                      <c:pt idx="36">
                        <c:v>345</c:v>
                      </c:pt>
                      <c:pt idx="37">
                        <c:v>345</c:v>
                      </c:pt>
                      <c:pt idx="38">
                        <c:v>345</c:v>
                      </c:pt>
                      <c:pt idx="39">
                        <c:v>345</c:v>
                      </c:pt>
                      <c:pt idx="40">
                        <c:v>345</c:v>
                      </c:pt>
                      <c:pt idx="41">
                        <c:v>345</c:v>
                      </c:pt>
                      <c:pt idx="42">
                        <c:v>345</c:v>
                      </c:pt>
                      <c:pt idx="43">
                        <c:v>345</c:v>
                      </c:pt>
                      <c:pt idx="44">
                        <c:v>345</c:v>
                      </c:pt>
                      <c:pt idx="45">
                        <c:v>345</c:v>
                      </c:pt>
                      <c:pt idx="46">
                        <c:v>345</c:v>
                      </c:pt>
                      <c:pt idx="47">
                        <c:v>345</c:v>
                      </c:pt>
                      <c:pt idx="48">
                        <c:v>345</c:v>
                      </c:pt>
                      <c:pt idx="49">
                        <c:v>345</c:v>
                      </c:pt>
                      <c:pt idx="50">
                        <c:v>345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5A1-4C62-9348-87DC5D975BBC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グラフ!$I$5</c15:sqref>
                        </c15:formulaRef>
                      </c:ext>
                    </c:extLst>
                    <c:strCache>
                      <c:ptCount val="1"/>
                      <c:pt idx="0">
                        <c:v>降伏点outer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グラフ!$I$6:$I$56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150</c:v>
                      </c:pt>
                      <c:pt idx="1">
                        <c:v>150</c:v>
                      </c:pt>
                      <c:pt idx="2">
                        <c:v>150</c:v>
                      </c:pt>
                      <c:pt idx="3">
                        <c:v>150</c:v>
                      </c:pt>
                      <c:pt idx="4">
                        <c:v>150</c:v>
                      </c:pt>
                      <c:pt idx="5">
                        <c:v>150</c:v>
                      </c:pt>
                      <c:pt idx="6">
                        <c:v>150</c:v>
                      </c:pt>
                      <c:pt idx="7">
                        <c:v>150</c:v>
                      </c:pt>
                      <c:pt idx="8">
                        <c:v>150</c:v>
                      </c:pt>
                      <c:pt idx="9">
                        <c:v>150</c:v>
                      </c:pt>
                      <c:pt idx="10">
                        <c:v>150</c:v>
                      </c:pt>
                      <c:pt idx="11">
                        <c:v>150</c:v>
                      </c:pt>
                      <c:pt idx="12">
                        <c:v>150</c:v>
                      </c:pt>
                      <c:pt idx="13">
                        <c:v>150</c:v>
                      </c:pt>
                      <c:pt idx="14">
                        <c:v>150</c:v>
                      </c:pt>
                      <c:pt idx="15">
                        <c:v>150</c:v>
                      </c:pt>
                      <c:pt idx="16">
                        <c:v>150</c:v>
                      </c:pt>
                      <c:pt idx="17">
                        <c:v>150</c:v>
                      </c:pt>
                      <c:pt idx="18">
                        <c:v>150</c:v>
                      </c:pt>
                      <c:pt idx="19">
                        <c:v>150</c:v>
                      </c:pt>
                      <c:pt idx="20">
                        <c:v>150</c:v>
                      </c:pt>
                      <c:pt idx="21">
                        <c:v>150</c:v>
                      </c:pt>
                      <c:pt idx="22">
                        <c:v>150</c:v>
                      </c:pt>
                      <c:pt idx="23">
                        <c:v>150</c:v>
                      </c:pt>
                      <c:pt idx="24">
                        <c:v>150</c:v>
                      </c:pt>
                      <c:pt idx="25">
                        <c:v>150</c:v>
                      </c:pt>
                      <c:pt idx="26">
                        <c:v>150</c:v>
                      </c:pt>
                      <c:pt idx="27">
                        <c:v>150</c:v>
                      </c:pt>
                      <c:pt idx="28">
                        <c:v>150</c:v>
                      </c:pt>
                      <c:pt idx="29">
                        <c:v>150</c:v>
                      </c:pt>
                      <c:pt idx="30">
                        <c:v>150</c:v>
                      </c:pt>
                      <c:pt idx="31">
                        <c:v>150</c:v>
                      </c:pt>
                      <c:pt idx="32">
                        <c:v>150</c:v>
                      </c:pt>
                      <c:pt idx="33">
                        <c:v>150</c:v>
                      </c:pt>
                      <c:pt idx="34">
                        <c:v>150</c:v>
                      </c:pt>
                      <c:pt idx="35">
                        <c:v>150</c:v>
                      </c:pt>
                      <c:pt idx="36">
                        <c:v>150</c:v>
                      </c:pt>
                      <c:pt idx="37">
                        <c:v>150</c:v>
                      </c:pt>
                      <c:pt idx="38">
                        <c:v>150</c:v>
                      </c:pt>
                      <c:pt idx="39">
                        <c:v>150</c:v>
                      </c:pt>
                      <c:pt idx="40">
                        <c:v>150</c:v>
                      </c:pt>
                      <c:pt idx="41">
                        <c:v>150</c:v>
                      </c:pt>
                      <c:pt idx="42">
                        <c:v>150</c:v>
                      </c:pt>
                      <c:pt idx="43">
                        <c:v>150</c:v>
                      </c:pt>
                      <c:pt idx="44">
                        <c:v>150</c:v>
                      </c:pt>
                      <c:pt idx="45">
                        <c:v>150</c:v>
                      </c:pt>
                      <c:pt idx="46">
                        <c:v>150</c:v>
                      </c:pt>
                      <c:pt idx="47">
                        <c:v>150</c:v>
                      </c:pt>
                      <c:pt idx="48">
                        <c:v>150</c:v>
                      </c:pt>
                      <c:pt idx="49">
                        <c:v>150</c:v>
                      </c:pt>
                      <c:pt idx="50">
                        <c:v>150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5A1-4C62-9348-87DC5D975BB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グラフ!$J$5</c15:sqref>
                        </c15:formulaRef>
                      </c:ext>
                    </c:extLst>
                    <c:strCache>
                      <c:ptCount val="1"/>
                      <c:pt idx="0">
                        <c:v>円周方向応力inner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グラフ!$J$6:$J$56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17.730735438303412</c:v>
                      </c:pt>
                      <c:pt idx="2">
                        <c:v>35.461470876606825</c:v>
                      </c:pt>
                      <c:pt idx="3">
                        <c:v>53.192206314910223</c:v>
                      </c:pt>
                      <c:pt idx="4">
                        <c:v>70.922941753213649</c:v>
                      </c:pt>
                      <c:pt idx="5">
                        <c:v>88.653677191517048</c:v>
                      </c:pt>
                      <c:pt idx="6">
                        <c:v>106.38441262982045</c:v>
                      </c:pt>
                      <c:pt idx="7">
                        <c:v>124.11514806812387</c:v>
                      </c:pt>
                      <c:pt idx="8">
                        <c:v>141.8458835064273</c:v>
                      </c:pt>
                      <c:pt idx="9">
                        <c:v>159.57661894473071</c:v>
                      </c:pt>
                      <c:pt idx="10">
                        <c:v>177.3073543830341</c:v>
                      </c:pt>
                      <c:pt idx="11">
                        <c:v>195.03808982133751</c:v>
                      </c:pt>
                      <c:pt idx="12">
                        <c:v>212.76882525964089</c:v>
                      </c:pt>
                      <c:pt idx="13">
                        <c:v>230.49956069794436</c:v>
                      </c:pt>
                      <c:pt idx="14">
                        <c:v>248.23029613624774</c:v>
                      </c:pt>
                      <c:pt idx="15">
                        <c:v>265.96103157455116</c:v>
                      </c:pt>
                      <c:pt idx="16">
                        <c:v>283.6917670128546</c:v>
                      </c:pt>
                      <c:pt idx="17">
                        <c:v>301.42250245115798</c:v>
                      </c:pt>
                      <c:pt idx="18">
                        <c:v>319.15323788946142</c:v>
                      </c:pt>
                      <c:pt idx="19">
                        <c:v>336.88397332776481</c:v>
                      </c:pt>
                      <c:pt idx="20">
                        <c:v>354.61470876606819</c:v>
                      </c:pt>
                      <c:pt idx="21">
                        <c:v>372.34544420437152</c:v>
                      </c:pt>
                      <c:pt idx="22">
                        <c:v>390.07617964267502</c:v>
                      </c:pt>
                      <c:pt idx="23">
                        <c:v>407.80691508097846</c:v>
                      </c:pt>
                      <c:pt idx="24">
                        <c:v>425.53765051928178</c:v>
                      </c:pt>
                      <c:pt idx="25">
                        <c:v>443.26838595758528</c:v>
                      </c:pt>
                      <c:pt idx="26">
                        <c:v>460.99912139588872</c:v>
                      </c:pt>
                      <c:pt idx="27">
                        <c:v>478.72985683419205</c:v>
                      </c:pt>
                      <c:pt idx="28">
                        <c:v>496.46059227249549</c:v>
                      </c:pt>
                      <c:pt idx="29">
                        <c:v>514.19132771079876</c:v>
                      </c:pt>
                      <c:pt idx="30">
                        <c:v>531.92206314910231</c:v>
                      </c:pt>
                      <c:pt idx="31">
                        <c:v>549.65279858740564</c:v>
                      </c:pt>
                      <c:pt idx="32">
                        <c:v>567.3835340257092</c:v>
                      </c:pt>
                      <c:pt idx="33">
                        <c:v>585.11426946401264</c:v>
                      </c:pt>
                      <c:pt idx="34">
                        <c:v>602.84500490231596</c:v>
                      </c:pt>
                      <c:pt idx="35">
                        <c:v>620.5757403406194</c:v>
                      </c:pt>
                      <c:pt idx="36">
                        <c:v>638.30647577892285</c:v>
                      </c:pt>
                      <c:pt idx="37">
                        <c:v>656.03721121722617</c:v>
                      </c:pt>
                      <c:pt idx="38">
                        <c:v>673.76794665552961</c:v>
                      </c:pt>
                      <c:pt idx="39">
                        <c:v>691.49868209383283</c:v>
                      </c:pt>
                      <c:pt idx="40">
                        <c:v>709.22941753213638</c:v>
                      </c:pt>
                      <c:pt idx="41">
                        <c:v>726.96015297043982</c:v>
                      </c:pt>
                      <c:pt idx="42">
                        <c:v>744.69088840874304</c:v>
                      </c:pt>
                      <c:pt idx="43">
                        <c:v>762.42162384704659</c:v>
                      </c:pt>
                      <c:pt idx="44">
                        <c:v>780.15235928535003</c:v>
                      </c:pt>
                      <c:pt idx="45">
                        <c:v>797.88309472365336</c:v>
                      </c:pt>
                      <c:pt idx="46">
                        <c:v>815.61383016195691</c:v>
                      </c:pt>
                      <c:pt idx="47">
                        <c:v>833.34456560026035</c:v>
                      </c:pt>
                      <c:pt idx="48">
                        <c:v>851.07530103856357</c:v>
                      </c:pt>
                      <c:pt idx="49">
                        <c:v>868.80603647686712</c:v>
                      </c:pt>
                      <c:pt idx="50">
                        <c:v>886.53677191517056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5A1-4C62-9348-87DC5D975BB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グラフ!$K$5</c15:sqref>
                        </c15:formulaRef>
                      </c:ext>
                    </c:extLst>
                    <c:strCache>
                      <c:ptCount val="1"/>
                      <c:pt idx="0">
                        <c:v>円周方向応力outer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グラフ!$K$6:$K$56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6.7310763366014434</c:v>
                      </c:pt>
                      <c:pt idx="2">
                        <c:v>13.462152673202887</c:v>
                      </c:pt>
                      <c:pt idx="3">
                        <c:v>20.19322900980433</c:v>
                      </c:pt>
                      <c:pt idx="4">
                        <c:v>26.924305346405774</c:v>
                      </c:pt>
                      <c:pt idx="5">
                        <c:v>33.655381683007214</c:v>
                      </c:pt>
                      <c:pt idx="6">
                        <c:v>40.386458019608661</c:v>
                      </c:pt>
                      <c:pt idx="7">
                        <c:v>47.117534356210101</c:v>
                      </c:pt>
                      <c:pt idx="8">
                        <c:v>53.848610692811548</c:v>
                      </c:pt>
                      <c:pt idx="9">
                        <c:v>60.579687029412987</c:v>
                      </c:pt>
                      <c:pt idx="10">
                        <c:v>67.310763366014427</c:v>
                      </c:pt>
                      <c:pt idx="11">
                        <c:v>74.041839702615889</c:v>
                      </c:pt>
                      <c:pt idx="12">
                        <c:v>80.772916039217321</c:v>
                      </c:pt>
                      <c:pt idx="13">
                        <c:v>87.503992375818783</c:v>
                      </c:pt>
                      <c:pt idx="14">
                        <c:v>94.235068712420201</c:v>
                      </c:pt>
                      <c:pt idx="15">
                        <c:v>100.96614504902165</c:v>
                      </c:pt>
                      <c:pt idx="16">
                        <c:v>107.6972213856231</c:v>
                      </c:pt>
                      <c:pt idx="17">
                        <c:v>114.42829772222454</c:v>
                      </c:pt>
                      <c:pt idx="18">
                        <c:v>121.15937405882597</c:v>
                      </c:pt>
                      <c:pt idx="19">
                        <c:v>127.89045039542744</c:v>
                      </c:pt>
                      <c:pt idx="20">
                        <c:v>134.62152673202885</c:v>
                      </c:pt>
                      <c:pt idx="21">
                        <c:v>141.35260306863029</c:v>
                      </c:pt>
                      <c:pt idx="22">
                        <c:v>148.08367940523178</c:v>
                      </c:pt>
                      <c:pt idx="23">
                        <c:v>154.81475574183321</c:v>
                      </c:pt>
                      <c:pt idx="24">
                        <c:v>161.54583207843464</c:v>
                      </c:pt>
                      <c:pt idx="25">
                        <c:v>168.2769084150361</c:v>
                      </c:pt>
                      <c:pt idx="26">
                        <c:v>175.00798475163757</c:v>
                      </c:pt>
                      <c:pt idx="27">
                        <c:v>181.73906108823894</c:v>
                      </c:pt>
                      <c:pt idx="28">
                        <c:v>188.4701374248404</c:v>
                      </c:pt>
                      <c:pt idx="29">
                        <c:v>195.20121376144184</c:v>
                      </c:pt>
                      <c:pt idx="30">
                        <c:v>201.9322900980433</c:v>
                      </c:pt>
                      <c:pt idx="31">
                        <c:v>208.66336643464473</c:v>
                      </c:pt>
                      <c:pt idx="32">
                        <c:v>215.39444277124619</c:v>
                      </c:pt>
                      <c:pt idx="33">
                        <c:v>222.12551910784765</c:v>
                      </c:pt>
                      <c:pt idx="34">
                        <c:v>228.85659544444908</c:v>
                      </c:pt>
                      <c:pt idx="35">
                        <c:v>235.58767178105055</c:v>
                      </c:pt>
                      <c:pt idx="36">
                        <c:v>242.31874811765195</c:v>
                      </c:pt>
                      <c:pt idx="37">
                        <c:v>249.04982445425338</c:v>
                      </c:pt>
                      <c:pt idx="38">
                        <c:v>255.78090079085487</c:v>
                      </c:pt>
                      <c:pt idx="39">
                        <c:v>262.5119771274563</c:v>
                      </c:pt>
                      <c:pt idx="40">
                        <c:v>269.24305346405771</c:v>
                      </c:pt>
                      <c:pt idx="41">
                        <c:v>275.97412980065917</c:v>
                      </c:pt>
                      <c:pt idx="42">
                        <c:v>282.70520613726057</c:v>
                      </c:pt>
                      <c:pt idx="43">
                        <c:v>289.43628247386204</c:v>
                      </c:pt>
                      <c:pt idx="44">
                        <c:v>296.16735881046355</c:v>
                      </c:pt>
                      <c:pt idx="45">
                        <c:v>302.89843514706496</c:v>
                      </c:pt>
                      <c:pt idx="46">
                        <c:v>309.62951148366642</c:v>
                      </c:pt>
                      <c:pt idx="47">
                        <c:v>316.36058782026788</c:v>
                      </c:pt>
                      <c:pt idx="48">
                        <c:v>323.09166415686929</c:v>
                      </c:pt>
                      <c:pt idx="49">
                        <c:v>329.82274049347075</c:v>
                      </c:pt>
                      <c:pt idx="50">
                        <c:v>336.55381683007221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5A1-4C62-9348-87DC5D975BBC}"/>
                  </c:ext>
                </c:extLst>
              </c15:ser>
            </c15:filteredScatterSeries>
          </c:ext>
        </c:extLst>
      </c:scatterChart>
      <c:valAx>
        <c:axId val="2069338655"/>
        <c:scaling>
          <c:orientation val="minMax"/>
          <c:max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グラフ!$A$4</c:f>
              <c:strCache>
                <c:ptCount val="1"/>
                <c:pt idx="0">
                  <c:v>締め代[mm]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69334079"/>
        <c:crosses val="autoZero"/>
        <c:crossBetween val="midCat"/>
      </c:valAx>
      <c:valAx>
        <c:axId val="2069334079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グラフ!$E$4</c:f>
              <c:strCache>
                <c:ptCount val="1"/>
                <c:pt idx="0">
                  <c:v>圧入力[kN]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69338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締め代</a:t>
            </a:r>
            <a:r>
              <a:rPr lang="en-US" altLang="ja-JP"/>
              <a:t>vs</a:t>
            </a:r>
            <a:r>
              <a:rPr lang="ja-JP" altLang="en-US"/>
              <a:t>応力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6"/>
          <c:tx>
            <c:strRef>
              <c:f>グラフ!$H$5</c:f>
              <c:strCache>
                <c:ptCount val="1"/>
                <c:pt idx="0">
                  <c:v>降伏点inner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グラフ!$H$6:$H$56</c:f>
              <c:numCache>
                <c:formatCode>0.0</c:formatCode>
                <c:ptCount val="51"/>
                <c:pt idx="0">
                  <c:v>345</c:v>
                </c:pt>
                <c:pt idx="1">
                  <c:v>345</c:v>
                </c:pt>
                <c:pt idx="2">
                  <c:v>345</c:v>
                </c:pt>
                <c:pt idx="3">
                  <c:v>345</c:v>
                </c:pt>
                <c:pt idx="4">
                  <c:v>345</c:v>
                </c:pt>
                <c:pt idx="5">
                  <c:v>345</c:v>
                </c:pt>
                <c:pt idx="6">
                  <c:v>345</c:v>
                </c:pt>
                <c:pt idx="7">
                  <c:v>345</c:v>
                </c:pt>
                <c:pt idx="8">
                  <c:v>345</c:v>
                </c:pt>
                <c:pt idx="9">
                  <c:v>345</c:v>
                </c:pt>
                <c:pt idx="10">
                  <c:v>345</c:v>
                </c:pt>
                <c:pt idx="11">
                  <c:v>345</c:v>
                </c:pt>
                <c:pt idx="12">
                  <c:v>345</c:v>
                </c:pt>
                <c:pt idx="13">
                  <c:v>345</c:v>
                </c:pt>
                <c:pt idx="14">
                  <c:v>345</c:v>
                </c:pt>
                <c:pt idx="15">
                  <c:v>345</c:v>
                </c:pt>
                <c:pt idx="16">
                  <c:v>345</c:v>
                </c:pt>
                <c:pt idx="17">
                  <c:v>345</c:v>
                </c:pt>
                <c:pt idx="18">
                  <c:v>345</c:v>
                </c:pt>
                <c:pt idx="19">
                  <c:v>345</c:v>
                </c:pt>
                <c:pt idx="20">
                  <c:v>345</c:v>
                </c:pt>
                <c:pt idx="21">
                  <c:v>345</c:v>
                </c:pt>
                <c:pt idx="22">
                  <c:v>345</c:v>
                </c:pt>
                <c:pt idx="23">
                  <c:v>345</c:v>
                </c:pt>
                <c:pt idx="24">
                  <c:v>345</c:v>
                </c:pt>
                <c:pt idx="25">
                  <c:v>345</c:v>
                </c:pt>
                <c:pt idx="26">
                  <c:v>345</c:v>
                </c:pt>
                <c:pt idx="27">
                  <c:v>345</c:v>
                </c:pt>
                <c:pt idx="28">
                  <c:v>345</c:v>
                </c:pt>
                <c:pt idx="29">
                  <c:v>345</c:v>
                </c:pt>
                <c:pt idx="30">
                  <c:v>345</c:v>
                </c:pt>
                <c:pt idx="31">
                  <c:v>345</c:v>
                </c:pt>
                <c:pt idx="32">
                  <c:v>345</c:v>
                </c:pt>
                <c:pt idx="33">
                  <c:v>345</c:v>
                </c:pt>
                <c:pt idx="34">
                  <c:v>345</c:v>
                </c:pt>
                <c:pt idx="35">
                  <c:v>345</c:v>
                </c:pt>
                <c:pt idx="36">
                  <c:v>345</c:v>
                </c:pt>
                <c:pt idx="37">
                  <c:v>345</c:v>
                </c:pt>
                <c:pt idx="38">
                  <c:v>345</c:v>
                </c:pt>
                <c:pt idx="39">
                  <c:v>345</c:v>
                </c:pt>
                <c:pt idx="40">
                  <c:v>345</c:v>
                </c:pt>
                <c:pt idx="41">
                  <c:v>345</c:v>
                </c:pt>
                <c:pt idx="42">
                  <c:v>345</c:v>
                </c:pt>
                <c:pt idx="43">
                  <c:v>345</c:v>
                </c:pt>
                <c:pt idx="44">
                  <c:v>345</c:v>
                </c:pt>
                <c:pt idx="45">
                  <c:v>345</c:v>
                </c:pt>
                <c:pt idx="46">
                  <c:v>345</c:v>
                </c:pt>
                <c:pt idx="47">
                  <c:v>345</c:v>
                </c:pt>
                <c:pt idx="48">
                  <c:v>345</c:v>
                </c:pt>
                <c:pt idx="49">
                  <c:v>345</c:v>
                </c:pt>
                <c:pt idx="50">
                  <c:v>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CC-489F-9151-FEC3986707C7}"/>
            </c:ext>
          </c:extLst>
        </c:ser>
        <c:ser>
          <c:idx val="0"/>
          <c:order val="0"/>
          <c:tx>
            <c:strRef>
              <c:f>グラフ!$B$5</c:f>
              <c:strCache>
                <c:ptCount val="1"/>
                <c:pt idx="0">
                  <c:v>半径方向応力min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グラフ!$B$6:$B$56</c:f>
              <c:numCache>
                <c:formatCode>0.0</c:formatCode>
                <c:ptCount val="51"/>
                <c:pt idx="0">
                  <c:v>0</c:v>
                </c:pt>
                <c:pt idx="1">
                  <c:v>3.4598865694423666</c:v>
                </c:pt>
                <c:pt idx="2">
                  <c:v>6.9197731388847332</c:v>
                </c:pt>
                <c:pt idx="3">
                  <c:v>10.379659708327098</c:v>
                </c:pt>
                <c:pt idx="4">
                  <c:v>13.839546277769466</c:v>
                </c:pt>
                <c:pt idx="5">
                  <c:v>17.299432847211833</c:v>
                </c:pt>
                <c:pt idx="6">
                  <c:v>20.759319416654197</c:v>
                </c:pt>
                <c:pt idx="7">
                  <c:v>24.219205986096568</c:v>
                </c:pt>
                <c:pt idx="8">
                  <c:v>27.679092555538933</c:v>
                </c:pt>
                <c:pt idx="9">
                  <c:v>31.138979124981301</c:v>
                </c:pt>
                <c:pt idx="10">
                  <c:v>34.598865694423665</c:v>
                </c:pt>
                <c:pt idx="11">
                  <c:v>38.058752263866033</c:v>
                </c:pt>
                <c:pt idx="12">
                  <c:v>41.518638833308394</c:v>
                </c:pt>
                <c:pt idx="13">
                  <c:v>44.978525402750769</c:v>
                </c:pt>
                <c:pt idx="14">
                  <c:v>48.438411972193137</c:v>
                </c:pt>
                <c:pt idx="15">
                  <c:v>51.898298541635498</c:v>
                </c:pt>
                <c:pt idx="16">
                  <c:v>55.358185111077866</c:v>
                </c:pt>
                <c:pt idx="17">
                  <c:v>58.818071680520234</c:v>
                </c:pt>
                <c:pt idx="18">
                  <c:v>62.277958249962602</c:v>
                </c:pt>
                <c:pt idx="19">
                  <c:v>65.73784481940497</c:v>
                </c:pt>
                <c:pt idx="20">
                  <c:v>69.19773138884733</c:v>
                </c:pt>
                <c:pt idx="21">
                  <c:v>72.657617958289691</c:v>
                </c:pt>
                <c:pt idx="22">
                  <c:v>76.117504527732066</c:v>
                </c:pt>
                <c:pt idx="23">
                  <c:v>79.577391097174441</c:v>
                </c:pt>
                <c:pt idx="24">
                  <c:v>83.037277666616788</c:v>
                </c:pt>
                <c:pt idx="25">
                  <c:v>86.497164236059163</c:v>
                </c:pt>
                <c:pt idx="26">
                  <c:v>89.957050805501538</c:v>
                </c:pt>
                <c:pt idx="27">
                  <c:v>93.416937374943899</c:v>
                </c:pt>
                <c:pt idx="28">
                  <c:v>96.876823944386274</c:v>
                </c:pt>
                <c:pt idx="29">
                  <c:v>100.33671051382862</c:v>
                </c:pt>
                <c:pt idx="30">
                  <c:v>103.796597083271</c:v>
                </c:pt>
                <c:pt idx="31">
                  <c:v>107.25648365271336</c:v>
                </c:pt>
                <c:pt idx="32">
                  <c:v>110.71637022215573</c:v>
                </c:pt>
                <c:pt idx="33">
                  <c:v>114.17625679159811</c:v>
                </c:pt>
                <c:pt idx="34">
                  <c:v>117.63614336104047</c:v>
                </c:pt>
                <c:pt idx="35">
                  <c:v>121.09602993048284</c:v>
                </c:pt>
                <c:pt idx="36">
                  <c:v>124.5559164999252</c:v>
                </c:pt>
                <c:pt idx="37">
                  <c:v>128.01580306936756</c:v>
                </c:pt>
                <c:pt idx="38">
                  <c:v>131.47568963880994</c:v>
                </c:pt>
                <c:pt idx="39">
                  <c:v>134.93557620825229</c:v>
                </c:pt>
                <c:pt idx="40">
                  <c:v>138.39546277769466</c:v>
                </c:pt>
                <c:pt idx="41">
                  <c:v>141.85534934713704</c:v>
                </c:pt>
                <c:pt idx="42">
                  <c:v>145.31523591657938</c:v>
                </c:pt>
                <c:pt idx="43">
                  <c:v>148.77512248602176</c:v>
                </c:pt>
                <c:pt idx="44">
                  <c:v>152.23500905546413</c:v>
                </c:pt>
                <c:pt idx="45">
                  <c:v>155.69489562490651</c:v>
                </c:pt>
                <c:pt idx="46">
                  <c:v>159.15478219434888</c:v>
                </c:pt>
                <c:pt idx="47">
                  <c:v>162.61466876379123</c:v>
                </c:pt>
                <c:pt idx="48">
                  <c:v>166.07455533323358</c:v>
                </c:pt>
                <c:pt idx="49">
                  <c:v>169.53444190267595</c:v>
                </c:pt>
                <c:pt idx="50">
                  <c:v>172.99432847211833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CC-489F-9151-FEC3986707C7}"/>
            </c:ext>
          </c:extLst>
        </c:ser>
        <c:ser>
          <c:idx val="1"/>
          <c:order val="1"/>
          <c:tx>
            <c:strRef>
              <c:f>グラフ!$C$5</c:f>
              <c:strCache>
                <c:ptCount val="1"/>
                <c:pt idx="0">
                  <c:v>半径方向応力nor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グラフ!$C$6:$C$56</c:f>
              <c:numCache>
                <c:formatCode>0.0</c:formatCode>
                <c:ptCount val="51"/>
                <c:pt idx="0">
                  <c:v>0</c:v>
                </c:pt>
                <c:pt idx="1">
                  <c:v>3.5035590732134589</c:v>
                </c:pt>
                <c:pt idx="2">
                  <c:v>7.0071181464269179</c:v>
                </c:pt>
                <c:pt idx="3">
                  <c:v>10.510677219640376</c:v>
                </c:pt>
                <c:pt idx="4">
                  <c:v>14.014236292853836</c:v>
                </c:pt>
                <c:pt idx="5">
                  <c:v>17.517795366067293</c:v>
                </c:pt>
                <c:pt idx="6">
                  <c:v>21.021354439280753</c:v>
                </c:pt>
                <c:pt idx="7">
                  <c:v>24.524913512494212</c:v>
                </c:pt>
                <c:pt idx="8">
                  <c:v>28.028472585707672</c:v>
                </c:pt>
                <c:pt idx="9">
                  <c:v>31.532031658921131</c:v>
                </c:pt>
                <c:pt idx="10">
                  <c:v>35.035590732134587</c:v>
                </c:pt>
                <c:pt idx="11">
                  <c:v>38.539149805348046</c:v>
                </c:pt>
                <c:pt idx="12">
                  <c:v>42.042708878561506</c:v>
                </c:pt>
                <c:pt idx="13">
                  <c:v>45.546267951774972</c:v>
                </c:pt>
                <c:pt idx="14">
                  <c:v>49.049827024988424</c:v>
                </c:pt>
                <c:pt idx="15">
                  <c:v>52.553386098201877</c:v>
                </c:pt>
                <c:pt idx="16">
                  <c:v>56.056945171415343</c:v>
                </c:pt>
                <c:pt idx="17">
                  <c:v>59.560504244628802</c:v>
                </c:pt>
                <c:pt idx="18">
                  <c:v>63.064063317842262</c:v>
                </c:pt>
                <c:pt idx="19">
                  <c:v>66.567622391055721</c:v>
                </c:pt>
                <c:pt idx="20">
                  <c:v>70.071181464269173</c:v>
                </c:pt>
                <c:pt idx="21">
                  <c:v>73.574740537482626</c:v>
                </c:pt>
                <c:pt idx="22">
                  <c:v>77.078299610696092</c:v>
                </c:pt>
                <c:pt idx="23">
                  <c:v>80.581858683909559</c:v>
                </c:pt>
                <c:pt idx="24">
                  <c:v>84.085417757123011</c:v>
                </c:pt>
                <c:pt idx="25">
                  <c:v>87.588976830336478</c:v>
                </c:pt>
                <c:pt idx="26">
                  <c:v>91.092535903549944</c:v>
                </c:pt>
                <c:pt idx="27">
                  <c:v>94.596094976763382</c:v>
                </c:pt>
                <c:pt idx="28">
                  <c:v>98.099654049976849</c:v>
                </c:pt>
                <c:pt idx="29">
                  <c:v>101.60321312319029</c:v>
                </c:pt>
                <c:pt idx="30">
                  <c:v>105.10677219640375</c:v>
                </c:pt>
                <c:pt idx="31">
                  <c:v>108.61033126961722</c:v>
                </c:pt>
                <c:pt idx="32">
                  <c:v>112.11389034283069</c:v>
                </c:pt>
                <c:pt idx="33">
                  <c:v>115.61744941604415</c:v>
                </c:pt>
                <c:pt idx="34">
                  <c:v>119.1210084892576</c:v>
                </c:pt>
                <c:pt idx="35">
                  <c:v>122.62456756247107</c:v>
                </c:pt>
                <c:pt idx="36">
                  <c:v>126.12812663568452</c:v>
                </c:pt>
                <c:pt idx="37">
                  <c:v>129.63168570889798</c:v>
                </c:pt>
                <c:pt idx="38">
                  <c:v>133.13524478211144</c:v>
                </c:pt>
                <c:pt idx="39">
                  <c:v>136.63880385532488</c:v>
                </c:pt>
                <c:pt idx="40">
                  <c:v>140.14236292853835</c:v>
                </c:pt>
                <c:pt idx="41">
                  <c:v>143.64592200175181</c:v>
                </c:pt>
                <c:pt idx="42">
                  <c:v>147.14948107496525</c:v>
                </c:pt>
                <c:pt idx="43">
                  <c:v>150.65304014817872</c:v>
                </c:pt>
                <c:pt idx="44">
                  <c:v>154.15659922139218</c:v>
                </c:pt>
                <c:pt idx="45">
                  <c:v>157.66015829460565</c:v>
                </c:pt>
                <c:pt idx="46">
                  <c:v>161.16371736781912</c:v>
                </c:pt>
                <c:pt idx="47">
                  <c:v>164.66727644103258</c:v>
                </c:pt>
                <c:pt idx="48">
                  <c:v>168.17083551424602</c:v>
                </c:pt>
                <c:pt idx="49">
                  <c:v>171.67439458745949</c:v>
                </c:pt>
                <c:pt idx="50">
                  <c:v>175.17795366067296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7CC-489F-9151-FEC3986707C7}"/>
            </c:ext>
          </c:extLst>
        </c:ser>
        <c:ser>
          <c:idx val="2"/>
          <c:order val="2"/>
          <c:tx>
            <c:strRef>
              <c:f>グラフ!$D$5</c:f>
              <c:strCache>
                <c:ptCount val="1"/>
                <c:pt idx="0">
                  <c:v>半径方向応力max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グラフ!$D$6:$D$56</c:f>
              <c:numCache>
                <c:formatCode>0.0</c:formatCode>
                <c:ptCount val="51"/>
                <c:pt idx="0">
                  <c:v>0</c:v>
                </c:pt>
                <c:pt idx="1">
                  <c:v>3.5470610725018776</c:v>
                </c:pt>
                <c:pt idx="2">
                  <c:v>7.0941221450037553</c:v>
                </c:pt>
                <c:pt idx="3">
                  <c:v>10.641183217505631</c:v>
                </c:pt>
                <c:pt idx="4">
                  <c:v>14.188244290007511</c:v>
                </c:pt>
                <c:pt idx="5">
                  <c:v>17.735305362509386</c:v>
                </c:pt>
                <c:pt idx="6">
                  <c:v>21.282366435011262</c:v>
                </c:pt>
                <c:pt idx="7">
                  <c:v>24.829427507513145</c:v>
                </c:pt>
                <c:pt idx="8">
                  <c:v>28.376488580015021</c:v>
                </c:pt>
                <c:pt idx="9">
                  <c:v>31.923549652516897</c:v>
                </c:pt>
                <c:pt idx="10">
                  <c:v>35.470610725018773</c:v>
                </c:pt>
                <c:pt idx="11">
                  <c:v>39.017671797520649</c:v>
                </c:pt>
                <c:pt idx="12">
                  <c:v>42.564732870022524</c:v>
                </c:pt>
                <c:pt idx="13">
                  <c:v>46.111793942524407</c:v>
                </c:pt>
                <c:pt idx="14">
                  <c:v>49.65885501502629</c:v>
                </c:pt>
                <c:pt idx="15">
                  <c:v>53.205916087528159</c:v>
                </c:pt>
                <c:pt idx="16">
                  <c:v>56.752977160030042</c:v>
                </c:pt>
                <c:pt idx="17">
                  <c:v>60.300038232531918</c:v>
                </c:pt>
                <c:pt idx="18">
                  <c:v>63.847099305033794</c:v>
                </c:pt>
                <c:pt idx="19">
                  <c:v>67.394160377535684</c:v>
                </c:pt>
                <c:pt idx="20">
                  <c:v>70.941221450037546</c:v>
                </c:pt>
                <c:pt idx="21">
                  <c:v>74.488282522539421</c:v>
                </c:pt>
                <c:pt idx="22">
                  <c:v>78.035343595041297</c:v>
                </c:pt>
                <c:pt idx="23">
                  <c:v>81.582404667543187</c:v>
                </c:pt>
                <c:pt idx="24">
                  <c:v>85.129465740045049</c:v>
                </c:pt>
                <c:pt idx="25">
                  <c:v>88.676526812546939</c:v>
                </c:pt>
                <c:pt idx="26">
                  <c:v>92.223587885048815</c:v>
                </c:pt>
                <c:pt idx="27">
                  <c:v>95.770648957550691</c:v>
                </c:pt>
                <c:pt idx="28">
                  <c:v>99.317710030052581</c:v>
                </c:pt>
                <c:pt idx="29">
                  <c:v>102.86477110255443</c:v>
                </c:pt>
                <c:pt idx="30">
                  <c:v>106.41183217505632</c:v>
                </c:pt>
                <c:pt idx="31">
                  <c:v>109.95889324755819</c:v>
                </c:pt>
                <c:pt idx="32">
                  <c:v>113.50595432006008</c:v>
                </c:pt>
                <c:pt idx="33">
                  <c:v>117.05301539256196</c:v>
                </c:pt>
                <c:pt idx="34">
                  <c:v>120.60007646506384</c:v>
                </c:pt>
                <c:pt idx="35">
                  <c:v>124.14713753756571</c:v>
                </c:pt>
                <c:pt idx="36">
                  <c:v>127.69419861006759</c:v>
                </c:pt>
                <c:pt idx="37">
                  <c:v>131.24125968256948</c:v>
                </c:pt>
                <c:pt idx="38">
                  <c:v>134.78832075507137</c:v>
                </c:pt>
                <c:pt idx="39">
                  <c:v>138.3353818275732</c:v>
                </c:pt>
                <c:pt idx="40">
                  <c:v>141.88244290007509</c:v>
                </c:pt>
                <c:pt idx="41">
                  <c:v>145.42950397257698</c:v>
                </c:pt>
                <c:pt idx="42">
                  <c:v>148.97656504507884</c:v>
                </c:pt>
                <c:pt idx="43">
                  <c:v>152.5236261175807</c:v>
                </c:pt>
                <c:pt idx="44">
                  <c:v>156.07068719008259</c:v>
                </c:pt>
                <c:pt idx="45">
                  <c:v>159.61774826258448</c:v>
                </c:pt>
                <c:pt idx="46">
                  <c:v>163.16480933508637</c:v>
                </c:pt>
                <c:pt idx="47">
                  <c:v>166.71187040758826</c:v>
                </c:pt>
                <c:pt idx="48">
                  <c:v>170.2589314800901</c:v>
                </c:pt>
                <c:pt idx="49">
                  <c:v>173.80599255259199</c:v>
                </c:pt>
                <c:pt idx="50">
                  <c:v>177.35305362509388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7CC-489F-9151-FEC3986707C7}"/>
            </c:ext>
          </c:extLst>
        </c:ser>
        <c:ser>
          <c:idx val="7"/>
          <c:order val="7"/>
          <c:tx>
            <c:strRef>
              <c:f>グラフ!$I$5</c:f>
              <c:strCache>
                <c:ptCount val="1"/>
                <c:pt idx="0">
                  <c:v>降伏点outer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グラフ!$I$6:$I$56</c:f>
              <c:numCache>
                <c:formatCode>0.0</c:formatCode>
                <c:ptCount val="5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150</c:v>
                </c:pt>
                <c:pt idx="22">
                  <c:v>150</c:v>
                </c:pt>
                <c:pt idx="23">
                  <c:v>150</c:v>
                </c:pt>
                <c:pt idx="24">
                  <c:v>150</c:v>
                </c:pt>
                <c:pt idx="25">
                  <c:v>150</c:v>
                </c:pt>
                <c:pt idx="26">
                  <c:v>150</c:v>
                </c:pt>
                <c:pt idx="27">
                  <c:v>150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7CC-489F-9151-FEC3986707C7}"/>
            </c:ext>
          </c:extLst>
        </c:ser>
        <c:ser>
          <c:idx val="8"/>
          <c:order val="8"/>
          <c:tx>
            <c:strRef>
              <c:f>グラフ!$J$5</c:f>
              <c:strCache>
                <c:ptCount val="1"/>
                <c:pt idx="0">
                  <c:v>円周方向応力inner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グラフ!$J$6:$J$56</c:f>
              <c:numCache>
                <c:formatCode>0.0</c:formatCode>
                <c:ptCount val="51"/>
                <c:pt idx="0">
                  <c:v>0</c:v>
                </c:pt>
                <c:pt idx="1">
                  <c:v>17.730735438303412</c:v>
                </c:pt>
                <c:pt idx="2">
                  <c:v>35.461470876606825</c:v>
                </c:pt>
                <c:pt idx="3">
                  <c:v>53.192206314910223</c:v>
                </c:pt>
                <c:pt idx="4">
                  <c:v>70.922941753213649</c:v>
                </c:pt>
                <c:pt idx="5">
                  <c:v>88.653677191517048</c:v>
                </c:pt>
                <c:pt idx="6">
                  <c:v>106.38441262982045</c:v>
                </c:pt>
                <c:pt idx="7">
                  <c:v>124.11514806812387</c:v>
                </c:pt>
                <c:pt idx="8">
                  <c:v>141.8458835064273</c:v>
                </c:pt>
                <c:pt idx="9">
                  <c:v>159.57661894473071</c:v>
                </c:pt>
                <c:pt idx="10">
                  <c:v>177.3073543830341</c:v>
                </c:pt>
                <c:pt idx="11">
                  <c:v>195.03808982133751</c:v>
                </c:pt>
                <c:pt idx="12">
                  <c:v>212.76882525964089</c:v>
                </c:pt>
                <c:pt idx="13">
                  <c:v>230.49956069794436</c:v>
                </c:pt>
                <c:pt idx="14">
                  <c:v>248.23029613624774</c:v>
                </c:pt>
                <c:pt idx="15">
                  <c:v>265.96103157455116</c:v>
                </c:pt>
                <c:pt idx="16">
                  <c:v>283.6917670128546</c:v>
                </c:pt>
                <c:pt idx="17">
                  <c:v>301.42250245115798</c:v>
                </c:pt>
                <c:pt idx="18">
                  <c:v>319.15323788946142</c:v>
                </c:pt>
                <c:pt idx="19">
                  <c:v>336.88397332776481</c:v>
                </c:pt>
                <c:pt idx="20">
                  <c:v>354.61470876606819</c:v>
                </c:pt>
                <c:pt idx="21">
                  <c:v>372.34544420437152</c:v>
                </c:pt>
                <c:pt idx="22">
                  <c:v>390.07617964267502</c:v>
                </c:pt>
                <c:pt idx="23">
                  <c:v>407.80691508097846</c:v>
                </c:pt>
                <c:pt idx="24">
                  <c:v>425.53765051928178</c:v>
                </c:pt>
                <c:pt idx="25">
                  <c:v>443.26838595758528</c:v>
                </c:pt>
                <c:pt idx="26">
                  <c:v>460.99912139588872</c:v>
                </c:pt>
                <c:pt idx="27">
                  <c:v>478.72985683419205</c:v>
                </c:pt>
                <c:pt idx="28">
                  <c:v>496.46059227249549</c:v>
                </c:pt>
                <c:pt idx="29">
                  <c:v>514.19132771079876</c:v>
                </c:pt>
                <c:pt idx="30">
                  <c:v>531.92206314910231</c:v>
                </c:pt>
                <c:pt idx="31">
                  <c:v>549.65279858740564</c:v>
                </c:pt>
                <c:pt idx="32">
                  <c:v>567.3835340257092</c:v>
                </c:pt>
                <c:pt idx="33">
                  <c:v>585.11426946401264</c:v>
                </c:pt>
                <c:pt idx="34">
                  <c:v>602.84500490231596</c:v>
                </c:pt>
                <c:pt idx="35">
                  <c:v>620.5757403406194</c:v>
                </c:pt>
                <c:pt idx="36">
                  <c:v>638.30647577892285</c:v>
                </c:pt>
                <c:pt idx="37">
                  <c:v>656.03721121722617</c:v>
                </c:pt>
                <c:pt idx="38">
                  <c:v>673.76794665552961</c:v>
                </c:pt>
                <c:pt idx="39">
                  <c:v>691.49868209383283</c:v>
                </c:pt>
                <c:pt idx="40">
                  <c:v>709.22941753213638</c:v>
                </c:pt>
                <c:pt idx="41">
                  <c:v>726.96015297043982</c:v>
                </c:pt>
                <c:pt idx="42">
                  <c:v>744.69088840874304</c:v>
                </c:pt>
                <c:pt idx="43">
                  <c:v>762.42162384704659</c:v>
                </c:pt>
                <c:pt idx="44">
                  <c:v>780.15235928535003</c:v>
                </c:pt>
                <c:pt idx="45">
                  <c:v>797.88309472365336</c:v>
                </c:pt>
                <c:pt idx="46">
                  <c:v>815.61383016195691</c:v>
                </c:pt>
                <c:pt idx="47">
                  <c:v>833.34456560026035</c:v>
                </c:pt>
                <c:pt idx="48">
                  <c:v>851.07530103856357</c:v>
                </c:pt>
                <c:pt idx="49">
                  <c:v>868.80603647686712</c:v>
                </c:pt>
                <c:pt idx="50">
                  <c:v>886.53677191517056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7CC-489F-9151-FEC3986707C7}"/>
            </c:ext>
          </c:extLst>
        </c:ser>
        <c:ser>
          <c:idx val="9"/>
          <c:order val="9"/>
          <c:tx>
            <c:strRef>
              <c:f>グラフ!$K$5</c:f>
              <c:strCache>
                <c:ptCount val="1"/>
                <c:pt idx="0">
                  <c:v>円周方向応力outer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グラフ!$K$6:$K$56</c:f>
              <c:numCache>
                <c:formatCode>0.0</c:formatCode>
                <c:ptCount val="51"/>
                <c:pt idx="0">
                  <c:v>0</c:v>
                </c:pt>
                <c:pt idx="1">
                  <c:v>6.7310763366014434</c:v>
                </c:pt>
                <c:pt idx="2">
                  <c:v>13.462152673202887</c:v>
                </c:pt>
                <c:pt idx="3">
                  <c:v>20.19322900980433</c:v>
                </c:pt>
                <c:pt idx="4">
                  <c:v>26.924305346405774</c:v>
                </c:pt>
                <c:pt idx="5">
                  <c:v>33.655381683007214</c:v>
                </c:pt>
                <c:pt idx="6">
                  <c:v>40.386458019608661</c:v>
                </c:pt>
                <c:pt idx="7">
                  <c:v>47.117534356210101</c:v>
                </c:pt>
                <c:pt idx="8">
                  <c:v>53.848610692811548</c:v>
                </c:pt>
                <c:pt idx="9">
                  <c:v>60.579687029412987</c:v>
                </c:pt>
                <c:pt idx="10">
                  <c:v>67.310763366014427</c:v>
                </c:pt>
                <c:pt idx="11">
                  <c:v>74.041839702615889</c:v>
                </c:pt>
                <c:pt idx="12">
                  <c:v>80.772916039217321</c:v>
                </c:pt>
                <c:pt idx="13">
                  <c:v>87.503992375818783</c:v>
                </c:pt>
                <c:pt idx="14">
                  <c:v>94.235068712420201</c:v>
                </c:pt>
                <c:pt idx="15">
                  <c:v>100.96614504902165</c:v>
                </c:pt>
                <c:pt idx="16">
                  <c:v>107.6972213856231</c:v>
                </c:pt>
                <c:pt idx="17">
                  <c:v>114.42829772222454</c:v>
                </c:pt>
                <c:pt idx="18">
                  <c:v>121.15937405882597</c:v>
                </c:pt>
                <c:pt idx="19">
                  <c:v>127.89045039542744</c:v>
                </c:pt>
                <c:pt idx="20">
                  <c:v>134.62152673202885</c:v>
                </c:pt>
                <c:pt idx="21">
                  <c:v>141.35260306863029</c:v>
                </c:pt>
                <c:pt idx="22">
                  <c:v>148.08367940523178</c:v>
                </c:pt>
                <c:pt idx="23">
                  <c:v>154.81475574183321</c:v>
                </c:pt>
                <c:pt idx="24">
                  <c:v>161.54583207843464</c:v>
                </c:pt>
                <c:pt idx="25">
                  <c:v>168.2769084150361</c:v>
                </c:pt>
                <c:pt idx="26">
                  <c:v>175.00798475163757</c:v>
                </c:pt>
                <c:pt idx="27">
                  <c:v>181.73906108823894</c:v>
                </c:pt>
                <c:pt idx="28">
                  <c:v>188.4701374248404</c:v>
                </c:pt>
                <c:pt idx="29">
                  <c:v>195.20121376144184</c:v>
                </c:pt>
                <c:pt idx="30">
                  <c:v>201.9322900980433</c:v>
                </c:pt>
                <c:pt idx="31">
                  <c:v>208.66336643464473</c:v>
                </c:pt>
                <c:pt idx="32">
                  <c:v>215.39444277124619</c:v>
                </c:pt>
                <c:pt idx="33">
                  <c:v>222.12551910784765</c:v>
                </c:pt>
                <c:pt idx="34">
                  <c:v>228.85659544444908</c:v>
                </c:pt>
                <c:pt idx="35">
                  <c:v>235.58767178105055</c:v>
                </c:pt>
                <c:pt idx="36">
                  <c:v>242.31874811765195</c:v>
                </c:pt>
                <c:pt idx="37">
                  <c:v>249.04982445425338</c:v>
                </c:pt>
                <c:pt idx="38">
                  <c:v>255.78090079085487</c:v>
                </c:pt>
                <c:pt idx="39">
                  <c:v>262.5119771274563</c:v>
                </c:pt>
                <c:pt idx="40">
                  <c:v>269.24305346405771</c:v>
                </c:pt>
                <c:pt idx="41">
                  <c:v>275.97412980065917</c:v>
                </c:pt>
                <c:pt idx="42">
                  <c:v>282.70520613726057</c:v>
                </c:pt>
                <c:pt idx="43">
                  <c:v>289.43628247386204</c:v>
                </c:pt>
                <c:pt idx="44">
                  <c:v>296.16735881046355</c:v>
                </c:pt>
                <c:pt idx="45">
                  <c:v>302.89843514706496</c:v>
                </c:pt>
                <c:pt idx="46">
                  <c:v>309.62951148366642</c:v>
                </c:pt>
                <c:pt idx="47">
                  <c:v>316.36058782026788</c:v>
                </c:pt>
                <c:pt idx="48">
                  <c:v>323.09166415686929</c:v>
                </c:pt>
                <c:pt idx="49">
                  <c:v>329.82274049347075</c:v>
                </c:pt>
                <c:pt idx="50">
                  <c:v>336.55381683007221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7CC-489F-9151-FEC398670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338655"/>
        <c:axId val="2069334079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グラフ!$E$5</c15:sqref>
                        </c15:formulaRef>
                      </c:ext>
                    </c:extLst>
                    <c:strCache>
                      <c:ptCount val="1"/>
                      <c:pt idx="0">
                        <c:v>圧入力min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グラフ!$E$6:$E$56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0.60277889062060708</c:v>
                      </c:pt>
                      <c:pt idx="2">
                        <c:v>1.2055577812412142</c:v>
                      </c:pt>
                      <c:pt idx="3">
                        <c:v>1.8083366718618206</c:v>
                      </c:pt>
                      <c:pt idx="4">
                        <c:v>2.4111155624824283</c:v>
                      </c:pt>
                      <c:pt idx="5">
                        <c:v>3.0138944531030347</c:v>
                      </c:pt>
                      <c:pt idx="6">
                        <c:v>3.6166733437236411</c:v>
                      </c:pt>
                      <c:pt idx="7">
                        <c:v>4.2194522343442493</c:v>
                      </c:pt>
                      <c:pt idx="8">
                        <c:v>4.8222311249648566</c:v>
                      </c:pt>
                      <c:pt idx="9">
                        <c:v>5.425010015585463</c:v>
                      </c:pt>
                      <c:pt idx="10">
                        <c:v>6.0277889062060694</c:v>
                      </c:pt>
                      <c:pt idx="11">
                        <c:v>6.6305677968266767</c:v>
                      </c:pt>
                      <c:pt idx="12">
                        <c:v>7.2333466874472823</c:v>
                      </c:pt>
                      <c:pt idx="13">
                        <c:v>7.8361255780678913</c:v>
                      </c:pt>
                      <c:pt idx="14">
                        <c:v>8.4389044686884986</c:v>
                      </c:pt>
                      <c:pt idx="15">
                        <c:v>9.0416833593091024</c:v>
                      </c:pt>
                      <c:pt idx="16">
                        <c:v>9.6444622499297132</c:v>
                      </c:pt>
                      <c:pt idx="17">
                        <c:v>10.247241140550319</c:v>
                      </c:pt>
                      <c:pt idx="18">
                        <c:v>10.850020031170926</c:v>
                      </c:pt>
                      <c:pt idx="19">
                        <c:v>11.452798921791533</c:v>
                      </c:pt>
                      <c:pt idx="20">
                        <c:v>12.055577812412139</c:v>
                      </c:pt>
                      <c:pt idx="21">
                        <c:v>12.658356703032744</c:v>
                      </c:pt>
                      <c:pt idx="22">
                        <c:v>13.261135593653353</c:v>
                      </c:pt>
                      <c:pt idx="23">
                        <c:v>13.863914484273963</c:v>
                      </c:pt>
                      <c:pt idx="24">
                        <c:v>14.466693374894565</c:v>
                      </c:pt>
                      <c:pt idx="25">
                        <c:v>15.069472265515175</c:v>
                      </c:pt>
                      <c:pt idx="26">
                        <c:v>15.672251156135783</c:v>
                      </c:pt>
                      <c:pt idx="27">
                        <c:v>16.275030046756388</c:v>
                      </c:pt>
                      <c:pt idx="28">
                        <c:v>16.877808937376997</c:v>
                      </c:pt>
                      <c:pt idx="29">
                        <c:v>17.480587827997599</c:v>
                      </c:pt>
                      <c:pt idx="30">
                        <c:v>18.083366718618205</c:v>
                      </c:pt>
                      <c:pt idx="31">
                        <c:v>18.686145609238817</c:v>
                      </c:pt>
                      <c:pt idx="32">
                        <c:v>19.288924499859426</c:v>
                      </c:pt>
                      <c:pt idx="33">
                        <c:v>19.891703390480032</c:v>
                      </c:pt>
                      <c:pt idx="34">
                        <c:v>20.494482281100638</c:v>
                      </c:pt>
                      <c:pt idx="35">
                        <c:v>21.097261171721247</c:v>
                      </c:pt>
                      <c:pt idx="36">
                        <c:v>21.700040062341852</c:v>
                      </c:pt>
                      <c:pt idx="37">
                        <c:v>22.302818952962458</c:v>
                      </c:pt>
                      <c:pt idx="38">
                        <c:v>22.905597843583067</c:v>
                      </c:pt>
                      <c:pt idx="39">
                        <c:v>23.508376734203669</c:v>
                      </c:pt>
                      <c:pt idx="40">
                        <c:v>24.111155624824278</c:v>
                      </c:pt>
                      <c:pt idx="41">
                        <c:v>24.71393451544489</c:v>
                      </c:pt>
                      <c:pt idx="42">
                        <c:v>25.316713406065489</c:v>
                      </c:pt>
                      <c:pt idx="43">
                        <c:v>25.919492296686098</c:v>
                      </c:pt>
                      <c:pt idx="44">
                        <c:v>26.522271187306707</c:v>
                      </c:pt>
                      <c:pt idx="45">
                        <c:v>27.125050077927316</c:v>
                      </c:pt>
                      <c:pt idx="46">
                        <c:v>27.727828968547925</c:v>
                      </c:pt>
                      <c:pt idx="47">
                        <c:v>28.330607859168531</c:v>
                      </c:pt>
                      <c:pt idx="48">
                        <c:v>28.933386749789129</c:v>
                      </c:pt>
                      <c:pt idx="49">
                        <c:v>29.536165640409738</c:v>
                      </c:pt>
                      <c:pt idx="50">
                        <c:v>30.138944531030351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17CC-489F-9151-FEC3986707C7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グラフ!$F$5</c15:sqref>
                        </c15:formulaRef>
                      </c:ext>
                    </c:extLst>
                    <c:strCache>
                      <c:ptCount val="1"/>
                      <c:pt idx="0">
                        <c:v>圧入力nor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グラフ!$F$6:$F$56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0.76978047179033804</c:v>
                      </c:pt>
                      <c:pt idx="2">
                        <c:v>1.5395609435806761</c:v>
                      </c:pt>
                      <c:pt idx="3">
                        <c:v>2.3093414153710143</c:v>
                      </c:pt>
                      <c:pt idx="4">
                        <c:v>3.0791218871613522</c:v>
                      </c:pt>
                      <c:pt idx="5">
                        <c:v>3.8489023589516904</c:v>
                      </c:pt>
                      <c:pt idx="6">
                        <c:v>4.6186828307420287</c:v>
                      </c:pt>
                      <c:pt idx="7">
                        <c:v>5.3884633025323669</c:v>
                      </c:pt>
                      <c:pt idx="8">
                        <c:v>6.1582437743227043</c:v>
                      </c:pt>
                      <c:pt idx="9">
                        <c:v>6.9280242461130435</c:v>
                      </c:pt>
                      <c:pt idx="10">
                        <c:v>7.6978047179033808</c:v>
                      </c:pt>
                      <c:pt idx="11">
                        <c:v>8.46758518969372</c:v>
                      </c:pt>
                      <c:pt idx="12">
                        <c:v>9.2373656614840574</c:v>
                      </c:pt>
                      <c:pt idx="13">
                        <c:v>10.007146133274395</c:v>
                      </c:pt>
                      <c:pt idx="14">
                        <c:v>10.776926605064734</c:v>
                      </c:pt>
                      <c:pt idx="15">
                        <c:v>11.546707076855073</c:v>
                      </c:pt>
                      <c:pt idx="16">
                        <c:v>12.316487548645409</c:v>
                      </c:pt>
                      <c:pt idx="17">
                        <c:v>13.08626802043575</c:v>
                      </c:pt>
                      <c:pt idx="18">
                        <c:v>13.856048492226087</c:v>
                      </c:pt>
                      <c:pt idx="19">
                        <c:v>14.625828964016424</c:v>
                      </c:pt>
                      <c:pt idx="20">
                        <c:v>15.395609435806762</c:v>
                      </c:pt>
                      <c:pt idx="21">
                        <c:v>16.165389907597099</c:v>
                      </c:pt>
                      <c:pt idx="22">
                        <c:v>16.93517037938744</c:v>
                      </c:pt>
                      <c:pt idx="23">
                        <c:v>17.704950851177777</c:v>
                      </c:pt>
                      <c:pt idx="24">
                        <c:v>18.474731322968115</c:v>
                      </c:pt>
                      <c:pt idx="25">
                        <c:v>19.244511794758456</c:v>
                      </c:pt>
                      <c:pt idx="26">
                        <c:v>20.014292266548789</c:v>
                      </c:pt>
                      <c:pt idx="27">
                        <c:v>20.784072738339127</c:v>
                      </c:pt>
                      <c:pt idx="28">
                        <c:v>21.553853210129468</c:v>
                      </c:pt>
                      <c:pt idx="29">
                        <c:v>22.323633681919805</c:v>
                      </c:pt>
                      <c:pt idx="30">
                        <c:v>23.093414153710146</c:v>
                      </c:pt>
                      <c:pt idx="31">
                        <c:v>23.863194625500476</c:v>
                      </c:pt>
                      <c:pt idx="32">
                        <c:v>24.632975097290817</c:v>
                      </c:pt>
                      <c:pt idx="33">
                        <c:v>25.402755569081162</c:v>
                      </c:pt>
                      <c:pt idx="34">
                        <c:v>26.172536040871499</c:v>
                      </c:pt>
                      <c:pt idx="35">
                        <c:v>26.942316512661836</c:v>
                      </c:pt>
                      <c:pt idx="36">
                        <c:v>27.712096984452174</c:v>
                      </c:pt>
                      <c:pt idx="37">
                        <c:v>28.481877456242515</c:v>
                      </c:pt>
                      <c:pt idx="38">
                        <c:v>29.251657928032849</c:v>
                      </c:pt>
                      <c:pt idx="39">
                        <c:v>30.021438399823186</c:v>
                      </c:pt>
                      <c:pt idx="40">
                        <c:v>30.791218871613523</c:v>
                      </c:pt>
                      <c:pt idx="41">
                        <c:v>31.560999343403868</c:v>
                      </c:pt>
                      <c:pt idx="42">
                        <c:v>32.330779815194198</c:v>
                      </c:pt>
                      <c:pt idx="43">
                        <c:v>33.100560286984539</c:v>
                      </c:pt>
                      <c:pt idx="44">
                        <c:v>33.87034075877488</c:v>
                      </c:pt>
                      <c:pt idx="45">
                        <c:v>34.640121230565221</c:v>
                      </c:pt>
                      <c:pt idx="46">
                        <c:v>35.409901702355555</c:v>
                      </c:pt>
                      <c:pt idx="47">
                        <c:v>36.179682174145888</c:v>
                      </c:pt>
                      <c:pt idx="48">
                        <c:v>36.949462645936229</c:v>
                      </c:pt>
                      <c:pt idx="49">
                        <c:v>37.71924311772657</c:v>
                      </c:pt>
                      <c:pt idx="50">
                        <c:v>38.489023589516911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7CC-489F-9151-FEC3986707C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グラフ!$G$5</c15:sqref>
                        </c15:formulaRef>
                      </c:ext>
                    </c:extLst>
                    <c:strCache>
                      <c:ptCount val="1"/>
                      <c:pt idx="0">
                        <c:v>圧入力max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グラフ!$G$6:$G$56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0.9434936592184483</c:v>
                      </c:pt>
                      <c:pt idx="2">
                        <c:v>1.8869873184368966</c:v>
                      </c:pt>
                      <c:pt idx="3">
                        <c:v>2.8304809776553448</c:v>
                      </c:pt>
                      <c:pt idx="4">
                        <c:v>3.7739746368737932</c:v>
                      </c:pt>
                      <c:pt idx="5">
                        <c:v>4.7174682960922416</c:v>
                      </c:pt>
                      <c:pt idx="6">
                        <c:v>5.6609619553106896</c:v>
                      </c:pt>
                      <c:pt idx="7">
                        <c:v>6.6044556145291393</c:v>
                      </c:pt>
                      <c:pt idx="8">
                        <c:v>7.5479492737475864</c:v>
                      </c:pt>
                      <c:pt idx="9">
                        <c:v>8.4914429329660361</c:v>
                      </c:pt>
                      <c:pt idx="10">
                        <c:v>9.4349365921844832</c:v>
                      </c:pt>
                      <c:pt idx="11">
                        <c:v>10.378430251402932</c:v>
                      </c:pt>
                      <c:pt idx="12">
                        <c:v>11.321923910621379</c:v>
                      </c:pt>
                      <c:pt idx="13">
                        <c:v>12.265417569839828</c:v>
                      </c:pt>
                      <c:pt idx="14">
                        <c:v>13.208911229058279</c:v>
                      </c:pt>
                      <c:pt idx="15">
                        <c:v>14.152404888276724</c:v>
                      </c:pt>
                      <c:pt idx="16">
                        <c:v>15.095898547495173</c:v>
                      </c:pt>
                      <c:pt idx="17">
                        <c:v>16.039392206713622</c:v>
                      </c:pt>
                      <c:pt idx="18">
                        <c:v>16.982885865932072</c:v>
                      </c:pt>
                      <c:pt idx="19">
                        <c:v>17.926379525150519</c:v>
                      </c:pt>
                      <c:pt idx="20">
                        <c:v>18.869873184368966</c:v>
                      </c:pt>
                      <c:pt idx="21">
                        <c:v>19.81336684358741</c:v>
                      </c:pt>
                      <c:pt idx="22">
                        <c:v>20.756860502805864</c:v>
                      </c:pt>
                      <c:pt idx="23">
                        <c:v>21.700354162024315</c:v>
                      </c:pt>
                      <c:pt idx="24">
                        <c:v>22.643847821242758</c:v>
                      </c:pt>
                      <c:pt idx="25">
                        <c:v>23.587341480461209</c:v>
                      </c:pt>
                      <c:pt idx="26">
                        <c:v>24.530835139679656</c:v>
                      </c:pt>
                      <c:pt idx="27">
                        <c:v>25.474328798898103</c:v>
                      </c:pt>
                      <c:pt idx="28">
                        <c:v>26.417822458116557</c:v>
                      </c:pt>
                      <c:pt idx="29">
                        <c:v>27.361316117334997</c:v>
                      </c:pt>
                      <c:pt idx="30">
                        <c:v>28.304809776553448</c:v>
                      </c:pt>
                      <c:pt idx="31">
                        <c:v>29.248303435771899</c:v>
                      </c:pt>
                      <c:pt idx="32">
                        <c:v>30.191797094990346</c:v>
                      </c:pt>
                      <c:pt idx="33">
                        <c:v>31.135290754208796</c:v>
                      </c:pt>
                      <c:pt idx="34">
                        <c:v>32.078784413427243</c:v>
                      </c:pt>
                      <c:pt idx="35">
                        <c:v>33.02227807264569</c:v>
                      </c:pt>
                      <c:pt idx="36">
                        <c:v>33.965771731864145</c:v>
                      </c:pt>
                      <c:pt idx="37">
                        <c:v>34.909265391082592</c:v>
                      </c:pt>
                      <c:pt idx="38">
                        <c:v>35.852759050301039</c:v>
                      </c:pt>
                      <c:pt idx="39">
                        <c:v>36.796252709519479</c:v>
                      </c:pt>
                      <c:pt idx="40">
                        <c:v>37.739746368737933</c:v>
                      </c:pt>
                      <c:pt idx="41">
                        <c:v>38.68324002795638</c:v>
                      </c:pt>
                      <c:pt idx="42">
                        <c:v>39.62673368717482</c:v>
                      </c:pt>
                      <c:pt idx="43">
                        <c:v>40.570227346393274</c:v>
                      </c:pt>
                      <c:pt idx="44">
                        <c:v>41.513721005611728</c:v>
                      </c:pt>
                      <c:pt idx="45">
                        <c:v>42.457214664830175</c:v>
                      </c:pt>
                      <c:pt idx="46">
                        <c:v>43.40070832404863</c:v>
                      </c:pt>
                      <c:pt idx="47">
                        <c:v>44.34420198326707</c:v>
                      </c:pt>
                      <c:pt idx="48">
                        <c:v>45.287695642485517</c:v>
                      </c:pt>
                      <c:pt idx="49">
                        <c:v>46.231189301703964</c:v>
                      </c:pt>
                      <c:pt idx="50">
                        <c:v>47.174682960922418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7CC-489F-9151-FEC3986707C7}"/>
                  </c:ext>
                </c:extLst>
              </c15:ser>
            </c15:filteredScatterSeries>
          </c:ext>
        </c:extLst>
      </c:scatterChart>
      <c:valAx>
        <c:axId val="2069338655"/>
        <c:scaling>
          <c:orientation val="minMax"/>
          <c:max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グラフ!$A$4</c:f>
              <c:strCache>
                <c:ptCount val="1"/>
                <c:pt idx="0">
                  <c:v>締め代[mm]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69334079"/>
        <c:crosses val="autoZero"/>
        <c:crossBetween val="midCat"/>
      </c:valAx>
      <c:valAx>
        <c:axId val="2069334079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応力</a:t>
                </a:r>
                <a:r>
                  <a:rPr lang="en-US" altLang="ja-JP"/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69338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締め代</a:t>
            </a:r>
            <a:r>
              <a:rPr lang="en-US" altLang="ja-JP"/>
              <a:t>vs</a:t>
            </a:r>
            <a:r>
              <a:rPr lang="ja-JP" altLang="en-US"/>
              <a:t>応力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6"/>
          <c:tx>
            <c:strRef>
              <c:f>グラフ!$H$5</c:f>
              <c:strCache>
                <c:ptCount val="1"/>
                <c:pt idx="0">
                  <c:v>降伏点inner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グラフ!$H$6:$H$56</c:f>
              <c:numCache>
                <c:formatCode>0.0</c:formatCode>
                <c:ptCount val="51"/>
                <c:pt idx="0">
                  <c:v>345</c:v>
                </c:pt>
                <c:pt idx="1">
                  <c:v>345</c:v>
                </c:pt>
                <c:pt idx="2">
                  <c:v>345</c:v>
                </c:pt>
                <c:pt idx="3">
                  <c:v>345</c:v>
                </c:pt>
                <c:pt idx="4">
                  <c:v>345</c:v>
                </c:pt>
                <c:pt idx="5">
                  <c:v>345</c:v>
                </c:pt>
                <c:pt idx="6">
                  <c:v>345</c:v>
                </c:pt>
                <c:pt idx="7">
                  <c:v>345</c:v>
                </c:pt>
                <c:pt idx="8">
                  <c:v>345</c:v>
                </c:pt>
                <c:pt idx="9">
                  <c:v>345</c:v>
                </c:pt>
                <c:pt idx="10">
                  <c:v>345</c:v>
                </c:pt>
                <c:pt idx="11">
                  <c:v>345</c:v>
                </c:pt>
                <c:pt idx="12">
                  <c:v>345</c:v>
                </c:pt>
                <c:pt idx="13">
                  <c:v>345</c:v>
                </c:pt>
                <c:pt idx="14">
                  <c:v>345</c:v>
                </c:pt>
                <c:pt idx="15">
                  <c:v>345</c:v>
                </c:pt>
                <c:pt idx="16">
                  <c:v>345</c:v>
                </c:pt>
                <c:pt idx="17">
                  <c:v>345</c:v>
                </c:pt>
                <c:pt idx="18">
                  <c:v>345</c:v>
                </c:pt>
                <c:pt idx="19">
                  <c:v>345</c:v>
                </c:pt>
                <c:pt idx="20">
                  <c:v>345</c:v>
                </c:pt>
                <c:pt idx="21">
                  <c:v>345</c:v>
                </c:pt>
                <c:pt idx="22">
                  <c:v>345</c:v>
                </c:pt>
                <c:pt idx="23">
                  <c:v>345</c:v>
                </c:pt>
                <c:pt idx="24">
                  <c:v>345</c:v>
                </c:pt>
                <c:pt idx="25">
                  <c:v>345</c:v>
                </c:pt>
                <c:pt idx="26">
                  <c:v>345</c:v>
                </c:pt>
                <c:pt idx="27">
                  <c:v>345</c:v>
                </c:pt>
                <c:pt idx="28">
                  <c:v>345</c:v>
                </c:pt>
                <c:pt idx="29">
                  <c:v>345</c:v>
                </c:pt>
                <c:pt idx="30">
                  <c:v>345</c:v>
                </c:pt>
                <c:pt idx="31">
                  <c:v>345</c:v>
                </c:pt>
                <c:pt idx="32">
                  <c:v>345</c:v>
                </c:pt>
                <c:pt idx="33">
                  <c:v>345</c:v>
                </c:pt>
                <c:pt idx="34">
                  <c:v>345</c:v>
                </c:pt>
                <c:pt idx="35">
                  <c:v>345</c:v>
                </c:pt>
                <c:pt idx="36">
                  <c:v>345</c:v>
                </c:pt>
                <c:pt idx="37">
                  <c:v>345</c:v>
                </c:pt>
                <c:pt idx="38">
                  <c:v>345</c:v>
                </c:pt>
                <c:pt idx="39">
                  <c:v>345</c:v>
                </c:pt>
                <c:pt idx="40">
                  <c:v>345</c:v>
                </c:pt>
                <c:pt idx="41">
                  <c:v>345</c:v>
                </c:pt>
                <c:pt idx="42">
                  <c:v>345</c:v>
                </c:pt>
                <c:pt idx="43">
                  <c:v>345</c:v>
                </c:pt>
                <c:pt idx="44">
                  <c:v>345</c:v>
                </c:pt>
                <c:pt idx="45">
                  <c:v>345</c:v>
                </c:pt>
                <c:pt idx="46">
                  <c:v>345</c:v>
                </c:pt>
                <c:pt idx="47">
                  <c:v>345</c:v>
                </c:pt>
                <c:pt idx="48">
                  <c:v>345</c:v>
                </c:pt>
                <c:pt idx="49">
                  <c:v>345</c:v>
                </c:pt>
                <c:pt idx="50">
                  <c:v>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2C-439D-9973-034B0ACAB3FF}"/>
            </c:ext>
          </c:extLst>
        </c:ser>
        <c:ser>
          <c:idx val="0"/>
          <c:order val="0"/>
          <c:tx>
            <c:strRef>
              <c:f>グラフ!$B$5</c:f>
              <c:strCache>
                <c:ptCount val="1"/>
                <c:pt idx="0">
                  <c:v>半径方向応力min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グラフ!$B$6:$B$56</c:f>
              <c:numCache>
                <c:formatCode>0.0</c:formatCode>
                <c:ptCount val="51"/>
                <c:pt idx="0">
                  <c:v>0</c:v>
                </c:pt>
                <c:pt idx="1">
                  <c:v>3.4598865694423666</c:v>
                </c:pt>
                <c:pt idx="2">
                  <c:v>6.9197731388847332</c:v>
                </c:pt>
                <c:pt idx="3">
                  <c:v>10.379659708327098</c:v>
                </c:pt>
                <c:pt idx="4">
                  <c:v>13.839546277769466</c:v>
                </c:pt>
                <c:pt idx="5">
                  <c:v>17.299432847211833</c:v>
                </c:pt>
                <c:pt idx="6">
                  <c:v>20.759319416654197</c:v>
                </c:pt>
                <c:pt idx="7">
                  <c:v>24.219205986096568</c:v>
                </c:pt>
                <c:pt idx="8">
                  <c:v>27.679092555538933</c:v>
                </c:pt>
                <c:pt idx="9">
                  <c:v>31.138979124981301</c:v>
                </c:pt>
                <c:pt idx="10">
                  <c:v>34.598865694423665</c:v>
                </c:pt>
                <c:pt idx="11">
                  <c:v>38.058752263866033</c:v>
                </c:pt>
                <c:pt idx="12">
                  <c:v>41.518638833308394</c:v>
                </c:pt>
                <c:pt idx="13">
                  <c:v>44.978525402750769</c:v>
                </c:pt>
                <c:pt idx="14">
                  <c:v>48.438411972193137</c:v>
                </c:pt>
                <c:pt idx="15">
                  <c:v>51.898298541635498</c:v>
                </c:pt>
                <c:pt idx="16">
                  <c:v>55.358185111077866</c:v>
                </c:pt>
                <c:pt idx="17">
                  <c:v>58.818071680520234</c:v>
                </c:pt>
                <c:pt idx="18">
                  <c:v>62.277958249962602</c:v>
                </c:pt>
                <c:pt idx="19">
                  <c:v>65.73784481940497</c:v>
                </c:pt>
                <c:pt idx="20">
                  <c:v>69.19773138884733</c:v>
                </c:pt>
                <c:pt idx="21">
                  <c:v>72.657617958289691</c:v>
                </c:pt>
                <c:pt idx="22">
                  <c:v>76.117504527732066</c:v>
                </c:pt>
                <c:pt idx="23">
                  <c:v>79.577391097174441</c:v>
                </c:pt>
                <c:pt idx="24">
                  <c:v>83.037277666616788</c:v>
                </c:pt>
                <c:pt idx="25">
                  <c:v>86.497164236059163</c:v>
                </c:pt>
                <c:pt idx="26">
                  <c:v>89.957050805501538</c:v>
                </c:pt>
                <c:pt idx="27">
                  <c:v>93.416937374943899</c:v>
                </c:pt>
                <c:pt idx="28">
                  <c:v>96.876823944386274</c:v>
                </c:pt>
                <c:pt idx="29">
                  <c:v>100.33671051382862</c:v>
                </c:pt>
                <c:pt idx="30">
                  <c:v>103.796597083271</c:v>
                </c:pt>
                <c:pt idx="31">
                  <c:v>107.25648365271336</c:v>
                </c:pt>
                <c:pt idx="32">
                  <c:v>110.71637022215573</c:v>
                </c:pt>
                <c:pt idx="33">
                  <c:v>114.17625679159811</c:v>
                </c:pt>
                <c:pt idx="34">
                  <c:v>117.63614336104047</c:v>
                </c:pt>
                <c:pt idx="35">
                  <c:v>121.09602993048284</c:v>
                </c:pt>
                <c:pt idx="36">
                  <c:v>124.5559164999252</c:v>
                </c:pt>
                <c:pt idx="37">
                  <c:v>128.01580306936756</c:v>
                </c:pt>
                <c:pt idx="38">
                  <c:v>131.47568963880994</c:v>
                </c:pt>
                <c:pt idx="39">
                  <c:v>134.93557620825229</c:v>
                </c:pt>
                <c:pt idx="40">
                  <c:v>138.39546277769466</c:v>
                </c:pt>
                <c:pt idx="41">
                  <c:v>141.85534934713704</c:v>
                </c:pt>
                <c:pt idx="42">
                  <c:v>145.31523591657938</c:v>
                </c:pt>
                <c:pt idx="43">
                  <c:v>148.77512248602176</c:v>
                </c:pt>
                <c:pt idx="44">
                  <c:v>152.23500905546413</c:v>
                </c:pt>
                <c:pt idx="45">
                  <c:v>155.69489562490651</c:v>
                </c:pt>
                <c:pt idx="46">
                  <c:v>159.15478219434888</c:v>
                </c:pt>
                <c:pt idx="47">
                  <c:v>162.61466876379123</c:v>
                </c:pt>
                <c:pt idx="48">
                  <c:v>166.07455533323358</c:v>
                </c:pt>
                <c:pt idx="49">
                  <c:v>169.53444190267595</c:v>
                </c:pt>
                <c:pt idx="50">
                  <c:v>172.99432847211833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2C-439D-9973-034B0ACAB3FF}"/>
            </c:ext>
          </c:extLst>
        </c:ser>
        <c:ser>
          <c:idx val="1"/>
          <c:order val="1"/>
          <c:tx>
            <c:strRef>
              <c:f>グラフ!$C$5</c:f>
              <c:strCache>
                <c:ptCount val="1"/>
                <c:pt idx="0">
                  <c:v>半径方向応力nor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グラフ!$C$6:$C$56</c:f>
              <c:numCache>
                <c:formatCode>0.0</c:formatCode>
                <c:ptCount val="51"/>
                <c:pt idx="0">
                  <c:v>0</c:v>
                </c:pt>
                <c:pt idx="1">
                  <c:v>3.5035590732134589</c:v>
                </c:pt>
                <c:pt idx="2">
                  <c:v>7.0071181464269179</c:v>
                </c:pt>
                <c:pt idx="3">
                  <c:v>10.510677219640376</c:v>
                </c:pt>
                <c:pt idx="4">
                  <c:v>14.014236292853836</c:v>
                </c:pt>
                <c:pt idx="5">
                  <c:v>17.517795366067293</c:v>
                </c:pt>
                <c:pt idx="6">
                  <c:v>21.021354439280753</c:v>
                </c:pt>
                <c:pt idx="7">
                  <c:v>24.524913512494212</c:v>
                </c:pt>
                <c:pt idx="8">
                  <c:v>28.028472585707672</c:v>
                </c:pt>
                <c:pt idx="9">
                  <c:v>31.532031658921131</c:v>
                </c:pt>
                <c:pt idx="10">
                  <c:v>35.035590732134587</c:v>
                </c:pt>
                <c:pt idx="11">
                  <c:v>38.539149805348046</c:v>
                </c:pt>
                <c:pt idx="12">
                  <c:v>42.042708878561506</c:v>
                </c:pt>
                <c:pt idx="13">
                  <c:v>45.546267951774972</c:v>
                </c:pt>
                <c:pt idx="14">
                  <c:v>49.049827024988424</c:v>
                </c:pt>
                <c:pt idx="15">
                  <c:v>52.553386098201877</c:v>
                </c:pt>
                <c:pt idx="16">
                  <c:v>56.056945171415343</c:v>
                </c:pt>
                <c:pt idx="17">
                  <c:v>59.560504244628802</c:v>
                </c:pt>
                <c:pt idx="18">
                  <c:v>63.064063317842262</c:v>
                </c:pt>
                <c:pt idx="19">
                  <c:v>66.567622391055721</c:v>
                </c:pt>
                <c:pt idx="20">
                  <c:v>70.071181464269173</c:v>
                </c:pt>
                <c:pt idx="21">
                  <c:v>73.574740537482626</c:v>
                </c:pt>
                <c:pt idx="22">
                  <c:v>77.078299610696092</c:v>
                </c:pt>
                <c:pt idx="23">
                  <c:v>80.581858683909559</c:v>
                </c:pt>
                <c:pt idx="24">
                  <c:v>84.085417757123011</c:v>
                </c:pt>
                <c:pt idx="25">
                  <c:v>87.588976830336478</c:v>
                </c:pt>
                <c:pt idx="26">
                  <c:v>91.092535903549944</c:v>
                </c:pt>
                <c:pt idx="27">
                  <c:v>94.596094976763382</c:v>
                </c:pt>
                <c:pt idx="28">
                  <c:v>98.099654049976849</c:v>
                </c:pt>
                <c:pt idx="29">
                  <c:v>101.60321312319029</c:v>
                </c:pt>
                <c:pt idx="30">
                  <c:v>105.10677219640375</c:v>
                </c:pt>
                <c:pt idx="31">
                  <c:v>108.61033126961722</c:v>
                </c:pt>
                <c:pt idx="32">
                  <c:v>112.11389034283069</c:v>
                </c:pt>
                <c:pt idx="33">
                  <c:v>115.61744941604415</c:v>
                </c:pt>
                <c:pt idx="34">
                  <c:v>119.1210084892576</c:v>
                </c:pt>
                <c:pt idx="35">
                  <c:v>122.62456756247107</c:v>
                </c:pt>
                <c:pt idx="36">
                  <c:v>126.12812663568452</c:v>
                </c:pt>
                <c:pt idx="37">
                  <c:v>129.63168570889798</c:v>
                </c:pt>
                <c:pt idx="38">
                  <c:v>133.13524478211144</c:v>
                </c:pt>
                <c:pt idx="39">
                  <c:v>136.63880385532488</c:v>
                </c:pt>
                <c:pt idx="40">
                  <c:v>140.14236292853835</c:v>
                </c:pt>
                <c:pt idx="41">
                  <c:v>143.64592200175181</c:v>
                </c:pt>
                <c:pt idx="42">
                  <c:v>147.14948107496525</c:v>
                </c:pt>
                <c:pt idx="43">
                  <c:v>150.65304014817872</c:v>
                </c:pt>
                <c:pt idx="44">
                  <c:v>154.15659922139218</c:v>
                </c:pt>
                <c:pt idx="45">
                  <c:v>157.66015829460565</c:v>
                </c:pt>
                <c:pt idx="46">
                  <c:v>161.16371736781912</c:v>
                </c:pt>
                <c:pt idx="47">
                  <c:v>164.66727644103258</c:v>
                </c:pt>
                <c:pt idx="48">
                  <c:v>168.17083551424602</c:v>
                </c:pt>
                <c:pt idx="49">
                  <c:v>171.67439458745949</c:v>
                </c:pt>
                <c:pt idx="50">
                  <c:v>175.17795366067296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2C-439D-9973-034B0ACAB3FF}"/>
            </c:ext>
          </c:extLst>
        </c:ser>
        <c:ser>
          <c:idx val="2"/>
          <c:order val="2"/>
          <c:tx>
            <c:strRef>
              <c:f>グラフ!$D$5</c:f>
              <c:strCache>
                <c:ptCount val="1"/>
                <c:pt idx="0">
                  <c:v>半径方向応力max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グラフ!$D$6:$D$56</c:f>
              <c:numCache>
                <c:formatCode>0.0</c:formatCode>
                <c:ptCount val="51"/>
                <c:pt idx="0">
                  <c:v>0</c:v>
                </c:pt>
                <c:pt idx="1">
                  <c:v>3.5470610725018776</c:v>
                </c:pt>
                <c:pt idx="2">
                  <c:v>7.0941221450037553</c:v>
                </c:pt>
                <c:pt idx="3">
                  <c:v>10.641183217505631</c:v>
                </c:pt>
                <c:pt idx="4">
                  <c:v>14.188244290007511</c:v>
                </c:pt>
                <c:pt idx="5">
                  <c:v>17.735305362509386</c:v>
                </c:pt>
                <c:pt idx="6">
                  <c:v>21.282366435011262</c:v>
                </c:pt>
                <c:pt idx="7">
                  <c:v>24.829427507513145</c:v>
                </c:pt>
                <c:pt idx="8">
                  <c:v>28.376488580015021</c:v>
                </c:pt>
                <c:pt idx="9">
                  <c:v>31.923549652516897</c:v>
                </c:pt>
                <c:pt idx="10">
                  <c:v>35.470610725018773</c:v>
                </c:pt>
                <c:pt idx="11">
                  <c:v>39.017671797520649</c:v>
                </c:pt>
                <c:pt idx="12">
                  <c:v>42.564732870022524</c:v>
                </c:pt>
                <c:pt idx="13">
                  <c:v>46.111793942524407</c:v>
                </c:pt>
                <c:pt idx="14">
                  <c:v>49.65885501502629</c:v>
                </c:pt>
                <c:pt idx="15">
                  <c:v>53.205916087528159</c:v>
                </c:pt>
                <c:pt idx="16">
                  <c:v>56.752977160030042</c:v>
                </c:pt>
                <c:pt idx="17">
                  <c:v>60.300038232531918</c:v>
                </c:pt>
                <c:pt idx="18">
                  <c:v>63.847099305033794</c:v>
                </c:pt>
                <c:pt idx="19">
                  <c:v>67.394160377535684</c:v>
                </c:pt>
                <c:pt idx="20">
                  <c:v>70.941221450037546</c:v>
                </c:pt>
                <c:pt idx="21">
                  <c:v>74.488282522539421</c:v>
                </c:pt>
                <c:pt idx="22">
                  <c:v>78.035343595041297</c:v>
                </c:pt>
                <c:pt idx="23">
                  <c:v>81.582404667543187</c:v>
                </c:pt>
                <c:pt idx="24">
                  <c:v>85.129465740045049</c:v>
                </c:pt>
                <c:pt idx="25">
                  <c:v>88.676526812546939</c:v>
                </c:pt>
                <c:pt idx="26">
                  <c:v>92.223587885048815</c:v>
                </c:pt>
                <c:pt idx="27">
                  <c:v>95.770648957550691</c:v>
                </c:pt>
                <c:pt idx="28">
                  <c:v>99.317710030052581</c:v>
                </c:pt>
                <c:pt idx="29">
                  <c:v>102.86477110255443</c:v>
                </c:pt>
                <c:pt idx="30">
                  <c:v>106.41183217505632</c:v>
                </c:pt>
                <c:pt idx="31">
                  <c:v>109.95889324755819</c:v>
                </c:pt>
                <c:pt idx="32">
                  <c:v>113.50595432006008</c:v>
                </c:pt>
                <c:pt idx="33">
                  <c:v>117.05301539256196</c:v>
                </c:pt>
                <c:pt idx="34">
                  <c:v>120.60007646506384</c:v>
                </c:pt>
                <c:pt idx="35">
                  <c:v>124.14713753756571</c:v>
                </c:pt>
                <c:pt idx="36">
                  <c:v>127.69419861006759</c:v>
                </c:pt>
                <c:pt idx="37">
                  <c:v>131.24125968256948</c:v>
                </c:pt>
                <c:pt idx="38">
                  <c:v>134.78832075507137</c:v>
                </c:pt>
                <c:pt idx="39">
                  <c:v>138.3353818275732</c:v>
                </c:pt>
                <c:pt idx="40">
                  <c:v>141.88244290007509</c:v>
                </c:pt>
                <c:pt idx="41">
                  <c:v>145.42950397257698</c:v>
                </c:pt>
                <c:pt idx="42">
                  <c:v>148.97656504507884</c:v>
                </c:pt>
                <c:pt idx="43">
                  <c:v>152.5236261175807</c:v>
                </c:pt>
                <c:pt idx="44">
                  <c:v>156.07068719008259</c:v>
                </c:pt>
                <c:pt idx="45">
                  <c:v>159.61774826258448</c:v>
                </c:pt>
                <c:pt idx="46">
                  <c:v>163.16480933508637</c:v>
                </c:pt>
                <c:pt idx="47">
                  <c:v>166.71187040758826</c:v>
                </c:pt>
                <c:pt idx="48">
                  <c:v>170.2589314800901</c:v>
                </c:pt>
                <c:pt idx="49">
                  <c:v>173.80599255259199</c:v>
                </c:pt>
                <c:pt idx="50">
                  <c:v>177.35305362509388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2C-439D-9973-034B0ACAB3FF}"/>
            </c:ext>
          </c:extLst>
        </c:ser>
        <c:ser>
          <c:idx val="7"/>
          <c:order val="7"/>
          <c:tx>
            <c:strRef>
              <c:f>グラフ!$I$5</c:f>
              <c:strCache>
                <c:ptCount val="1"/>
                <c:pt idx="0">
                  <c:v>降伏点outer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グラフ!$I$6:$I$56</c:f>
              <c:numCache>
                <c:formatCode>0.0</c:formatCode>
                <c:ptCount val="5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150</c:v>
                </c:pt>
                <c:pt idx="22">
                  <c:v>150</c:v>
                </c:pt>
                <c:pt idx="23">
                  <c:v>150</c:v>
                </c:pt>
                <c:pt idx="24">
                  <c:v>150</c:v>
                </c:pt>
                <c:pt idx="25">
                  <c:v>150</c:v>
                </c:pt>
                <c:pt idx="26">
                  <c:v>150</c:v>
                </c:pt>
                <c:pt idx="27">
                  <c:v>150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62C-439D-9973-034B0ACAB3FF}"/>
            </c:ext>
          </c:extLst>
        </c:ser>
        <c:ser>
          <c:idx val="8"/>
          <c:order val="8"/>
          <c:tx>
            <c:strRef>
              <c:f>グラフ!$J$5</c:f>
              <c:strCache>
                <c:ptCount val="1"/>
                <c:pt idx="0">
                  <c:v>円周方向応力inner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グラフ!$J$6:$J$56</c:f>
              <c:numCache>
                <c:formatCode>0.0</c:formatCode>
                <c:ptCount val="51"/>
                <c:pt idx="0">
                  <c:v>0</c:v>
                </c:pt>
                <c:pt idx="1">
                  <c:v>17.730735438303412</c:v>
                </c:pt>
                <c:pt idx="2">
                  <c:v>35.461470876606825</c:v>
                </c:pt>
                <c:pt idx="3">
                  <c:v>53.192206314910223</c:v>
                </c:pt>
                <c:pt idx="4">
                  <c:v>70.922941753213649</c:v>
                </c:pt>
                <c:pt idx="5">
                  <c:v>88.653677191517048</c:v>
                </c:pt>
                <c:pt idx="6">
                  <c:v>106.38441262982045</c:v>
                </c:pt>
                <c:pt idx="7">
                  <c:v>124.11514806812387</c:v>
                </c:pt>
                <c:pt idx="8">
                  <c:v>141.8458835064273</c:v>
                </c:pt>
                <c:pt idx="9">
                  <c:v>159.57661894473071</c:v>
                </c:pt>
                <c:pt idx="10">
                  <c:v>177.3073543830341</c:v>
                </c:pt>
                <c:pt idx="11">
                  <c:v>195.03808982133751</c:v>
                </c:pt>
                <c:pt idx="12">
                  <c:v>212.76882525964089</c:v>
                </c:pt>
                <c:pt idx="13">
                  <c:v>230.49956069794436</c:v>
                </c:pt>
                <c:pt idx="14">
                  <c:v>248.23029613624774</c:v>
                </c:pt>
                <c:pt idx="15">
                  <c:v>265.96103157455116</c:v>
                </c:pt>
                <c:pt idx="16">
                  <c:v>283.6917670128546</c:v>
                </c:pt>
                <c:pt idx="17">
                  <c:v>301.42250245115798</c:v>
                </c:pt>
                <c:pt idx="18">
                  <c:v>319.15323788946142</c:v>
                </c:pt>
                <c:pt idx="19">
                  <c:v>336.88397332776481</c:v>
                </c:pt>
                <c:pt idx="20">
                  <c:v>354.61470876606819</c:v>
                </c:pt>
                <c:pt idx="21">
                  <c:v>372.34544420437152</c:v>
                </c:pt>
                <c:pt idx="22">
                  <c:v>390.07617964267502</c:v>
                </c:pt>
                <c:pt idx="23">
                  <c:v>407.80691508097846</c:v>
                </c:pt>
                <c:pt idx="24">
                  <c:v>425.53765051928178</c:v>
                </c:pt>
                <c:pt idx="25">
                  <c:v>443.26838595758528</c:v>
                </c:pt>
                <c:pt idx="26">
                  <c:v>460.99912139588872</c:v>
                </c:pt>
                <c:pt idx="27">
                  <c:v>478.72985683419205</c:v>
                </c:pt>
                <c:pt idx="28">
                  <c:v>496.46059227249549</c:v>
                </c:pt>
                <c:pt idx="29">
                  <c:v>514.19132771079876</c:v>
                </c:pt>
                <c:pt idx="30">
                  <c:v>531.92206314910231</c:v>
                </c:pt>
                <c:pt idx="31">
                  <c:v>549.65279858740564</c:v>
                </c:pt>
                <c:pt idx="32">
                  <c:v>567.3835340257092</c:v>
                </c:pt>
                <c:pt idx="33">
                  <c:v>585.11426946401264</c:v>
                </c:pt>
                <c:pt idx="34">
                  <c:v>602.84500490231596</c:v>
                </c:pt>
                <c:pt idx="35">
                  <c:v>620.5757403406194</c:v>
                </c:pt>
                <c:pt idx="36">
                  <c:v>638.30647577892285</c:v>
                </c:pt>
                <c:pt idx="37">
                  <c:v>656.03721121722617</c:v>
                </c:pt>
                <c:pt idx="38">
                  <c:v>673.76794665552961</c:v>
                </c:pt>
                <c:pt idx="39">
                  <c:v>691.49868209383283</c:v>
                </c:pt>
                <c:pt idx="40">
                  <c:v>709.22941753213638</c:v>
                </c:pt>
                <c:pt idx="41">
                  <c:v>726.96015297043982</c:v>
                </c:pt>
                <c:pt idx="42">
                  <c:v>744.69088840874304</c:v>
                </c:pt>
                <c:pt idx="43">
                  <c:v>762.42162384704659</c:v>
                </c:pt>
                <c:pt idx="44">
                  <c:v>780.15235928535003</c:v>
                </c:pt>
                <c:pt idx="45">
                  <c:v>797.88309472365336</c:v>
                </c:pt>
                <c:pt idx="46">
                  <c:v>815.61383016195691</c:v>
                </c:pt>
                <c:pt idx="47">
                  <c:v>833.34456560026035</c:v>
                </c:pt>
                <c:pt idx="48">
                  <c:v>851.07530103856357</c:v>
                </c:pt>
                <c:pt idx="49">
                  <c:v>868.80603647686712</c:v>
                </c:pt>
                <c:pt idx="50">
                  <c:v>886.53677191517056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62C-439D-9973-034B0ACAB3FF}"/>
            </c:ext>
          </c:extLst>
        </c:ser>
        <c:ser>
          <c:idx val="9"/>
          <c:order val="9"/>
          <c:tx>
            <c:strRef>
              <c:f>グラフ!$K$5</c:f>
              <c:strCache>
                <c:ptCount val="1"/>
                <c:pt idx="0">
                  <c:v>円周方向応力outer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グラフ!$K$6:$K$56</c:f>
              <c:numCache>
                <c:formatCode>0.0</c:formatCode>
                <c:ptCount val="51"/>
                <c:pt idx="0">
                  <c:v>0</c:v>
                </c:pt>
                <c:pt idx="1">
                  <c:v>6.7310763366014434</c:v>
                </c:pt>
                <c:pt idx="2">
                  <c:v>13.462152673202887</c:v>
                </c:pt>
                <c:pt idx="3">
                  <c:v>20.19322900980433</c:v>
                </c:pt>
                <c:pt idx="4">
                  <c:v>26.924305346405774</c:v>
                </c:pt>
                <c:pt idx="5">
                  <c:v>33.655381683007214</c:v>
                </c:pt>
                <c:pt idx="6">
                  <c:v>40.386458019608661</c:v>
                </c:pt>
                <c:pt idx="7">
                  <c:v>47.117534356210101</c:v>
                </c:pt>
                <c:pt idx="8">
                  <c:v>53.848610692811548</c:v>
                </c:pt>
                <c:pt idx="9">
                  <c:v>60.579687029412987</c:v>
                </c:pt>
                <c:pt idx="10">
                  <c:v>67.310763366014427</c:v>
                </c:pt>
                <c:pt idx="11">
                  <c:v>74.041839702615889</c:v>
                </c:pt>
                <c:pt idx="12">
                  <c:v>80.772916039217321</c:v>
                </c:pt>
                <c:pt idx="13">
                  <c:v>87.503992375818783</c:v>
                </c:pt>
                <c:pt idx="14">
                  <c:v>94.235068712420201</c:v>
                </c:pt>
                <c:pt idx="15">
                  <c:v>100.96614504902165</c:v>
                </c:pt>
                <c:pt idx="16">
                  <c:v>107.6972213856231</c:v>
                </c:pt>
                <c:pt idx="17">
                  <c:v>114.42829772222454</c:v>
                </c:pt>
                <c:pt idx="18">
                  <c:v>121.15937405882597</c:v>
                </c:pt>
                <c:pt idx="19">
                  <c:v>127.89045039542744</c:v>
                </c:pt>
                <c:pt idx="20">
                  <c:v>134.62152673202885</c:v>
                </c:pt>
                <c:pt idx="21">
                  <c:v>141.35260306863029</c:v>
                </c:pt>
                <c:pt idx="22">
                  <c:v>148.08367940523178</c:v>
                </c:pt>
                <c:pt idx="23">
                  <c:v>154.81475574183321</c:v>
                </c:pt>
                <c:pt idx="24">
                  <c:v>161.54583207843464</c:v>
                </c:pt>
                <c:pt idx="25">
                  <c:v>168.2769084150361</c:v>
                </c:pt>
                <c:pt idx="26">
                  <c:v>175.00798475163757</c:v>
                </c:pt>
                <c:pt idx="27">
                  <c:v>181.73906108823894</c:v>
                </c:pt>
                <c:pt idx="28">
                  <c:v>188.4701374248404</c:v>
                </c:pt>
                <c:pt idx="29">
                  <c:v>195.20121376144184</c:v>
                </c:pt>
                <c:pt idx="30">
                  <c:v>201.9322900980433</c:v>
                </c:pt>
                <c:pt idx="31">
                  <c:v>208.66336643464473</c:v>
                </c:pt>
                <c:pt idx="32">
                  <c:v>215.39444277124619</c:v>
                </c:pt>
                <c:pt idx="33">
                  <c:v>222.12551910784765</c:v>
                </c:pt>
                <c:pt idx="34">
                  <c:v>228.85659544444908</c:v>
                </c:pt>
                <c:pt idx="35">
                  <c:v>235.58767178105055</c:v>
                </c:pt>
                <c:pt idx="36">
                  <c:v>242.31874811765195</c:v>
                </c:pt>
                <c:pt idx="37">
                  <c:v>249.04982445425338</c:v>
                </c:pt>
                <c:pt idx="38">
                  <c:v>255.78090079085487</c:v>
                </c:pt>
                <c:pt idx="39">
                  <c:v>262.5119771274563</c:v>
                </c:pt>
                <c:pt idx="40">
                  <c:v>269.24305346405771</c:v>
                </c:pt>
                <c:pt idx="41">
                  <c:v>275.97412980065917</c:v>
                </c:pt>
                <c:pt idx="42">
                  <c:v>282.70520613726057</c:v>
                </c:pt>
                <c:pt idx="43">
                  <c:v>289.43628247386204</c:v>
                </c:pt>
                <c:pt idx="44">
                  <c:v>296.16735881046355</c:v>
                </c:pt>
                <c:pt idx="45">
                  <c:v>302.89843514706496</c:v>
                </c:pt>
                <c:pt idx="46">
                  <c:v>309.62951148366642</c:v>
                </c:pt>
                <c:pt idx="47">
                  <c:v>316.36058782026788</c:v>
                </c:pt>
                <c:pt idx="48">
                  <c:v>323.09166415686929</c:v>
                </c:pt>
                <c:pt idx="49">
                  <c:v>329.82274049347075</c:v>
                </c:pt>
                <c:pt idx="50">
                  <c:v>336.55381683007221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62C-439D-9973-034B0ACAB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338655"/>
        <c:axId val="2069334079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グラフ!$E$5</c15:sqref>
                        </c15:formulaRef>
                      </c:ext>
                    </c:extLst>
                    <c:strCache>
                      <c:ptCount val="1"/>
                      <c:pt idx="0">
                        <c:v>圧入力min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グラフ!$E$6:$E$56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0.60277889062060708</c:v>
                      </c:pt>
                      <c:pt idx="2">
                        <c:v>1.2055577812412142</c:v>
                      </c:pt>
                      <c:pt idx="3">
                        <c:v>1.8083366718618206</c:v>
                      </c:pt>
                      <c:pt idx="4">
                        <c:v>2.4111155624824283</c:v>
                      </c:pt>
                      <c:pt idx="5">
                        <c:v>3.0138944531030347</c:v>
                      </c:pt>
                      <c:pt idx="6">
                        <c:v>3.6166733437236411</c:v>
                      </c:pt>
                      <c:pt idx="7">
                        <c:v>4.2194522343442493</c:v>
                      </c:pt>
                      <c:pt idx="8">
                        <c:v>4.8222311249648566</c:v>
                      </c:pt>
                      <c:pt idx="9">
                        <c:v>5.425010015585463</c:v>
                      </c:pt>
                      <c:pt idx="10">
                        <c:v>6.0277889062060694</c:v>
                      </c:pt>
                      <c:pt idx="11">
                        <c:v>6.6305677968266767</c:v>
                      </c:pt>
                      <c:pt idx="12">
                        <c:v>7.2333466874472823</c:v>
                      </c:pt>
                      <c:pt idx="13">
                        <c:v>7.8361255780678913</c:v>
                      </c:pt>
                      <c:pt idx="14">
                        <c:v>8.4389044686884986</c:v>
                      </c:pt>
                      <c:pt idx="15">
                        <c:v>9.0416833593091024</c:v>
                      </c:pt>
                      <c:pt idx="16">
                        <c:v>9.6444622499297132</c:v>
                      </c:pt>
                      <c:pt idx="17">
                        <c:v>10.247241140550319</c:v>
                      </c:pt>
                      <c:pt idx="18">
                        <c:v>10.850020031170926</c:v>
                      </c:pt>
                      <c:pt idx="19">
                        <c:v>11.452798921791533</c:v>
                      </c:pt>
                      <c:pt idx="20">
                        <c:v>12.055577812412139</c:v>
                      </c:pt>
                      <c:pt idx="21">
                        <c:v>12.658356703032744</c:v>
                      </c:pt>
                      <c:pt idx="22">
                        <c:v>13.261135593653353</c:v>
                      </c:pt>
                      <c:pt idx="23">
                        <c:v>13.863914484273963</c:v>
                      </c:pt>
                      <c:pt idx="24">
                        <c:v>14.466693374894565</c:v>
                      </c:pt>
                      <c:pt idx="25">
                        <c:v>15.069472265515175</c:v>
                      </c:pt>
                      <c:pt idx="26">
                        <c:v>15.672251156135783</c:v>
                      </c:pt>
                      <c:pt idx="27">
                        <c:v>16.275030046756388</c:v>
                      </c:pt>
                      <c:pt idx="28">
                        <c:v>16.877808937376997</c:v>
                      </c:pt>
                      <c:pt idx="29">
                        <c:v>17.480587827997599</c:v>
                      </c:pt>
                      <c:pt idx="30">
                        <c:v>18.083366718618205</c:v>
                      </c:pt>
                      <c:pt idx="31">
                        <c:v>18.686145609238817</c:v>
                      </c:pt>
                      <c:pt idx="32">
                        <c:v>19.288924499859426</c:v>
                      </c:pt>
                      <c:pt idx="33">
                        <c:v>19.891703390480032</c:v>
                      </c:pt>
                      <c:pt idx="34">
                        <c:v>20.494482281100638</c:v>
                      </c:pt>
                      <c:pt idx="35">
                        <c:v>21.097261171721247</c:v>
                      </c:pt>
                      <c:pt idx="36">
                        <c:v>21.700040062341852</c:v>
                      </c:pt>
                      <c:pt idx="37">
                        <c:v>22.302818952962458</c:v>
                      </c:pt>
                      <c:pt idx="38">
                        <c:v>22.905597843583067</c:v>
                      </c:pt>
                      <c:pt idx="39">
                        <c:v>23.508376734203669</c:v>
                      </c:pt>
                      <c:pt idx="40">
                        <c:v>24.111155624824278</c:v>
                      </c:pt>
                      <c:pt idx="41">
                        <c:v>24.71393451544489</c:v>
                      </c:pt>
                      <c:pt idx="42">
                        <c:v>25.316713406065489</c:v>
                      </c:pt>
                      <c:pt idx="43">
                        <c:v>25.919492296686098</c:v>
                      </c:pt>
                      <c:pt idx="44">
                        <c:v>26.522271187306707</c:v>
                      </c:pt>
                      <c:pt idx="45">
                        <c:v>27.125050077927316</c:v>
                      </c:pt>
                      <c:pt idx="46">
                        <c:v>27.727828968547925</c:v>
                      </c:pt>
                      <c:pt idx="47">
                        <c:v>28.330607859168531</c:v>
                      </c:pt>
                      <c:pt idx="48">
                        <c:v>28.933386749789129</c:v>
                      </c:pt>
                      <c:pt idx="49">
                        <c:v>29.536165640409738</c:v>
                      </c:pt>
                      <c:pt idx="50">
                        <c:v>30.138944531030351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862C-439D-9973-034B0ACAB3FF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グラフ!$F$5</c15:sqref>
                        </c15:formulaRef>
                      </c:ext>
                    </c:extLst>
                    <c:strCache>
                      <c:ptCount val="1"/>
                      <c:pt idx="0">
                        <c:v>圧入力nor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グラフ!$F$6:$F$56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0.76978047179033804</c:v>
                      </c:pt>
                      <c:pt idx="2">
                        <c:v>1.5395609435806761</c:v>
                      </c:pt>
                      <c:pt idx="3">
                        <c:v>2.3093414153710143</c:v>
                      </c:pt>
                      <c:pt idx="4">
                        <c:v>3.0791218871613522</c:v>
                      </c:pt>
                      <c:pt idx="5">
                        <c:v>3.8489023589516904</c:v>
                      </c:pt>
                      <c:pt idx="6">
                        <c:v>4.6186828307420287</c:v>
                      </c:pt>
                      <c:pt idx="7">
                        <c:v>5.3884633025323669</c:v>
                      </c:pt>
                      <c:pt idx="8">
                        <c:v>6.1582437743227043</c:v>
                      </c:pt>
                      <c:pt idx="9">
                        <c:v>6.9280242461130435</c:v>
                      </c:pt>
                      <c:pt idx="10">
                        <c:v>7.6978047179033808</c:v>
                      </c:pt>
                      <c:pt idx="11">
                        <c:v>8.46758518969372</c:v>
                      </c:pt>
                      <c:pt idx="12">
                        <c:v>9.2373656614840574</c:v>
                      </c:pt>
                      <c:pt idx="13">
                        <c:v>10.007146133274395</c:v>
                      </c:pt>
                      <c:pt idx="14">
                        <c:v>10.776926605064734</c:v>
                      </c:pt>
                      <c:pt idx="15">
                        <c:v>11.546707076855073</c:v>
                      </c:pt>
                      <c:pt idx="16">
                        <c:v>12.316487548645409</c:v>
                      </c:pt>
                      <c:pt idx="17">
                        <c:v>13.08626802043575</c:v>
                      </c:pt>
                      <c:pt idx="18">
                        <c:v>13.856048492226087</c:v>
                      </c:pt>
                      <c:pt idx="19">
                        <c:v>14.625828964016424</c:v>
                      </c:pt>
                      <c:pt idx="20">
                        <c:v>15.395609435806762</c:v>
                      </c:pt>
                      <c:pt idx="21">
                        <c:v>16.165389907597099</c:v>
                      </c:pt>
                      <c:pt idx="22">
                        <c:v>16.93517037938744</c:v>
                      </c:pt>
                      <c:pt idx="23">
                        <c:v>17.704950851177777</c:v>
                      </c:pt>
                      <c:pt idx="24">
                        <c:v>18.474731322968115</c:v>
                      </c:pt>
                      <c:pt idx="25">
                        <c:v>19.244511794758456</c:v>
                      </c:pt>
                      <c:pt idx="26">
                        <c:v>20.014292266548789</c:v>
                      </c:pt>
                      <c:pt idx="27">
                        <c:v>20.784072738339127</c:v>
                      </c:pt>
                      <c:pt idx="28">
                        <c:v>21.553853210129468</c:v>
                      </c:pt>
                      <c:pt idx="29">
                        <c:v>22.323633681919805</c:v>
                      </c:pt>
                      <c:pt idx="30">
                        <c:v>23.093414153710146</c:v>
                      </c:pt>
                      <c:pt idx="31">
                        <c:v>23.863194625500476</c:v>
                      </c:pt>
                      <c:pt idx="32">
                        <c:v>24.632975097290817</c:v>
                      </c:pt>
                      <c:pt idx="33">
                        <c:v>25.402755569081162</c:v>
                      </c:pt>
                      <c:pt idx="34">
                        <c:v>26.172536040871499</c:v>
                      </c:pt>
                      <c:pt idx="35">
                        <c:v>26.942316512661836</c:v>
                      </c:pt>
                      <c:pt idx="36">
                        <c:v>27.712096984452174</c:v>
                      </c:pt>
                      <c:pt idx="37">
                        <c:v>28.481877456242515</c:v>
                      </c:pt>
                      <c:pt idx="38">
                        <c:v>29.251657928032849</c:v>
                      </c:pt>
                      <c:pt idx="39">
                        <c:v>30.021438399823186</c:v>
                      </c:pt>
                      <c:pt idx="40">
                        <c:v>30.791218871613523</c:v>
                      </c:pt>
                      <c:pt idx="41">
                        <c:v>31.560999343403868</c:v>
                      </c:pt>
                      <c:pt idx="42">
                        <c:v>32.330779815194198</c:v>
                      </c:pt>
                      <c:pt idx="43">
                        <c:v>33.100560286984539</c:v>
                      </c:pt>
                      <c:pt idx="44">
                        <c:v>33.87034075877488</c:v>
                      </c:pt>
                      <c:pt idx="45">
                        <c:v>34.640121230565221</c:v>
                      </c:pt>
                      <c:pt idx="46">
                        <c:v>35.409901702355555</c:v>
                      </c:pt>
                      <c:pt idx="47">
                        <c:v>36.179682174145888</c:v>
                      </c:pt>
                      <c:pt idx="48">
                        <c:v>36.949462645936229</c:v>
                      </c:pt>
                      <c:pt idx="49">
                        <c:v>37.71924311772657</c:v>
                      </c:pt>
                      <c:pt idx="50">
                        <c:v>38.489023589516911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62C-439D-9973-034B0ACAB3FF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グラフ!$G$5</c15:sqref>
                        </c15:formulaRef>
                      </c:ext>
                    </c:extLst>
                    <c:strCache>
                      <c:ptCount val="1"/>
                      <c:pt idx="0">
                        <c:v>圧入力max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グラフ!$G$6:$G$56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0.9434936592184483</c:v>
                      </c:pt>
                      <c:pt idx="2">
                        <c:v>1.8869873184368966</c:v>
                      </c:pt>
                      <c:pt idx="3">
                        <c:v>2.8304809776553448</c:v>
                      </c:pt>
                      <c:pt idx="4">
                        <c:v>3.7739746368737932</c:v>
                      </c:pt>
                      <c:pt idx="5">
                        <c:v>4.7174682960922416</c:v>
                      </c:pt>
                      <c:pt idx="6">
                        <c:v>5.6609619553106896</c:v>
                      </c:pt>
                      <c:pt idx="7">
                        <c:v>6.6044556145291393</c:v>
                      </c:pt>
                      <c:pt idx="8">
                        <c:v>7.5479492737475864</c:v>
                      </c:pt>
                      <c:pt idx="9">
                        <c:v>8.4914429329660361</c:v>
                      </c:pt>
                      <c:pt idx="10">
                        <c:v>9.4349365921844832</c:v>
                      </c:pt>
                      <c:pt idx="11">
                        <c:v>10.378430251402932</c:v>
                      </c:pt>
                      <c:pt idx="12">
                        <c:v>11.321923910621379</c:v>
                      </c:pt>
                      <c:pt idx="13">
                        <c:v>12.265417569839828</c:v>
                      </c:pt>
                      <c:pt idx="14">
                        <c:v>13.208911229058279</c:v>
                      </c:pt>
                      <c:pt idx="15">
                        <c:v>14.152404888276724</c:v>
                      </c:pt>
                      <c:pt idx="16">
                        <c:v>15.095898547495173</c:v>
                      </c:pt>
                      <c:pt idx="17">
                        <c:v>16.039392206713622</c:v>
                      </c:pt>
                      <c:pt idx="18">
                        <c:v>16.982885865932072</c:v>
                      </c:pt>
                      <c:pt idx="19">
                        <c:v>17.926379525150519</c:v>
                      </c:pt>
                      <c:pt idx="20">
                        <c:v>18.869873184368966</c:v>
                      </c:pt>
                      <c:pt idx="21">
                        <c:v>19.81336684358741</c:v>
                      </c:pt>
                      <c:pt idx="22">
                        <c:v>20.756860502805864</c:v>
                      </c:pt>
                      <c:pt idx="23">
                        <c:v>21.700354162024315</c:v>
                      </c:pt>
                      <c:pt idx="24">
                        <c:v>22.643847821242758</c:v>
                      </c:pt>
                      <c:pt idx="25">
                        <c:v>23.587341480461209</c:v>
                      </c:pt>
                      <c:pt idx="26">
                        <c:v>24.530835139679656</c:v>
                      </c:pt>
                      <c:pt idx="27">
                        <c:v>25.474328798898103</c:v>
                      </c:pt>
                      <c:pt idx="28">
                        <c:v>26.417822458116557</c:v>
                      </c:pt>
                      <c:pt idx="29">
                        <c:v>27.361316117334997</c:v>
                      </c:pt>
                      <c:pt idx="30">
                        <c:v>28.304809776553448</c:v>
                      </c:pt>
                      <c:pt idx="31">
                        <c:v>29.248303435771899</c:v>
                      </c:pt>
                      <c:pt idx="32">
                        <c:v>30.191797094990346</c:v>
                      </c:pt>
                      <c:pt idx="33">
                        <c:v>31.135290754208796</c:v>
                      </c:pt>
                      <c:pt idx="34">
                        <c:v>32.078784413427243</c:v>
                      </c:pt>
                      <c:pt idx="35">
                        <c:v>33.02227807264569</c:v>
                      </c:pt>
                      <c:pt idx="36">
                        <c:v>33.965771731864145</c:v>
                      </c:pt>
                      <c:pt idx="37">
                        <c:v>34.909265391082592</c:v>
                      </c:pt>
                      <c:pt idx="38">
                        <c:v>35.852759050301039</c:v>
                      </c:pt>
                      <c:pt idx="39">
                        <c:v>36.796252709519479</c:v>
                      </c:pt>
                      <c:pt idx="40">
                        <c:v>37.739746368737933</c:v>
                      </c:pt>
                      <c:pt idx="41">
                        <c:v>38.68324002795638</c:v>
                      </c:pt>
                      <c:pt idx="42">
                        <c:v>39.62673368717482</c:v>
                      </c:pt>
                      <c:pt idx="43">
                        <c:v>40.570227346393274</c:v>
                      </c:pt>
                      <c:pt idx="44">
                        <c:v>41.513721005611728</c:v>
                      </c:pt>
                      <c:pt idx="45">
                        <c:v>42.457214664830175</c:v>
                      </c:pt>
                      <c:pt idx="46">
                        <c:v>43.40070832404863</c:v>
                      </c:pt>
                      <c:pt idx="47">
                        <c:v>44.34420198326707</c:v>
                      </c:pt>
                      <c:pt idx="48">
                        <c:v>45.287695642485517</c:v>
                      </c:pt>
                      <c:pt idx="49">
                        <c:v>46.231189301703964</c:v>
                      </c:pt>
                      <c:pt idx="50">
                        <c:v>47.174682960922418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62C-439D-9973-034B0ACAB3FF}"/>
                  </c:ext>
                </c:extLst>
              </c15:ser>
            </c15:filteredScatterSeries>
          </c:ext>
        </c:extLst>
      </c:scatterChart>
      <c:valAx>
        <c:axId val="2069338655"/>
        <c:scaling>
          <c:orientation val="minMax"/>
          <c:max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グラフ!$A$4</c:f>
              <c:strCache>
                <c:ptCount val="1"/>
                <c:pt idx="0">
                  <c:v>締め代[mm]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69334079"/>
        <c:crosses val="autoZero"/>
        <c:crossBetween val="midCat"/>
      </c:valAx>
      <c:valAx>
        <c:axId val="2069334079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応力</a:t>
                </a:r>
                <a:r>
                  <a:rPr lang="en-US" altLang="ja-JP"/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69338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締め代</a:t>
            </a:r>
            <a:r>
              <a:rPr lang="en-US" altLang="ja-JP"/>
              <a:t>vs</a:t>
            </a:r>
            <a:r>
              <a:rPr lang="ja-JP" altLang="en-US"/>
              <a:t>圧入力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グラフ!$E$5</c:f>
              <c:strCache>
                <c:ptCount val="1"/>
                <c:pt idx="0">
                  <c:v>圧入力min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グラフ!$E$6:$E$56</c:f>
              <c:numCache>
                <c:formatCode>0.0</c:formatCode>
                <c:ptCount val="51"/>
                <c:pt idx="0">
                  <c:v>0</c:v>
                </c:pt>
                <c:pt idx="1">
                  <c:v>0.60277889062060708</c:v>
                </c:pt>
                <c:pt idx="2">
                  <c:v>1.2055577812412142</c:v>
                </c:pt>
                <c:pt idx="3">
                  <c:v>1.8083366718618206</c:v>
                </c:pt>
                <c:pt idx="4">
                  <c:v>2.4111155624824283</c:v>
                </c:pt>
                <c:pt idx="5">
                  <c:v>3.0138944531030347</c:v>
                </c:pt>
                <c:pt idx="6">
                  <c:v>3.6166733437236411</c:v>
                </c:pt>
                <c:pt idx="7">
                  <c:v>4.2194522343442493</c:v>
                </c:pt>
                <c:pt idx="8">
                  <c:v>4.8222311249648566</c:v>
                </c:pt>
                <c:pt idx="9">
                  <c:v>5.425010015585463</c:v>
                </c:pt>
                <c:pt idx="10">
                  <c:v>6.0277889062060694</c:v>
                </c:pt>
                <c:pt idx="11">
                  <c:v>6.6305677968266767</c:v>
                </c:pt>
                <c:pt idx="12">
                  <c:v>7.2333466874472823</c:v>
                </c:pt>
                <c:pt idx="13">
                  <c:v>7.8361255780678913</c:v>
                </c:pt>
                <c:pt idx="14">
                  <c:v>8.4389044686884986</c:v>
                </c:pt>
                <c:pt idx="15">
                  <c:v>9.0416833593091024</c:v>
                </c:pt>
                <c:pt idx="16">
                  <c:v>9.6444622499297132</c:v>
                </c:pt>
                <c:pt idx="17">
                  <c:v>10.247241140550319</c:v>
                </c:pt>
                <c:pt idx="18">
                  <c:v>10.850020031170926</c:v>
                </c:pt>
                <c:pt idx="19">
                  <c:v>11.452798921791533</c:v>
                </c:pt>
                <c:pt idx="20">
                  <c:v>12.055577812412139</c:v>
                </c:pt>
                <c:pt idx="21">
                  <c:v>12.658356703032744</c:v>
                </c:pt>
                <c:pt idx="22">
                  <c:v>13.261135593653353</c:v>
                </c:pt>
                <c:pt idx="23">
                  <c:v>13.863914484273963</c:v>
                </c:pt>
                <c:pt idx="24">
                  <c:v>14.466693374894565</c:v>
                </c:pt>
                <c:pt idx="25">
                  <c:v>15.069472265515175</c:v>
                </c:pt>
                <c:pt idx="26">
                  <c:v>15.672251156135783</c:v>
                </c:pt>
                <c:pt idx="27">
                  <c:v>16.275030046756388</c:v>
                </c:pt>
                <c:pt idx="28">
                  <c:v>16.877808937376997</c:v>
                </c:pt>
                <c:pt idx="29">
                  <c:v>17.480587827997599</c:v>
                </c:pt>
                <c:pt idx="30">
                  <c:v>18.083366718618205</c:v>
                </c:pt>
                <c:pt idx="31">
                  <c:v>18.686145609238817</c:v>
                </c:pt>
                <c:pt idx="32">
                  <c:v>19.288924499859426</c:v>
                </c:pt>
                <c:pt idx="33">
                  <c:v>19.891703390480032</c:v>
                </c:pt>
                <c:pt idx="34">
                  <c:v>20.494482281100638</c:v>
                </c:pt>
                <c:pt idx="35">
                  <c:v>21.097261171721247</c:v>
                </c:pt>
                <c:pt idx="36">
                  <c:v>21.700040062341852</c:v>
                </c:pt>
                <c:pt idx="37">
                  <c:v>22.302818952962458</c:v>
                </c:pt>
                <c:pt idx="38">
                  <c:v>22.905597843583067</c:v>
                </c:pt>
                <c:pt idx="39">
                  <c:v>23.508376734203669</c:v>
                </c:pt>
                <c:pt idx="40">
                  <c:v>24.111155624824278</c:v>
                </c:pt>
                <c:pt idx="41">
                  <c:v>24.71393451544489</c:v>
                </c:pt>
                <c:pt idx="42">
                  <c:v>25.316713406065489</c:v>
                </c:pt>
                <c:pt idx="43">
                  <c:v>25.919492296686098</c:v>
                </c:pt>
                <c:pt idx="44">
                  <c:v>26.522271187306707</c:v>
                </c:pt>
                <c:pt idx="45">
                  <c:v>27.125050077927316</c:v>
                </c:pt>
                <c:pt idx="46">
                  <c:v>27.727828968547925</c:v>
                </c:pt>
                <c:pt idx="47">
                  <c:v>28.330607859168531</c:v>
                </c:pt>
                <c:pt idx="48">
                  <c:v>28.933386749789129</c:v>
                </c:pt>
                <c:pt idx="49">
                  <c:v>29.536165640409738</c:v>
                </c:pt>
                <c:pt idx="50">
                  <c:v>30.138944531030351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63-4373-AA58-894986F56CB1}"/>
            </c:ext>
          </c:extLst>
        </c:ser>
        <c:ser>
          <c:idx val="4"/>
          <c:order val="4"/>
          <c:tx>
            <c:strRef>
              <c:f>グラフ!$F$5</c:f>
              <c:strCache>
                <c:ptCount val="1"/>
                <c:pt idx="0">
                  <c:v>圧入力nor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グラフ!$F$6:$F$56</c:f>
              <c:numCache>
                <c:formatCode>0.0</c:formatCode>
                <c:ptCount val="51"/>
                <c:pt idx="0">
                  <c:v>0</c:v>
                </c:pt>
                <c:pt idx="1">
                  <c:v>0.76978047179033804</c:v>
                </c:pt>
                <c:pt idx="2">
                  <c:v>1.5395609435806761</c:v>
                </c:pt>
                <c:pt idx="3">
                  <c:v>2.3093414153710143</c:v>
                </c:pt>
                <c:pt idx="4">
                  <c:v>3.0791218871613522</c:v>
                </c:pt>
                <c:pt idx="5">
                  <c:v>3.8489023589516904</c:v>
                </c:pt>
                <c:pt idx="6">
                  <c:v>4.6186828307420287</c:v>
                </c:pt>
                <c:pt idx="7">
                  <c:v>5.3884633025323669</c:v>
                </c:pt>
                <c:pt idx="8">
                  <c:v>6.1582437743227043</c:v>
                </c:pt>
                <c:pt idx="9">
                  <c:v>6.9280242461130435</c:v>
                </c:pt>
                <c:pt idx="10">
                  <c:v>7.6978047179033808</c:v>
                </c:pt>
                <c:pt idx="11">
                  <c:v>8.46758518969372</c:v>
                </c:pt>
                <c:pt idx="12">
                  <c:v>9.2373656614840574</c:v>
                </c:pt>
                <c:pt idx="13">
                  <c:v>10.007146133274395</c:v>
                </c:pt>
                <c:pt idx="14">
                  <c:v>10.776926605064734</c:v>
                </c:pt>
                <c:pt idx="15">
                  <c:v>11.546707076855073</c:v>
                </c:pt>
                <c:pt idx="16">
                  <c:v>12.316487548645409</c:v>
                </c:pt>
                <c:pt idx="17">
                  <c:v>13.08626802043575</c:v>
                </c:pt>
                <c:pt idx="18">
                  <c:v>13.856048492226087</c:v>
                </c:pt>
                <c:pt idx="19">
                  <c:v>14.625828964016424</c:v>
                </c:pt>
                <c:pt idx="20">
                  <c:v>15.395609435806762</c:v>
                </c:pt>
                <c:pt idx="21">
                  <c:v>16.165389907597099</c:v>
                </c:pt>
                <c:pt idx="22">
                  <c:v>16.93517037938744</c:v>
                </c:pt>
                <c:pt idx="23">
                  <c:v>17.704950851177777</c:v>
                </c:pt>
                <c:pt idx="24">
                  <c:v>18.474731322968115</c:v>
                </c:pt>
                <c:pt idx="25">
                  <c:v>19.244511794758456</c:v>
                </c:pt>
                <c:pt idx="26">
                  <c:v>20.014292266548789</c:v>
                </c:pt>
                <c:pt idx="27">
                  <c:v>20.784072738339127</c:v>
                </c:pt>
                <c:pt idx="28">
                  <c:v>21.553853210129468</c:v>
                </c:pt>
                <c:pt idx="29">
                  <c:v>22.323633681919805</c:v>
                </c:pt>
                <c:pt idx="30">
                  <c:v>23.093414153710146</c:v>
                </c:pt>
                <c:pt idx="31">
                  <c:v>23.863194625500476</c:v>
                </c:pt>
                <c:pt idx="32">
                  <c:v>24.632975097290817</c:v>
                </c:pt>
                <c:pt idx="33">
                  <c:v>25.402755569081162</c:v>
                </c:pt>
                <c:pt idx="34">
                  <c:v>26.172536040871499</c:v>
                </c:pt>
                <c:pt idx="35">
                  <c:v>26.942316512661836</c:v>
                </c:pt>
                <c:pt idx="36">
                  <c:v>27.712096984452174</c:v>
                </c:pt>
                <c:pt idx="37">
                  <c:v>28.481877456242515</c:v>
                </c:pt>
                <c:pt idx="38">
                  <c:v>29.251657928032849</c:v>
                </c:pt>
                <c:pt idx="39">
                  <c:v>30.021438399823186</c:v>
                </c:pt>
                <c:pt idx="40">
                  <c:v>30.791218871613523</c:v>
                </c:pt>
                <c:pt idx="41">
                  <c:v>31.560999343403868</c:v>
                </c:pt>
                <c:pt idx="42">
                  <c:v>32.330779815194198</c:v>
                </c:pt>
                <c:pt idx="43">
                  <c:v>33.100560286984539</c:v>
                </c:pt>
                <c:pt idx="44">
                  <c:v>33.87034075877488</c:v>
                </c:pt>
                <c:pt idx="45">
                  <c:v>34.640121230565221</c:v>
                </c:pt>
                <c:pt idx="46">
                  <c:v>35.409901702355555</c:v>
                </c:pt>
                <c:pt idx="47">
                  <c:v>36.179682174145888</c:v>
                </c:pt>
                <c:pt idx="48">
                  <c:v>36.949462645936229</c:v>
                </c:pt>
                <c:pt idx="49">
                  <c:v>37.71924311772657</c:v>
                </c:pt>
                <c:pt idx="50">
                  <c:v>38.489023589516911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63-4373-AA58-894986F56CB1}"/>
            </c:ext>
          </c:extLst>
        </c:ser>
        <c:ser>
          <c:idx val="5"/>
          <c:order val="5"/>
          <c:tx>
            <c:strRef>
              <c:f>グラフ!$G$5</c:f>
              <c:strCache>
                <c:ptCount val="1"/>
                <c:pt idx="0">
                  <c:v>圧入力max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グラフ!$G$6:$G$56</c:f>
              <c:numCache>
                <c:formatCode>0.0</c:formatCode>
                <c:ptCount val="51"/>
                <c:pt idx="0">
                  <c:v>0</c:v>
                </c:pt>
                <c:pt idx="1">
                  <c:v>0.9434936592184483</c:v>
                </c:pt>
                <c:pt idx="2">
                  <c:v>1.8869873184368966</c:v>
                </c:pt>
                <c:pt idx="3">
                  <c:v>2.8304809776553448</c:v>
                </c:pt>
                <c:pt idx="4">
                  <c:v>3.7739746368737932</c:v>
                </c:pt>
                <c:pt idx="5">
                  <c:v>4.7174682960922416</c:v>
                </c:pt>
                <c:pt idx="6">
                  <c:v>5.6609619553106896</c:v>
                </c:pt>
                <c:pt idx="7">
                  <c:v>6.6044556145291393</c:v>
                </c:pt>
                <c:pt idx="8">
                  <c:v>7.5479492737475864</c:v>
                </c:pt>
                <c:pt idx="9">
                  <c:v>8.4914429329660361</c:v>
                </c:pt>
                <c:pt idx="10">
                  <c:v>9.4349365921844832</c:v>
                </c:pt>
                <c:pt idx="11">
                  <c:v>10.378430251402932</c:v>
                </c:pt>
                <c:pt idx="12">
                  <c:v>11.321923910621379</c:v>
                </c:pt>
                <c:pt idx="13">
                  <c:v>12.265417569839828</c:v>
                </c:pt>
                <c:pt idx="14">
                  <c:v>13.208911229058279</c:v>
                </c:pt>
                <c:pt idx="15">
                  <c:v>14.152404888276724</c:v>
                </c:pt>
                <c:pt idx="16">
                  <c:v>15.095898547495173</c:v>
                </c:pt>
                <c:pt idx="17">
                  <c:v>16.039392206713622</c:v>
                </c:pt>
                <c:pt idx="18">
                  <c:v>16.982885865932072</c:v>
                </c:pt>
                <c:pt idx="19">
                  <c:v>17.926379525150519</c:v>
                </c:pt>
                <c:pt idx="20">
                  <c:v>18.869873184368966</c:v>
                </c:pt>
                <c:pt idx="21">
                  <c:v>19.81336684358741</c:v>
                </c:pt>
                <c:pt idx="22">
                  <c:v>20.756860502805864</c:v>
                </c:pt>
                <c:pt idx="23">
                  <c:v>21.700354162024315</c:v>
                </c:pt>
                <c:pt idx="24">
                  <c:v>22.643847821242758</c:v>
                </c:pt>
                <c:pt idx="25">
                  <c:v>23.587341480461209</c:v>
                </c:pt>
                <c:pt idx="26">
                  <c:v>24.530835139679656</c:v>
                </c:pt>
                <c:pt idx="27">
                  <c:v>25.474328798898103</c:v>
                </c:pt>
                <c:pt idx="28">
                  <c:v>26.417822458116557</c:v>
                </c:pt>
                <c:pt idx="29">
                  <c:v>27.361316117334997</c:v>
                </c:pt>
                <c:pt idx="30">
                  <c:v>28.304809776553448</c:v>
                </c:pt>
                <c:pt idx="31">
                  <c:v>29.248303435771899</c:v>
                </c:pt>
                <c:pt idx="32">
                  <c:v>30.191797094990346</c:v>
                </c:pt>
                <c:pt idx="33">
                  <c:v>31.135290754208796</c:v>
                </c:pt>
                <c:pt idx="34">
                  <c:v>32.078784413427243</c:v>
                </c:pt>
                <c:pt idx="35">
                  <c:v>33.02227807264569</c:v>
                </c:pt>
                <c:pt idx="36">
                  <c:v>33.965771731864145</c:v>
                </c:pt>
                <c:pt idx="37">
                  <c:v>34.909265391082592</c:v>
                </c:pt>
                <c:pt idx="38">
                  <c:v>35.852759050301039</c:v>
                </c:pt>
                <c:pt idx="39">
                  <c:v>36.796252709519479</c:v>
                </c:pt>
                <c:pt idx="40">
                  <c:v>37.739746368737933</c:v>
                </c:pt>
                <c:pt idx="41">
                  <c:v>38.68324002795638</c:v>
                </c:pt>
                <c:pt idx="42">
                  <c:v>39.62673368717482</c:v>
                </c:pt>
                <c:pt idx="43">
                  <c:v>40.570227346393274</c:v>
                </c:pt>
                <c:pt idx="44">
                  <c:v>41.513721005611728</c:v>
                </c:pt>
                <c:pt idx="45">
                  <c:v>42.457214664830175</c:v>
                </c:pt>
                <c:pt idx="46">
                  <c:v>43.40070832404863</c:v>
                </c:pt>
                <c:pt idx="47">
                  <c:v>44.34420198326707</c:v>
                </c:pt>
                <c:pt idx="48">
                  <c:v>45.287695642485517</c:v>
                </c:pt>
                <c:pt idx="49">
                  <c:v>46.231189301703964</c:v>
                </c:pt>
                <c:pt idx="50">
                  <c:v>47.174682960922418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63-4373-AA58-894986F56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338655"/>
        <c:axId val="2069334079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グラフ!$B$5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半径方向応力min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グラフ!$B$6:$B$56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3.4598865694423666</c:v>
                      </c:pt>
                      <c:pt idx="2">
                        <c:v>6.9197731388847332</c:v>
                      </c:pt>
                      <c:pt idx="3">
                        <c:v>10.379659708327098</c:v>
                      </c:pt>
                      <c:pt idx="4">
                        <c:v>13.839546277769466</c:v>
                      </c:pt>
                      <c:pt idx="5">
                        <c:v>17.299432847211833</c:v>
                      </c:pt>
                      <c:pt idx="6">
                        <c:v>20.759319416654197</c:v>
                      </c:pt>
                      <c:pt idx="7">
                        <c:v>24.219205986096568</c:v>
                      </c:pt>
                      <c:pt idx="8">
                        <c:v>27.679092555538933</c:v>
                      </c:pt>
                      <c:pt idx="9">
                        <c:v>31.138979124981301</c:v>
                      </c:pt>
                      <c:pt idx="10">
                        <c:v>34.598865694423665</c:v>
                      </c:pt>
                      <c:pt idx="11">
                        <c:v>38.058752263866033</c:v>
                      </c:pt>
                      <c:pt idx="12">
                        <c:v>41.518638833308394</c:v>
                      </c:pt>
                      <c:pt idx="13">
                        <c:v>44.978525402750769</c:v>
                      </c:pt>
                      <c:pt idx="14">
                        <c:v>48.438411972193137</c:v>
                      </c:pt>
                      <c:pt idx="15">
                        <c:v>51.898298541635498</c:v>
                      </c:pt>
                      <c:pt idx="16">
                        <c:v>55.358185111077866</c:v>
                      </c:pt>
                      <c:pt idx="17">
                        <c:v>58.818071680520234</c:v>
                      </c:pt>
                      <c:pt idx="18">
                        <c:v>62.277958249962602</c:v>
                      </c:pt>
                      <c:pt idx="19">
                        <c:v>65.73784481940497</c:v>
                      </c:pt>
                      <c:pt idx="20">
                        <c:v>69.19773138884733</c:v>
                      </c:pt>
                      <c:pt idx="21">
                        <c:v>72.657617958289691</c:v>
                      </c:pt>
                      <c:pt idx="22">
                        <c:v>76.117504527732066</c:v>
                      </c:pt>
                      <c:pt idx="23">
                        <c:v>79.577391097174441</c:v>
                      </c:pt>
                      <c:pt idx="24">
                        <c:v>83.037277666616788</c:v>
                      </c:pt>
                      <c:pt idx="25">
                        <c:v>86.497164236059163</c:v>
                      </c:pt>
                      <c:pt idx="26">
                        <c:v>89.957050805501538</c:v>
                      </c:pt>
                      <c:pt idx="27">
                        <c:v>93.416937374943899</c:v>
                      </c:pt>
                      <c:pt idx="28">
                        <c:v>96.876823944386274</c:v>
                      </c:pt>
                      <c:pt idx="29">
                        <c:v>100.33671051382862</c:v>
                      </c:pt>
                      <c:pt idx="30">
                        <c:v>103.796597083271</c:v>
                      </c:pt>
                      <c:pt idx="31">
                        <c:v>107.25648365271336</c:v>
                      </c:pt>
                      <c:pt idx="32">
                        <c:v>110.71637022215573</c:v>
                      </c:pt>
                      <c:pt idx="33">
                        <c:v>114.17625679159811</c:v>
                      </c:pt>
                      <c:pt idx="34">
                        <c:v>117.63614336104047</c:v>
                      </c:pt>
                      <c:pt idx="35">
                        <c:v>121.09602993048284</c:v>
                      </c:pt>
                      <c:pt idx="36">
                        <c:v>124.5559164999252</c:v>
                      </c:pt>
                      <c:pt idx="37">
                        <c:v>128.01580306936756</c:v>
                      </c:pt>
                      <c:pt idx="38">
                        <c:v>131.47568963880994</c:v>
                      </c:pt>
                      <c:pt idx="39">
                        <c:v>134.93557620825229</c:v>
                      </c:pt>
                      <c:pt idx="40">
                        <c:v>138.39546277769466</c:v>
                      </c:pt>
                      <c:pt idx="41">
                        <c:v>141.85534934713704</c:v>
                      </c:pt>
                      <c:pt idx="42">
                        <c:v>145.31523591657938</c:v>
                      </c:pt>
                      <c:pt idx="43">
                        <c:v>148.77512248602176</c:v>
                      </c:pt>
                      <c:pt idx="44">
                        <c:v>152.23500905546413</c:v>
                      </c:pt>
                      <c:pt idx="45">
                        <c:v>155.69489562490651</c:v>
                      </c:pt>
                      <c:pt idx="46">
                        <c:v>159.15478219434888</c:v>
                      </c:pt>
                      <c:pt idx="47">
                        <c:v>162.61466876379123</c:v>
                      </c:pt>
                      <c:pt idx="48">
                        <c:v>166.07455533323358</c:v>
                      </c:pt>
                      <c:pt idx="49">
                        <c:v>169.53444190267595</c:v>
                      </c:pt>
                      <c:pt idx="50">
                        <c:v>172.99432847211833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9D63-4373-AA58-894986F56CB1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グラフ!$C$5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半径方向応力nor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グラフ!$C$6:$C$56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3.5035590732134589</c:v>
                      </c:pt>
                      <c:pt idx="2">
                        <c:v>7.0071181464269179</c:v>
                      </c:pt>
                      <c:pt idx="3">
                        <c:v>10.510677219640376</c:v>
                      </c:pt>
                      <c:pt idx="4">
                        <c:v>14.014236292853836</c:v>
                      </c:pt>
                      <c:pt idx="5">
                        <c:v>17.517795366067293</c:v>
                      </c:pt>
                      <c:pt idx="6">
                        <c:v>21.021354439280753</c:v>
                      </c:pt>
                      <c:pt idx="7">
                        <c:v>24.524913512494212</c:v>
                      </c:pt>
                      <c:pt idx="8">
                        <c:v>28.028472585707672</c:v>
                      </c:pt>
                      <c:pt idx="9">
                        <c:v>31.532031658921131</c:v>
                      </c:pt>
                      <c:pt idx="10">
                        <c:v>35.035590732134587</c:v>
                      </c:pt>
                      <c:pt idx="11">
                        <c:v>38.539149805348046</c:v>
                      </c:pt>
                      <c:pt idx="12">
                        <c:v>42.042708878561506</c:v>
                      </c:pt>
                      <c:pt idx="13">
                        <c:v>45.546267951774972</c:v>
                      </c:pt>
                      <c:pt idx="14">
                        <c:v>49.049827024988424</c:v>
                      </c:pt>
                      <c:pt idx="15">
                        <c:v>52.553386098201877</c:v>
                      </c:pt>
                      <c:pt idx="16">
                        <c:v>56.056945171415343</c:v>
                      </c:pt>
                      <c:pt idx="17">
                        <c:v>59.560504244628802</c:v>
                      </c:pt>
                      <c:pt idx="18">
                        <c:v>63.064063317842262</c:v>
                      </c:pt>
                      <c:pt idx="19">
                        <c:v>66.567622391055721</c:v>
                      </c:pt>
                      <c:pt idx="20">
                        <c:v>70.071181464269173</c:v>
                      </c:pt>
                      <c:pt idx="21">
                        <c:v>73.574740537482626</c:v>
                      </c:pt>
                      <c:pt idx="22">
                        <c:v>77.078299610696092</c:v>
                      </c:pt>
                      <c:pt idx="23">
                        <c:v>80.581858683909559</c:v>
                      </c:pt>
                      <c:pt idx="24">
                        <c:v>84.085417757123011</c:v>
                      </c:pt>
                      <c:pt idx="25">
                        <c:v>87.588976830336478</c:v>
                      </c:pt>
                      <c:pt idx="26">
                        <c:v>91.092535903549944</c:v>
                      </c:pt>
                      <c:pt idx="27">
                        <c:v>94.596094976763382</c:v>
                      </c:pt>
                      <c:pt idx="28">
                        <c:v>98.099654049976849</c:v>
                      </c:pt>
                      <c:pt idx="29">
                        <c:v>101.60321312319029</c:v>
                      </c:pt>
                      <c:pt idx="30">
                        <c:v>105.10677219640375</c:v>
                      </c:pt>
                      <c:pt idx="31">
                        <c:v>108.61033126961722</c:v>
                      </c:pt>
                      <c:pt idx="32">
                        <c:v>112.11389034283069</c:v>
                      </c:pt>
                      <c:pt idx="33">
                        <c:v>115.61744941604415</c:v>
                      </c:pt>
                      <c:pt idx="34">
                        <c:v>119.1210084892576</c:v>
                      </c:pt>
                      <c:pt idx="35">
                        <c:v>122.62456756247107</c:v>
                      </c:pt>
                      <c:pt idx="36">
                        <c:v>126.12812663568452</c:v>
                      </c:pt>
                      <c:pt idx="37">
                        <c:v>129.63168570889798</c:v>
                      </c:pt>
                      <c:pt idx="38">
                        <c:v>133.13524478211144</c:v>
                      </c:pt>
                      <c:pt idx="39">
                        <c:v>136.63880385532488</c:v>
                      </c:pt>
                      <c:pt idx="40">
                        <c:v>140.14236292853835</c:v>
                      </c:pt>
                      <c:pt idx="41">
                        <c:v>143.64592200175181</c:v>
                      </c:pt>
                      <c:pt idx="42">
                        <c:v>147.14948107496525</c:v>
                      </c:pt>
                      <c:pt idx="43">
                        <c:v>150.65304014817872</c:v>
                      </c:pt>
                      <c:pt idx="44">
                        <c:v>154.15659922139218</c:v>
                      </c:pt>
                      <c:pt idx="45">
                        <c:v>157.66015829460565</c:v>
                      </c:pt>
                      <c:pt idx="46">
                        <c:v>161.16371736781912</c:v>
                      </c:pt>
                      <c:pt idx="47">
                        <c:v>164.66727644103258</c:v>
                      </c:pt>
                      <c:pt idx="48">
                        <c:v>168.17083551424602</c:v>
                      </c:pt>
                      <c:pt idx="49">
                        <c:v>171.67439458745949</c:v>
                      </c:pt>
                      <c:pt idx="50">
                        <c:v>175.17795366067296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D63-4373-AA58-894986F56CB1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グラフ!$D$5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半径方向応力max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グラフ!$D$6:$D$56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3.5470610725018776</c:v>
                      </c:pt>
                      <c:pt idx="2">
                        <c:v>7.0941221450037553</c:v>
                      </c:pt>
                      <c:pt idx="3">
                        <c:v>10.641183217505631</c:v>
                      </c:pt>
                      <c:pt idx="4">
                        <c:v>14.188244290007511</c:v>
                      </c:pt>
                      <c:pt idx="5">
                        <c:v>17.735305362509386</c:v>
                      </c:pt>
                      <c:pt idx="6">
                        <c:v>21.282366435011262</c:v>
                      </c:pt>
                      <c:pt idx="7">
                        <c:v>24.829427507513145</c:v>
                      </c:pt>
                      <c:pt idx="8">
                        <c:v>28.376488580015021</c:v>
                      </c:pt>
                      <c:pt idx="9">
                        <c:v>31.923549652516897</c:v>
                      </c:pt>
                      <c:pt idx="10">
                        <c:v>35.470610725018773</c:v>
                      </c:pt>
                      <c:pt idx="11">
                        <c:v>39.017671797520649</c:v>
                      </c:pt>
                      <c:pt idx="12">
                        <c:v>42.564732870022524</c:v>
                      </c:pt>
                      <c:pt idx="13">
                        <c:v>46.111793942524407</c:v>
                      </c:pt>
                      <c:pt idx="14">
                        <c:v>49.65885501502629</c:v>
                      </c:pt>
                      <c:pt idx="15">
                        <c:v>53.205916087528159</c:v>
                      </c:pt>
                      <c:pt idx="16">
                        <c:v>56.752977160030042</c:v>
                      </c:pt>
                      <c:pt idx="17">
                        <c:v>60.300038232531918</c:v>
                      </c:pt>
                      <c:pt idx="18">
                        <c:v>63.847099305033794</c:v>
                      </c:pt>
                      <c:pt idx="19">
                        <c:v>67.394160377535684</c:v>
                      </c:pt>
                      <c:pt idx="20">
                        <c:v>70.941221450037546</c:v>
                      </c:pt>
                      <c:pt idx="21">
                        <c:v>74.488282522539421</c:v>
                      </c:pt>
                      <c:pt idx="22">
                        <c:v>78.035343595041297</c:v>
                      </c:pt>
                      <c:pt idx="23">
                        <c:v>81.582404667543187</c:v>
                      </c:pt>
                      <c:pt idx="24">
                        <c:v>85.129465740045049</c:v>
                      </c:pt>
                      <c:pt idx="25">
                        <c:v>88.676526812546939</c:v>
                      </c:pt>
                      <c:pt idx="26">
                        <c:v>92.223587885048815</c:v>
                      </c:pt>
                      <c:pt idx="27">
                        <c:v>95.770648957550691</c:v>
                      </c:pt>
                      <c:pt idx="28">
                        <c:v>99.317710030052581</c:v>
                      </c:pt>
                      <c:pt idx="29">
                        <c:v>102.86477110255443</c:v>
                      </c:pt>
                      <c:pt idx="30">
                        <c:v>106.41183217505632</c:v>
                      </c:pt>
                      <c:pt idx="31">
                        <c:v>109.95889324755819</c:v>
                      </c:pt>
                      <c:pt idx="32">
                        <c:v>113.50595432006008</c:v>
                      </c:pt>
                      <c:pt idx="33">
                        <c:v>117.05301539256196</c:v>
                      </c:pt>
                      <c:pt idx="34">
                        <c:v>120.60007646506384</c:v>
                      </c:pt>
                      <c:pt idx="35">
                        <c:v>124.14713753756571</c:v>
                      </c:pt>
                      <c:pt idx="36">
                        <c:v>127.69419861006759</c:v>
                      </c:pt>
                      <c:pt idx="37">
                        <c:v>131.24125968256948</c:v>
                      </c:pt>
                      <c:pt idx="38">
                        <c:v>134.78832075507137</c:v>
                      </c:pt>
                      <c:pt idx="39">
                        <c:v>138.3353818275732</c:v>
                      </c:pt>
                      <c:pt idx="40">
                        <c:v>141.88244290007509</c:v>
                      </c:pt>
                      <c:pt idx="41">
                        <c:v>145.42950397257698</c:v>
                      </c:pt>
                      <c:pt idx="42">
                        <c:v>148.97656504507884</c:v>
                      </c:pt>
                      <c:pt idx="43">
                        <c:v>152.5236261175807</c:v>
                      </c:pt>
                      <c:pt idx="44">
                        <c:v>156.07068719008259</c:v>
                      </c:pt>
                      <c:pt idx="45">
                        <c:v>159.61774826258448</c:v>
                      </c:pt>
                      <c:pt idx="46">
                        <c:v>163.16480933508637</c:v>
                      </c:pt>
                      <c:pt idx="47">
                        <c:v>166.71187040758826</c:v>
                      </c:pt>
                      <c:pt idx="48">
                        <c:v>170.2589314800901</c:v>
                      </c:pt>
                      <c:pt idx="49">
                        <c:v>173.80599255259199</c:v>
                      </c:pt>
                      <c:pt idx="50">
                        <c:v>177.35305362509388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D63-4373-AA58-894986F56C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グラフ!$H$5</c15:sqref>
                        </c15:formulaRef>
                      </c:ext>
                    </c:extLst>
                    <c:strCache>
                      <c:ptCount val="1"/>
                      <c:pt idx="0">
                        <c:v>降伏点inner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グラフ!$H$6:$H$56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345</c:v>
                      </c:pt>
                      <c:pt idx="1">
                        <c:v>345</c:v>
                      </c:pt>
                      <c:pt idx="2">
                        <c:v>345</c:v>
                      </c:pt>
                      <c:pt idx="3">
                        <c:v>345</c:v>
                      </c:pt>
                      <c:pt idx="4">
                        <c:v>345</c:v>
                      </c:pt>
                      <c:pt idx="5">
                        <c:v>345</c:v>
                      </c:pt>
                      <c:pt idx="6">
                        <c:v>345</c:v>
                      </c:pt>
                      <c:pt idx="7">
                        <c:v>345</c:v>
                      </c:pt>
                      <c:pt idx="8">
                        <c:v>345</c:v>
                      </c:pt>
                      <c:pt idx="9">
                        <c:v>345</c:v>
                      </c:pt>
                      <c:pt idx="10">
                        <c:v>345</c:v>
                      </c:pt>
                      <c:pt idx="11">
                        <c:v>345</c:v>
                      </c:pt>
                      <c:pt idx="12">
                        <c:v>345</c:v>
                      </c:pt>
                      <c:pt idx="13">
                        <c:v>345</c:v>
                      </c:pt>
                      <c:pt idx="14">
                        <c:v>345</c:v>
                      </c:pt>
                      <c:pt idx="15">
                        <c:v>345</c:v>
                      </c:pt>
                      <c:pt idx="16">
                        <c:v>345</c:v>
                      </c:pt>
                      <c:pt idx="17">
                        <c:v>345</c:v>
                      </c:pt>
                      <c:pt idx="18">
                        <c:v>345</c:v>
                      </c:pt>
                      <c:pt idx="19">
                        <c:v>345</c:v>
                      </c:pt>
                      <c:pt idx="20">
                        <c:v>345</c:v>
                      </c:pt>
                      <c:pt idx="21">
                        <c:v>345</c:v>
                      </c:pt>
                      <c:pt idx="22">
                        <c:v>345</c:v>
                      </c:pt>
                      <c:pt idx="23">
                        <c:v>345</c:v>
                      </c:pt>
                      <c:pt idx="24">
                        <c:v>345</c:v>
                      </c:pt>
                      <c:pt idx="25">
                        <c:v>345</c:v>
                      </c:pt>
                      <c:pt idx="26">
                        <c:v>345</c:v>
                      </c:pt>
                      <c:pt idx="27">
                        <c:v>345</c:v>
                      </c:pt>
                      <c:pt idx="28">
                        <c:v>345</c:v>
                      </c:pt>
                      <c:pt idx="29">
                        <c:v>345</c:v>
                      </c:pt>
                      <c:pt idx="30">
                        <c:v>345</c:v>
                      </c:pt>
                      <c:pt idx="31">
                        <c:v>345</c:v>
                      </c:pt>
                      <c:pt idx="32">
                        <c:v>345</c:v>
                      </c:pt>
                      <c:pt idx="33">
                        <c:v>345</c:v>
                      </c:pt>
                      <c:pt idx="34">
                        <c:v>345</c:v>
                      </c:pt>
                      <c:pt idx="35">
                        <c:v>345</c:v>
                      </c:pt>
                      <c:pt idx="36">
                        <c:v>345</c:v>
                      </c:pt>
                      <c:pt idx="37">
                        <c:v>345</c:v>
                      </c:pt>
                      <c:pt idx="38">
                        <c:v>345</c:v>
                      </c:pt>
                      <c:pt idx="39">
                        <c:v>345</c:v>
                      </c:pt>
                      <c:pt idx="40">
                        <c:v>345</c:v>
                      </c:pt>
                      <c:pt idx="41">
                        <c:v>345</c:v>
                      </c:pt>
                      <c:pt idx="42">
                        <c:v>345</c:v>
                      </c:pt>
                      <c:pt idx="43">
                        <c:v>345</c:v>
                      </c:pt>
                      <c:pt idx="44">
                        <c:v>345</c:v>
                      </c:pt>
                      <c:pt idx="45">
                        <c:v>345</c:v>
                      </c:pt>
                      <c:pt idx="46">
                        <c:v>345</c:v>
                      </c:pt>
                      <c:pt idx="47">
                        <c:v>345</c:v>
                      </c:pt>
                      <c:pt idx="48">
                        <c:v>345</c:v>
                      </c:pt>
                      <c:pt idx="49">
                        <c:v>345</c:v>
                      </c:pt>
                      <c:pt idx="50">
                        <c:v>345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D63-4373-AA58-894986F56C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グラフ!$I$5</c15:sqref>
                        </c15:formulaRef>
                      </c:ext>
                    </c:extLst>
                    <c:strCache>
                      <c:ptCount val="1"/>
                      <c:pt idx="0">
                        <c:v>降伏点outer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グラフ!$I$6:$I$56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150</c:v>
                      </c:pt>
                      <c:pt idx="1">
                        <c:v>150</c:v>
                      </c:pt>
                      <c:pt idx="2">
                        <c:v>150</c:v>
                      </c:pt>
                      <c:pt idx="3">
                        <c:v>150</c:v>
                      </c:pt>
                      <c:pt idx="4">
                        <c:v>150</c:v>
                      </c:pt>
                      <c:pt idx="5">
                        <c:v>150</c:v>
                      </c:pt>
                      <c:pt idx="6">
                        <c:v>150</c:v>
                      </c:pt>
                      <c:pt idx="7">
                        <c:v>150</c:v>
                      </c:pt>
                      <c:pt idx="8">
                        <c:v>150</c:v>
                      </c:pt>
                      <c:pt idx="9">
                        <c:v>150</c:v>
                      </c:pt>
                      <c:pt idx="10">
                        <c:v>150</c:v>
                      </c:pt>
                      <c:pt idx="11">
                        <c:v>150</c:v>
                      </c:pt>
                      <c:pt idx="12">
                        <c:v>150</c:v>
                      </c:pt>
                      <c:pt idx="13">
                        <c:v>150</c:v>
                      </c:pt>
                      <c:pt idx="14">
                        <c:v>150</c:v>
                      </c:pt>
                      <c:pt idx="15">
                        <c:v>150</c:v>
                      </c:pt>
                      <c:pt idx="16">
                        <c:v>150</c:v>
                      </c:pt>
                      <c:pt idx="17">
                        <c:v>150</c:v>
                      </c:pt>
                      <c:pt idx="18">
                        <c:v>150</c:v>
                      </c:pt>
                      <c:pt idx="19">
                        <c:v>150</c:v>
                      </c:pt>
                      <c:pt idx="20">
                        <c:v>150</c:v>
                      </c:pt>
                      <c:pt idx="21">
                        <c:v>150</c:v>
                      </c:pt>
                      <c:pt idx="22">
                        <c:v>150</c:v>
                      </c:pt>
                      <c:pt idx="23">
                        <c:v>150</c:v>
                      </c:pt>
                      <c:pt idx="24">
                        <c:v>150</c:v>
                      </c:pt>
                      <c:pt idx="25">
                        <c:v>150</c:v>
                      </c:pt>
                      <c:pt idx="26">
                        <c:v>150</c:v>
                      </c:pt>
                      <c:pt idx="27">
                        <c:v>150</c:v>
                      </c:pt>
                      <c:pt idx="28">
                        <c:v>150</c:v>
                      </c:pt>
                      <c:pt idx="29">
                        <c:v>150</c:v>
                      </c:pt>
                      <c:pt idx="30">
                        <c:v>150</c:v>
                      </c:pt>
                      <c:pt idx="31">
                        <c:v>150</c:v>
                      </c:pt>
                      <c:pt idx="32">
                        <c:v>150</c:v>
                      </c:pt>
                      <c:pt idx="33">
                        <c:v>150</c:v>
                      </c:pt>
                      <c:pt idx="34">
                        <c:v>150</c:v>
                      </c:pt>
                      <c:pt idx="35">
                        <c:v>150</c:v>
                      </c:pt>
                      <c:pt idx="36">
                        <c:v>150</c:v>
                      </c:pt>
                      <c:pt idx="37">
                        <c:v>150</c:v>
                      </c:pt>
                      <c:pt idx="38">
                        <c:v>150</c:v>
                      </c:pt>
                      <c:pt idx="39">
                        <c:v>150</c:v>
                      </c:pt>
                      <c:pt idx="40">
                        <c:v>150</c:v>
                      </c:pt>
                      <c:pt idx="41">
                        <c:v>150</c:v>
                      </c:pt>
                      <c:pt idx="42">
                        <c:v>150</c:v>
                      </c:pt>
                      <c:pt idx="43">
                        <c:v>150</c:v>
                      </c:pt>
                      <c:pt idx="44">
                        <c:v>150</c:v>
                      </c:pt>
                      <c:pt idx="45">
                        <c:v>150</c:v>
                      </c:pt>
                      <c:pt idx="46">
                        <c:v>150</c:v>
                      </c:pt>
                      <c:pt idx="47">
                        <c:v>150</c:v>
                      </c:pt>
                      <c:pt idx="48">
                        <c:v>150</c:v>
                      </c:pt>
                      <c:pt idx="49">
                        <c:v>150</c:v>
                      </c:pt>
                      <c:pt idx="50">
                        <c:v>150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D63-4373-AA58-894986F56CB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グラフ!$J$5</c15:sqref>
                        </c15:formulaRef>
                      </c:ext>
                    </c:extLst>
                    <c:strCache>
                      <c:ptCount val="1"/>
                      <c:pt idx="0">
                        <c:v>円周方向応力inner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グラフ!$J$6:$J$56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17.730735438303412</c:v>
                      </c:pt>
                      <c:pt idx="2">
                        <c:v>35.461470876606825</c:v>
                      </c:pt>
                      <c:pt idx="3">
                        <c:v>53.192206314910223</c:v>
                      </c:pt>
                      <c:pt idx="4">
                        <c:v>70.922941753213649</c:v>
                      </c:pt>
                      <c:pt idx="5">
                        <c:v>88.653677191517048</c:v>
                      </c:pt>
                      <c:pt idx="6">
                        <c:v>106.38441262982045</c:v>
                      </c:pt>
                      <c:pt idx="7">
                        <c:v>124.11514806812387</c:v>
                      </c:pt>
                      <c:pt idx="8">
                        <c:v>141.8458835064273</c:v>
                      </c:pt>
                      <c:pt idx="9">
                        <c:v>159.57661894473071</c:v>
                      </c:pt>
                      <c:pt idx="10">
                        <c:v>177.3073543830341</c:v>
                      </c:pt>
                      <c:pt idx="11">
                        <c:v>195.03808982133751</c:v>
                      </c:pt>
                      <c:pt idx="12">
                        <c:v>212.76882525964089</c:v>
                      </c:pt>
                      <c:pt idx="13">
                        <c:v>230.49956069794436</c:v>
                      </c:pt>
                      <c:pt idx="14">
                        <c:v>248.23029613624774</c:v>
                      </c:pt>
                      <c:pt idx="15">
                        <c:v>265.96103157455116</c:v>
                      </c:pt>
                      <c:pt idx="16">
                        <c:v>283.6917670128546</c:v>
                      </c:pt>
                      <c:pt idx="17">
                        <c:v>301.42250245115798</c:v>
                      </c:pt>
                      <c:pt idx="18">
                        <c:v>319.15323788946142</c:v>
                      </c:pt>
                      <c:pt idx="19">
                        <c:v>336.88397332776481</c:v>
                      </c:pt>
                      <c:pt idx="20">
                        <c:v>354.61470876606819</c:v>
                      </c:pt>
                      <c:pt idx="21">
                        <c:v>372.34544420437152</c:v>
                      </c:pt>
                      <c:pt idx="22">
                        <c:v>390.07617964267502</c:v>
                      </c:pt>
                      <c:pt idx="23">
                        <c:v>407.80691508097846</c:v>
                      </c:pt>
                      <c:pt idx="24">
                        <c:v>425.53765051928178</c:v>
                      </c:pt>
                      <c:pt idx="25">
                        <c:v>443.26838595758528</c:v>
                      </c:pt>
                      <c:pt idx="26">
                        <c:v>460.99912139588872</c:v>
                      </c:pt>
                      <c:pt idx="27">
                        <c:v>478.72985683419205</c:v>
                      </c:pt>
                      <c:pt idx="28">
                        <c:v>496.46059227249549</c:v>
                      </c:pt>
                      <c:pt idx="29">
                        <c:v>514.19132771079876</c:v>
                      </c:pt>
                      <c:pt idx="30">
                        <c:v>531.92206314910231</c:v>
                      </c:pt>
                      <c:pt idx="31">
                        <c:v>549.65279858740564</c:v>
                      </c:pt>
                      <c:pt idx="32">
                        <c:v>567.3835340257092</c:v>
                      </c:pt>
                      <c:pt idx="33">
                        <c:v>585.11426946401264</c:v>
                      </c:pt>
                      <c:pt idx="34">
                        <c:v>602.84500490231596</c:v>
                      </c:pt>
                      <c:pt idx="35">
                        <c:v>620.5757403406194</c:v>
                      </c:pt>
                      <c:pt idx="36">
                        <c:v>638.30647577892285</c:v>
                      </c:pt>
                      <c:pt idx="37">
                        <c:v>656.03721121722617</c:v>
                      </c:pt>
                      <c:pt idx="38">
                        <c:v>673.76794665552961</c:v>
                      </c:pt>
                      <c:pt idx="39">
                        <c:v>691.49868209383283</c:v>
                      </c:pt>
                      <c:pt idx="40">
                        <c:v>709.22941753213638</c:v>
                      </c:pt>
                      <c:pt idx="41">
                        <c:v>726.96015297043982</c:v>
                      </c:pt>
                      <c:pt idx="42">
                        <c:v>744.69088840874304</c:v>
                      </c:pt>
                      <c:pt idx="43">
                        <c:v>762.42162384704659</c:v>
                      </c:pt>
                      <c:pt idx="44">
                        <c:v>780.15235928535003</c:v>
                      </c:pt>
                      <c:pt idx="45">
                        <c:v>797.88309472365336</c:v>
                      </c:pt>
                      <c:pt idx="46">
                        <c:v>815.61383016195691</c:v>
                      </c:pt>
                      <c:pt idx="47">
                        <c:v>833.34456560026035</c:v>
                      </c:pt>
                      <c:pt idx="48">
                        <c:v>851.07530103856357</c:v>
                      </c:pt>
                      <c:pt idx="49">
                        <c:v>868.80603647686712</c:v>
                      </c:pt>
                      <c:pt idx="50">
                        <c:v>886.53677191517056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D63-4373-AA58-894986F56CB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グラフ!$K$5</c15:sqref>
                        </c15:formulaRef>
                      </c:ext>
                    </c:extLst>
                    <c:strCache>
                      <c:ptCount val="1"/>
                      <c:pt idx="0">
                        <c:v>円周方向応力outer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グラフ!$K$6:$K$56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6.7310763366014434</c:v>
                      </c:pt>
                      <c:pt idx="2">
                        <c:v>13.462152673202887</c:v>
                      </c:pt>
                      <c:pt idx="3">
                        <c:v>20.19322900980433</c:v>
                      </c:pt>
                      <c:pt idx="4">
                        <c:v>26.924305346405774</c:v>
                      </c:pt>
                      <c:pt idx="5">
                        <c:v>33.655381683007214</c:v>
                      </c:pt>
                      <c:pt idx="6">
                        <c:v>40.386458019608661</c:v>
                      </c:pt>
                      <c:pt idx="7">
                        <c:v>47.117534356210101</c:v>
                      </c:pt>
                      <c:pt idx="8">
                        <c:v>53.848610692811548</c:v>
                      </c:pt>
                      <c:pt idx="9">
                        <c:v>60.579687029412987</c:v>
                      </c:pt>
                      <c:pt idx="10">
                        <c:v>67.310763366014427</c:v>
                      </c:pt>
                      <c:pt idx="11">
                        <c:v>74.041839702615889</c:v>
                      </c:pt>
                      <c:pt idx="12">
                        <c:v>80.772916039217321</c:v>
                      </c:pt>
                      <c:pt idx="13">
                        <c:v>87.503992375818783</c:v>
                      </c:pt>
                      <c:pt idx="14">
                        <c:v>94.235068712420201</c:v>
                      </c:pt>
                      <c:pt idx="15">
                        <c:v>100.96614504902165</c:v>
                      </c:pt>
                      <c:pt idx="16">
                        <c:v>107.6972213856231</c:v>
                      </c:pt>
                      <c:pt idx="17">
                        <c:v>114.42829772222454</c:v>
                      </c:pt>
                      <c:pt idx="18">
                        <c:v>121.15937405882597</c:v>
                      </c:pt>
                      <c:pt idx="19">
                        <c:v>127.89045039542744</c:v>
                      </c:pt>
                      <c:pt idx="20">
                        <c:v>134.62152673202885</c:v>
                      </c:pt>
                      <c:pt idx="21">
                        <c:v>141.35260306863029</c:v>
                      </c:pt>
                      <c:pt idx="22">
                        <c:v>148.08367940523178</c:v>
                      </c:pt>
                      <c:pt idx="23">
                        <c:v>154.81475574183321</c:v>
                      </c:pt>
                      <c:pt idx="24">
                        <c:v>161.54583207843464</c:v>
                      </c:pt>
                      <c:pt idx="25">
                        <c:v>168.2769084150361</c:v>
                      </c:pt>
                      <c:pt idx="26">
                        <c:v>175.00798475163757</c:v>
                      </c:pt>
                      <c:pt idx="27">
                        <c:v>181.73906108823894</c:v>
                      </c:pt>
                      <c:pt idx="28">
                        <c:v>188.4701374248404</c:v>
                      </c:pt>
                      <c:pt idx="29">
                        <c:v>195.20121376144184</c:v>
                      </c:pt>
                      <c:pt idx="30">
                        <c:v>201.9322900980433</c:v>
                      </c:pt>
                      <c:pt idx="31">
                        <c:v>208.66336643464473</c:v>
                      </c:pt>
                      <c:pt idx="32">
                        <c:v>215.39444277124619</c:v>
                      </c:pt>
                      <c:pt idx="33">
                        <c:v>222.12551910784765</c:v>
                      </c:pt>
                      <c:pt idx="34">
                        <c:v>228.85659544444908</c:v>
                      </c:pt>
                      <c:pt idx="35">
                        <c:v>235.58767178105055</c:v>
                      </c:pt>
                      <c:pt idx="36">
                        <c:v>242.31874811765195</c:v>
                      </c:pt>
                      <c:pt idx="37">
                        <c:v>249.04982445425338</c:v>
                      </c:pt>
                      <c:pt idx="38">
                        <c:v>255.78090079085487</c:v>
                      </c:pt>
                      <c:pt idx="39">
                        <c:v>262.5119771274563</c:v>
                      </c:pt>
                      <c:pt idx="40">
                        <c:v>269.24305346405771</c:v>
                      </c:pt>
                      <c:pt idx="41">
                        <c:v>275.97412980065917</c:v>
                      </c:pt>
                      <c:pt idx="42">
                        <c:v>282.70520613726057</c:v>
                      </c:pt>
                      <c:pt idx="43">
                        <c:v>289.43628247386204</c:v>
                      </c:pt>
                      <c:pt idx="44">
                        <c:v>296.16735881046355</c:v>
                      </c:pt>
                      <c:pt idx="45">
                        <c:v>302.89843514706496</c:v>
                      </c:pt>
                      <c:pt idx="46">
                        <c:v>309.62951148366642</c:v>
                      </c:pt>
                      <c:pt idx="47">
                        <c:v>316.36058782026788</c:v>
                      </c:pt>
                      <c:pt idx="48">
                        <c:v>323.09166415686929</c:v>
                      </c:pt>
                      <c:pt idx="49">
                        <c:v>329.82274049347075</c:v>
                      </c:pt>
                      <c:pt idx="50">
                        <c:v>336.55381683007221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D63-4373-AA58-894986F56CB1}"/>
                  </c:ext>
                </c:extLst>
              </c15:ser>
            </c15:filteredScatterSeries>
          </c:ext>
        </c:extLst>
      </c:scatterChart>
      <c:valAx>
        <c:axId val="2069338655"/>
        <c:scaling>
          <c:orientation val="minMax"/>
          <c:max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グラフ!$A$4</c:f>
              <c:strCache>
                <c:ptCount val="1"/>
                <c:pt idx="0">
                  <c:v>締め代[mm]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69334079"/>
        <c:crosses val="autoZero"/>
        <c:crossBetween val="midCat"/>
      </c:valAx>
      <c:valAx>
        <c:axId val="2069334079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グラフ!$E$4</c:f>
              <c:strCache>
                <c:ptCount val="1"/>
                <c:pt idx="0">
                  <c:v>圧入力[kN]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69338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温度 </a:t>
            </a:r>
            <a:r>
              <a:rPr lang="en-US" altLang="ja-JP"/>
              <a:t>vs Inner</a:t>
            </a:r>
            <a:r>
              <a:rPr lang="ja-JP" altLang="en-US"/>
              <a:t>応力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14"/>
          <c:order val="14"/>
          <c:tx>
            <c:strRef>
              <c:f>グラフ!$AC$5</c:f>
              <c:strCache>
                <c:ptCount val="1"/>
                <c:pt idx="0">
                  <c:v>inner応力:Δ-30℃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グラフ!$AC$6:$AC$56</c:f>
              <c:numCache>
                <c:formatCode>0.0</c:formatCode>
                <c:ptCount val="51"/>
                <c:pt idx="0">
                  <c:v>302.16444084778072</c:v>
                </c:pt>
                <c:pt idx="1">
                  <c:v>298.4753433486145</c:v>
                </c:pt>
                <c:pt idx="2">
                  <c:v>294.78624584946107</c:v>
                </c:pt>
                <c:pt idx="3">
                  <c:v>291.09714835030763</c:v>
                </c:pt>
                <c:pt idx="4">
                  <c:v>287.40805085114141</c:v>
                </c:pt>
                <c:pt idx="5">
                  <c:v>283.71895335198803</c:v>
                </c:pt>
                <c:pt idx="6">
                  <c:v>280.0298558528346</c:v>
                </c:pt>
                <c:pt idx="7">
                  <c:v>276.34075835366838</c:v>
                </c:pt>
                <c:pt idx="8">
                  <c:v>272.65166085452779</c:v>
                </c:pt>
                <c:pt idx="9">
                  <c:v>268.96256335537441</c:v>
                </c:pt>
                <c:pt idx="10">
                  <c:v>265.27346585620813</c:v>
                </c:pt>
                <c:pt idx="11">
                  <c:v>261.58436835705476</c:v>
                </c:pt>
                <c:pt idx="12">
                  <c:v>257.89527085788853</c:v>
                </c:pt>
                <c:pt idx="13">
                  <c:v>254.20617335874798</c:v>
                </c:pt>
                <c:pt idx="14">
                  <c:v>250.51707585958169</c:v>
                </c:pt>
                <c:pt idx="15">
                  <c:v>246.82797836044122</c:v>
                </c:pt>
                <c:pt idx="16">
                  <c:v>243.13888086127491</c:v>
                </c:pt>
                <c:pt idx="17">
                  <c:v>239.44978336210866</c:v>
                </c:pt>
                <c:pt idx="18">
                  <c:v>235.76068586296813</c:v>
                </c:pt>
                <c:pt idx="19">
                  <c:v>232.07158836380185</c:v>
                </c:pt>
                <c:pt idx="20">
                  <c:v>228.3824908646356</c:v>
                </c:pt>
                <c:pt idx="21">
                  <c:v>224.6933933654951</c:v>
                </c:pt>
                <c:pt idx="22">
                  <c:v>221.00429586631594</c:v>
                </c:pt>
                <c:pt idx="23">
                  <c:v>217.31519836717538</c:v>
                </c:pt>
                <c:pt idx="24">
                  <c:v>213.62610086800913</c:v>
                </c:pt>
                <c:pt idx="25">
                  <c:v>209.93700336885576</c:v>
                </c:pt>
                <c:pt idx="26">
                  <c:v>206.24790586971525</c:v>
                </c:pt>
                <c:pt idx="27">
                  <c:v>202.558808370549</c:v>
                </c:pt>
                <c:pt idx="28">
                  <c:v>198.86971087140844</c:v>
                </c:pt>
                <c:pt idx="29">
                  <c:v>195.18061337222929</c:v>
                </c:pt>
                <c:pt idx="30">
                  <c:v>191.49151587308879</c:v>
                </c:pt>
                <c:pt idx="31">
                  <c:v>187.80241837392254</c:v>
                </c:pt>
                <c:pt idx="32">
                  <c:v>184.11332087476916</c:v>
                </c:pt>
                <c:pt idx="33">
                  <c:v>180.42422337560288</c:v>
                </c:pt>
                <c:pt idx="34">
                  <c:v>176.73512587644944</c:v>
                </c:pt>
                <c:pt idx="35">
                  <c:v>173.04602837728319</c:v>
                </c:pt>
                <c:pt idx="36">
                  <c:v>169.35693087815554</c:v>
                </c:pt>
                <c:pt idx="37">
                  <c:v>165.66783337900216</c:v>
                </c:pt>
                <c:pt idx="38">
                  <c:v>161.97873587983591</c:v>
                </c:pt>
                <c:pt idx="39">
                  <c:v>158.28963838069538</c:v>
                </c:pt>
                <c:pt idx="40">
                  <c:v>154.60054088151622</c:v>
                </c:pt>
                <c:pt idx="41">
                  <c:v>150.91144338236285</c:v>
                </c:pt>
                <c:pt idx="42">
                  <c:v>147.22234588320944</c:v>
                </c:pt>
                <c:pt idx="43">
                  <c:v>143.53324838404319</c:v>
                </c:pt>
                <c:pt idx="44">
                  <c:v>139.84415088487691</c:v>
                </c:pt>
                <c:pt idx="45">
                  <c:v>136.15505338573641</c:v>
                </c:pt>
                <c:pt idx="46">
                  <c:v>132.46595588658298</c:v>
                </c:pt>
                <c:pt idx="47">
                  <c:v>128.7768583874296</c:v>
                </c:pt>
                <c:pt idx="48">
                  <c:v>125.08776088827622</c:v>
                </c:pt>
                <c:pt idx="49">
                  <c:v>121.39866338912283</c:v>
                </c:pt>
                <c:pt idx="50">
                  <c:v>117.70956588995655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495-4A62-9571-892853E3761F}"/>
            </c:ext>
          </c:extLst>
        </c:ser>
        <c:ser>
          <c:idx val="15"/>
          <c:order val="15"/>
          <c:tx>
            <c:strRef>
              <c:f>グラフ!$AD$5</c:f>
              <c:strCache>
                <c:ptCount val="1"/>
                <c:pt idx="0">
                  <c:v>inner応力:Δ-20℃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グラフ!$AD$6:$AD$56</c:f>
              <c:numCache>
                <c:formatCode>0.0</c:formatCode>
                <c:ptCount val="51"/>
                <c:pt idx="0">
                  <c:v>285.08311354817113</c:v>
                </c:pt>
                <c:pt idx="1">
                  <c:v>281.3940160490306</c:v>
                </c:pt>
                <c:pt idx="2">
                  <c:v>277.70491854986426</c:v>
                </c:pt>
                <c:pt idx="3">
                  <c:v>274.01582105069804</c:v>
                </c:pt>
                <c:pt idx="4">
                  <c:v>270.32672355154466</c:v>
                </c:pt>
                <c:pt idx="5">
                  <c:v>266.63762605237838</c:v>
                </c:pt>
                <c:pt idx="6">
                  <c:v>262.94852855323785</c:v>
                </c:pt>
                <c:pt idx="7">
                  <c:v>259.25943105407157</c:v>
                </c:pt>
                <c:pt idx="8">
                  <c:v>255.57033355491816</c:v>
                </c:pt>
                <c:pt idx="9">
                  <c:v>251.88123605577769</c:v>
                </c:pt>
                <c:pt idx="10">
                  <c:v>248.19213855659854</c:v>
                </c:pt>
                <c:pt idx="11">
                  <c:v>244.50304105745801</c:v>
                </c:pt>
                <c:pt idx="12">
                  <c:v>240.81394355829175</c:v>
                </c:pt>
                <c:pt idx="13">
                  <c:v>237.12484605913838</c:v>
                </c:pt>
                <c:pt idx="14">
                  <c:v>233.43574855998494</c:v>
                </c:pt>
                <c:pt idx="15">
                  <c:v>229.74665106083154</c:v>
                </c:pt>
                <c:pt idx="16">
                  <c:v>226.05755356167816</c:v>
                </c:pt>
                <c:pt idx="17">
                  <c:v>222.36845606251191</c:v>
                </c:pt>
                <c:pt idx="18">
                  <c:v>218.67935856335853</c:v>
                </c:pt>
                <c:pt idx="19">
                  <c:v>214.99026106420516</c:v>
                </c:pt>
                <c:pt idx="20">
                  <c:v>211.30116356502597</c:v>
                </c:pt>
                <c:pt idx="21">
                  <c:v>207.61206606588544</c:v>
                </c:pt>
                <c:pt idx="22">
                  <c:v>203.92296856671919</c:v>
                </c:pt>
                <c:pt idx="23">
                  <c:v>200.23387106756581</c:v>
                </c:pt>
                <c:pt idx="24">
                  <c:v>196.54477356841244</c:v>
                </c:pt>
                <c:pt idx="25">
                  <c:v>192.85567606927191</c:v>
                </c:pt>
                <c:pt idx="26">
                  <c:v>189.16657857011847</c:v>
                </c:pt>
                <c:pt idx="27">
                  <c:v>185.47748107093935</c:v>
                </c:pt>
                <c:pt idx="28">
                  <c:v>181.78838357179885</c:v>
                </c:pt>
                <c:pt idx="29">
                  <c:v>178.09928607263259</c:v>
                </c:pt>
                <c:pt idx="30">
                  <c:v>174.41018857347916</c:v>
                </c:pt>
                <c:pt idx="31">
                  <c:v>170.72109107431291</c:v>
                </c:pt>
                <c:pt idx="32">
                  <c:v>167.03199357517238</c:v>
                </c:pt>
                <c:pt idx="33">
                  <c:v>163.34289607599322</c:v>
                </c:pt>
                <c:pt idx="34">
                  <c:v>159.65379857686557</c:v>
                </c:pt>
                <c:pt idx="35">
                  <c:v>155.96470107769932</c:v>
                </c:pt>
                <c:pt idx="36">
                  <c:v>152.27560357854594</c:v>
                </c:pt>
                <c:pt idx="37">
                  <c:v>148.58650607940541</c:v>
                </c:pt>
                <c:pt idx="38">
                  <c:v>144.89740858022626</c:v>
                </c:pt>
                <c:pt idx="39">
                  <c:v>141.20831108108575</c:v>
                </c:pt>
                <c:pt idx="40">
                  <c:v>137.5192135819195</c:v>
                </c:pt>
                <c:pt idx="41">
                  <c:v>133.83011608275319</c:v>
                </c:pt>
                <c:pt idx="42">
                  <c:v>130.14101858359982</c:v>
                </c:pt>
                <c:pt idx="43">
                  <c:v>126.45192108444644</c:v>
                </c:pt>
                <c:pt idx="44">
                  <c:v>122.76282358529303</c:v>
                </c:pt>
                <c:pt idx="45">
                  <c:v>119.07372608613964</c:v>
                </c:pt>
                <c:pt idx="46">
                  <c:v>115.38462858697338</c:v>
                </c:pt>
                <c:pt idx="47">
                  <c:v>111.69553108783286</c:v>
                </c:pt>
                <c:pt idx="48">
                  <c:v>108.00643358866657</c:v>
                </c:pt>
                <c:pt idx="49">
                  <c:v>104.31733608951319</c:v>
                </c:pt>
                <c:pt idx="50">
                  <c:v>100.62823859035981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D495-4A62-9571-892853E3761F}"/>
            </c:ext>
          </c:extLst>
        </c:ser>
        <c:ser>
          <c:idx val="16"/>
          <c:order val="16"/>
          <c:tx>
            <c:strRef>
              <c:f>グラフ!$AE$5</c:f>
              <c:strCache>
                <c:ptCount val="1"/>
                <c:pt idx="0">
                  <c:v>inner応力:Δ-10℃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グラフ!$AE$6:$AE$56</c:f>
              <c:numCache>
                <c:formatCode>0.0</c:formatCode>
                <c:ptCount val="51"/>
                <c:pt idx="0">
                  <c:v>268.00178624857432</c:v>
                </c:pt>
                <c:pt idx="1">
                  <c:v>264.31268874942094</c:v>
                </c:pt>
                <c:pt idx="2">
                  <c:v>260.62359125026751</c:v>
                </c:pt>
                <c:pt idx="3">
                  <c:v>256.93449375108844</c:v>
                </c:pt>
                <c:pt idx="4">
                  <c:v>253.24539625194791</c:v>
                </c:pt>
                <c:pt idx="5">
                  <c:v>249.55629875278169</c:v>
                </c:pt>
                <c:pt idx="6">
                  <c:v>245.86720125362822</c:v>
                </c:pt>
                <c:pt idx="7">
                  <c:v>242.17810375447482</c:v>
                </c:pt>
                <c:pt idx="8">
                  <c:v>238.4890062553086</c:v>
                </c:pt>
                <c:pt idx="9">
                  <c:v>234.79990875618094</c:v>
                </c:pt>
                <c:pt idx="10">
                  <c:v>231.11081125700179</c:v>
                </c:pt>
                <c:pt idx="11">
                  <c:v>227.42171375784841</c:v>
                </c:pt>
                <c:pt idx="12">
                  <c:v>223.732616258695</c:v>
                </c:pt>
                <c:pt idx="13">
                  <c:v>220.04351875952869</c:v>
                </c:pt>
                <c:pt idx="14">
                  <c:v>216.35442126038822</c:v>
                </c:pt>
                <c:pt idx="15">
                  <c:v>212.66532376123484</c:v>
                </c:pt>
                <c:pt idx="16">
                  <c:v>208.97622626206856</c:v>
                </c:pt>
                <c:pt idx="17">
                  <c:v>205.28712876291516</c:v>
                </c:pt>
                <c:pt idx="18">
                  <c:v>201.59803126374891</c:v>
                </c:pt>
                <c:pt idx="19">
                  <c:v>197.90893376459547</c:v>
                </c:pt>
                <c:pt idx="20">
                  <c:v>194.21983626542922</c:v>
                </c:pt>
                <c:pt idx="21">
                  <c:v>190.53073876627585</c:v>
                </c:pt>
                <c:pt idx="22">
                  <c:v>186.84164126712244</c:v>
                </c:pt>
                <c:pt idx="23">
                  <c:v>183.15254376798194</c:v>
                </c:pt>
                <c:pt idx="24">
                  <c:v>179.46344626881569</c:v>
                </c:pt>
                <c:pt idx="25">
                  <c:v>175.77434876966231</c:v>
                </c:pt>
                <c:pt idx="26">
                  <c:v>172.08525127050888</c:v>
                </c:pt>
                <c:pt idx="27">
                  <c:v>168.3961537713426</c:v>
                </c:pt>
                <c:pt idx="28">
                  <c:v>164.70705627218922</c:v>
                </c:pt>
                <c:pt idx="29">
                  <c:v>161.01795877302297</c:v>
                </c:pt>
                <c:pt idx="30">
                  <c:v>157.32886127388244</c:v>
                </c:pt>
                <c:pt idx="31">
                  <c:v>153.63976377470328</c:v>
                </c:pt>
                <c:pt idx="32">
                  <c:v>149.9506662755885</c:v>
                </c:pt>
                <c:pt idx="33">
                  <c:v>146.26156877640938</c:v>
                </c:pt>
                <c:pt idx="34">
                  <c:v>142.57247127725597</c:v>
                </c:pt>
                <c:pt idx="35">
                  <c:v>138.88337377810259</c:v>
                </c:pt>
                <c:pt idx="36">
                  <c:v>135.19427627893631</c:v>
                </c:pt>
                <c:pt idx="37">
                  <c:v>131.50517877979578</c:v>
                </c:pt>
                <c:pt idx="38">
                  <c:v>127.81608128062953</c:v>
                </c:pt>
                <c:pt idx="39">
                  <c:v>124.12698378147613</c:v>
                </c:pt>
                <c:pt idx="40">
                  <c:v>120.43788628230986</c:v>
                </c:pt>
                <c:pt idx="41">
                  <c:v>116.74878878315647</c:v>
                </c:pt>
                <c:pt idx="42">
                  <c:v>113.05969128401597</c:v>
                </c:pt>
                <c:pt idx="43">
                  <c:v>109.37059378484969</c:v>
                </c:pt>
                <c:pt idx="44">
                  <c:v>105.68149628568342</c:v>
                </c:pt>
                <c:pt idx="45">
                  <c:v>101.99239878654289</c:v>
                </c:pt>
                <c:pt idx="46">
                  <c:v>98.303301287363752</c:v>
                </c:pt>
                <c:pt idx="47">
                  <c:v>94.614203788223236</c:v>
                </c:pt>
                <c:pt idx="48">
                  <c:v>90.925106289069845</c:v>
                </c:pt>
                <c:pt idx="49">
                  <c:v>87.236008789903579</c:v>
                </c:pt>
                <c:pt idx="50">
                  <c:v>83.546911290750174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495-4A62-9571-892853E3761F}"/>
            </c:ext>
          </c:extLst>
        </c:ser>
        <c:ser>
          <c:idx val="17"/>
          <c:order val="17"/>
          <c:tx>
            <c:strRef>
              <c:f>グラフ!$AF$5</c:f>
              <c:strCache>
                <c:ptCount val="1"/>
                <c:pt idx="0">
                  <c:v>inner応力:Δ0℃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グラフ!$AF$6:$AF$56</c:f>
              <c:numCache>
                <c:formatCode>0.0</c:formatCode>
                <c:ptCount val="51"/>
                <c:pt idx="0">
                  <c:v>250.92045894897757</c:v>
                </c:pt>
                <c:pt idx="1">
                  <c:v>247.23136144981132</c:v>
                </c:pt>
                <c:pt idx="2">
                  <c:v>243.54226395067082</c:v>
                </c:pt>
                <c:pt idx="3">
                  <c:v>239.85316645149172</c:v>
                </c:pt>
                <c:pt idx="4">
                  <c:v>236.16406895233823</c:v>
                </c:pt>
                <c:pt idx="5">
                  <c:v>232.47497145318485</c:v>
                </c:pt>
                <c:pt idx="6">
                  <c:v>228.78587395401863</c:v>
                </c:pt>
                <c:pt idx="7">
                  <c:v>225.0967764548781</c:v>
                </c:pt>
                <c:pt idx="8">
                  <c:v>221.40767895571184</c:v>
                </c:pt>
                <c:pt idx="9">
                  <c:v>217.71858145657131</c:v>
                </c:pt>
                <c:pt idx="10">
                  <c:v>214.02948395740503</c:v>
                </c:pt>
                <c:pt idx="11">
                  <c:v>210.34038645823875</c:v>
                </c:pt>
                <c:pt idx="12">
                  <c:v>206.65128895909825</c:v>
                </c:pt>
                <c:pt idx="13">
                  <c:v>202.962191459932</c:v>
                </c:pt>
                <c:pt idx="14">
                  <c:v>199.27309396077857</c:v>
                </c:pt>
                <c:pt idx="15">
                  <c:v>195.58399646163809</c:v>
                </c:pt>
                <c:pt idx="16">
                  <c:v>191.89489896245894</c:v>
                </c:pt>
                <c:pt idx="17">
                  <c:v>188.20580146330553</c:v>
                </c:pt>
                <c:pt idx="18">
                  <c:v>184.51670396415216</c:v>
                </c:pt>
                <c:pt idx="19">
                  <c:v>180.82760646498585</c:v>
                </c:pt>
                <c:pt idx="20">
                  <c:v>177.13850896583247</c:v>
                </c:pt>
                <c:pt idx="21">
                  <c:v>173.44941146669197</c:v>
                </c:pt>
                <c:pt idx="22">
                  <c:v>169.76031396752572</c:v>
                </c:pt>
                <c:pt idx="23">
                  <c:v>166.07121646837234</c:v>
                </c:pt>
                <c:pt idx="24">
                  <c:v>162.38211896920603</c:v>
                </c:pt>
                <c:pt idx="25">
                  <c:v>158.69302147006553</c:v>
                </c:pt>
                <c:pt idx="26">
                  <c:v>155.00392397089925</c:v>
                </c:pt>
                <c:pt idx="27">
                  <c:v>151.314826471733</c:v>
                </c:pt>
                <c:pt idx="28">
                  <c:v>147.62572897259247</c:v>
                </c:pt>
                <c:pt idx="29">
                  <c:v>143.93663147341331</c:v>
                </c:pt>
                <c:pt idx="30">
                  <c:v>140.24753397429853</c:v>
                </c:pt>
                <c:pt idx="31">
                  <c:v>136.55843647511941</c:v>
                </c:pt>
                <c:pt idx="32">
                  <c:v>132.86933897597891</c:v>
                </c:pt>
                <c:pt idx="33">
                  <c:v>129.18024147681263</c:v>
                </c:pt>
                <c:pt idx="34">
                  <c:v>125.49114397764636</c:v>
                </c:pt>
                <c:pt idx="35">
                  <c:v>121.80204647849295</c:v>
                </c:pt>
                <c:pt idx="36">
                  <c:v>118.11294897933958</c:v>
                </c:pt>
                <c:pt idx="37">
                  <c:v>114.42385148018617</c:v>
                </c:pt>
                <c:pt idx="38">
                  <c:v>110.73475398101989</c:v>
                </c:pt>
                <c:pt idx="39">
                  <c:v>107.04565648187939</c:v>
                </c:pt>
                <c:pt idx="40">
                  <c:v>103.35655898272599</c:v>
                </c:pt>
                <c:pt idx="41">
                  <c:v>99.667461483559734</c:v>
                </c:pt>
                <c:pt idx="42">
                  <c:v>95.978363984406329</c:v>
                </c:pt>
                <c:pt idx="43">
                  <c:v>92.289266485252938</c:v>
                </c:pt>
                <c:pt idx="44">
                  <c:v>88.600168986073811</c:v>
                </c:pt>
                <c:pt idx="45">
                  <c:v>84.911071486933267</c:v>
                </c:pt>
                <c:pt idx="46">
                  <c:v>81.221973987767015</c:v>
                </c:pt>
                <c:pt idx="47">
                  <c:v>77.532876488613624</c:v>
                </c:pt>
                <c:pt idx="48">
                  <c:v>73.843778989460219</c:v>
                </c:pt>
                <c:pt idx="49">
                  <c:v>70.154681490306828</c:v>
                </c:pt>
                <c:pt idx="50">
                  <c:v>66.465583991166312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D495-4A62-9571-892853E3761F}"/>
            </c:ext>
          </c:extLst>
        </c:ser>
        <c:ser>
          <c:idx val="18"/>
          <c:order val="18"/>
          <c:tx>
            <c:strRef>
              <c:f>グラフ!$AG$5</c:f>
              <c:strCache>
                <c:ptCount val="1"/>
                <c:pt idx="0">
                  <c:v>inner応力:Δ+10℃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グラフ!$AG$6:$AG$56</c:f>
              <c:numCache>
                <c:formatCode>0.0</c:formatCode>
                <c:ptCount val="51"/>
                <c:pt idx="0">
                  <c:v>233.83913164938087</c:v>
                </c:pt>
                <c:pt idx="1">
                  <c:v>230.15003415021457</c:v>
                </c:pt>
                <c:pt idx="2">
                  <c:v>226.46093665106119</c:v>
                </c:pt>
                <c:pt idx="3">
                  <c:v>222.77183915189491</c:v>
                </c:pt>
                <c:pt idx="4">
                  <c:v>219.08274165272869</c:v>
                </c:pt>
                <c:pt idx="5">
                  <c:v>215.39364415358813</c:v>
                </c:pt>
                <c:pt idx="6">
                  <c:v>211.70454665442185</c:v>
                </c:pt>
                <c:pt idx="7">
                  <c:v>208.01544915526847</c:v>
                </c:pt>
                <c:pt idx="8">
                  <c:v>204.32635165611509</c:v>
                </c:pt>
                <c:pt idx="9">
                  <c:v>200.63725415696172</c:v>
                </c:pt>
                <c:pt idx="10">
                  <c:v>196.94815665780831</c:v>
                </c:pt>
                <c:pt idx="11">
                  <c:v>193.259059158642</c:v>
                </c:pt>
                <c:pt idx="12">
                  <c:v>189.56996165948863</c:v>
                </c:pt>
                <c:pt idx="13">
                  <c:v>185.88086416033525</c:v>
                </c:pt>
                <c:pt idx="14">
                  <c:v>182.191766661169</c:v>
                </c:pt>
                <c:pt idx="15">
                  <c:v>178.5026691620285</c:v>
                </c:pt>
                <c:pt idx="16">
                  <c:v>174.81357166286216</c:v>
                </c:pt>
                <c:pt idx="17">
                  <c:v>171.12447416369591</c:v>
                </c:pt>
                <c:pt idx="18">
                  <c:v>167.43537666455541</c:v>
                </c:pt>
                <c:pt idx="19">
                  <c:v>163.74627916540203</c:v>
                </c:pt>
                <c:pt idx="20">
                  <c:v>160.05718166623575</c:v>
                </c:pt>
                <c:pt idx="21">
                  <c:v>156.36808416708234</c:v>
                </c:pt>
                <c:pt idx="22">
                  <c:v>152.67898666791606</c:v>
                </c:pt>
                <c:pt idx="23">
                  <c:v>148.98988916877556</c:v>
                </c:pt>
                <c:pt idx="24">
                  <c:v>145.30079166959641</c:v>
                </c:pt>
                <c:pt idx="25">
                  <c:v>141.61169417045588</c:v>
                </c:pt>
                <c:pt idx="26">
                  <c:v>137.9225966713025</c:v>
                </c:pt>
                <c:pt idx="27">
                  <c:v>134.23349917212335</c:v>
                </c:pt>
                <c:pt idx="28">
                  <c:v>130.54440167300859</c:v>
                </c:pt>
                <c:pt idx="29">
                  <c:v>126.85530417382945</c:v>
                </c:pt>
                <c:pt idx="30">
                  <c:v>123.16620667468892</c:v>
                </c:pt>
                <c:pt idx="31">
                  <c:v>119.47710917552267</c:v>
                </c:pt>
                <c:pt idx="32">
                  <c:v>115.78801167636925</c:v>
                </c:pt>
                <c:pt idx="33">
                  <c:v>112.09891417720301</c:v>
                </c:pt>
                <c:pt idx="34">
                  <c:v>108.40981667804962</c:v>
                </c:pt>
                <c:pt idx="35">
                  <c:v>104.72071917888334</c:v>
                </c:pt>
                <c:pt idx="36">
                  <c:v>101.03162167972997</c:v>
                </c:pt>
                <c:pt idx="37">
                  <c:v>97.342524180589436</c:v>
                </c:pt>
                <c:pt idx="38">
                  <c:v>93.653426681436031</c:v>
                </c:pt>
                <c:pt idx="39">
                  <c:v>89.96432918228264</c:v>
                </c:pt>
                <c:pt idx="40">
                  <c:v>86.275231683116374</c:v>
                </c:pt>
                <c:pt idx="41">
                  <c:v>82.586134183962983</c:v>
                </c:pt>
                <c:pt idx="42">
                  <c:v>78.897036684796717</c:v>
                </c:pt>
                <c:pt idx="43">
                  <c:v>75.207939185643312</c:v>
                </c:pt>
                <c:pt idx="44">
                  <c:v>71.518841686477046</c:v>
                </c:pt>
                <c:pt idx="45">
                  <c:v>67.829744187323655</c:v>
                </c:pt>
                <c:pt idx="46">
                  <c:v>64.140646688157389</c:v>
                </c:pt>
                <c:pt idx="47">
                  <c:v>60.45154918901688</c:v>
                </c:pt>
                <c:pt idx="48">
                  <c:v>56.762451689876357</c:v>
                </c:pt>
                <c:pt idx="49">
                  <c:v>53.073354190710091</c:v>
                </c:pt>
                <c:pt idx="50">
                  <c:v>49.384256691556686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495-4A62-9571-892853E3761F}"/>
            </c:ext>
          </c:extLst>
        </c:ser>
        <c:ser>
          <c:idx val="19"/>
          <c:order val="19"/>
          <c:tx>
            <c:strRef>
              <c:f>グラフ!$AH$5</c:f>
              <c:strCache>
                <c:ptCount val="1"/>
                <c:pt idx="0">
                  <c:v>inner応力:Δ+20℃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グラフ!$AH$6:$AH$56</c:f>
              <c:numCache>
                <c:formatCode>0.0</c:formatCode>
                <c:ptCount val="51"/>
                <c:pt idx="0">
                  <c:v>216.75780434977125</c:v>
                </c:pt>
                <c:pt idx="1">
                  <c:v>213.06870685061787</c:v>
                </c:pt>
                <c:pt idx="2">
                  <c:v>209.37960935145156</c:v>
                </c:pt>
                <c:pt idx="3">
                  <c:v>205.69051185229819</c:v>
                </c:pt>
                <c:pt idx="4">
                  <c:v>202.00141435313188</c:v>
                </c:pt>
                <c:pt idx="5">
                  <c:v>198.3123168539785</c:v>
                </c:pt>
                <c:pt idx="6">
                  <c:v>194.62321935482512</c:v>
                </c:pt>
                <c:pt idx="7">
                  <c:v>190.93412185565887</c:v>
                </c:pt>
                <c:pt idx="8">
                  <c:v>187.24502435651834</c:v>
                </c:pt>
                <c:pt idx="9">
                  <c:v>183.55592685736494</c:v>
                </c:pt>
                <c:pt idx="10">
                  <c:v>179.86682935819866</c:v>
                </c:pt>
                <c:pt idx="11">
                  <c:v>176.17773185904528</c:v>
                </c:pt>
                <c:pt idx="12">
                  <c:v>172.48863435987903</c:v>
                </c:pt>
                <c:pt idx="13">
                  <c:v>168.79953686072562</c:v>
                </c:pt>
                <c:pt idx="14">
                  <c:v>165.11043936157225</c:v>
                </c:pt>
                <c:pt idx="15">
                  <c:v>161.42134186241881</c:v>
                </c:pt>
                <c:pt idx="16">
                  <c:v>157.73224436326544</c:v>
                </c:pt>
                <c:pt idx="17">
                  <c:v>154.04314686411203</c:v>
                </c:pt>
                <c:pt idx="18">
                  <c:v>150.35404936495866</c:v>
                </c:pt>
                <c:pt idx="19">
                  <c:v>146.6649518657924</c:v>
                </c:pt>
                <c:pt idx="20">
                  <c:v>142.97585436662612</c:v>
                </c:pt>
                <c:pt idx="21">
                  <c:v>139.28675686748559</c:v>
                </c:pt>
                <c:pt idx="22">
                  <c:v>135.59765936830644</c:v>
                </c:pt>
                <c:pt idx="23">
                  <c:v>131.90856186916594</c:v>
                </c:pt>
                <c:pt idx="24">
                  <c:v>128.21946436999968</c:v>
                </c:pt>
                <c:pt idx="25">
                  <c:v>124.53036687084629</c:v>
                </c:pt>
                <c:pt idx="26">
                  <c:v>120.84126937171864</c:v>
                </c:pt>
                <c:pt idx="27">
                  <c:v>117.15217187253948</c:v>
                </c:pt>
                <c:pt idx="28">
                  <c:v>113.46307437339897</c:v>
                </c:pt>
                <c:pt idx="29">
                  <c:v>109.77397687423272</c:v>
                </c:pt>
                <c:pt idx="30">
                  <c:v>106.0848793750793</c:v>
                </c:pt>
                <c:pt idx="31">
                  <c:v>102.39578187591306</c:v>
                </c:pt>
                <c:pt idx="32">
                  <c:v>98.706684376772529</c:v>
                </c:pt>
                <c:pt idx="33">
                  <c:v>95.017586877593388</c:v>
                </c:pt>
                <c:pt idx="34">
                  <c:v>91.328489378439983</c:v>
                </c:pt>
                <c:pt idx="35">
                  <c:v>87.639391879286606</c:v>
                </c:pt>
                <c:pt idx="36">
                  <c:v>83.950294380146076</c:v>
                </c:pt>
                <c:pt idx="37">
                  <c:v>80.261196880992685</c:v>
                </c:pt>
                <c:pt idx="38">
                  <c:v>76.572099381826419</c:v>
                </c:pt>
                <c:pt idx="39">
                  <c:v>72.883001882685889</c:v>
                </c:pt>
                <c:pt idx="40">
                  <c:v>69.193904383506762</c:v>
                </c:pt>
                <c:pt idx="41">
                  <c:v>65.504806884353357</c:v>
                </c:pt>
                <c:pt idx="42">
                  <c:v>61.815709385199966</c:v>
                </c:pt>
                <c:pt idx="43">
                  <c:v>58.126611886033707</c:v>
                </c:pt>
                <c:pt idx="44">
                  <c:v>54.437514386867434</c:v>
                </c:pt>
                <c:pt idx="45">
                  <c:v>50.748416887726911</c:v>
                </c:pt>
                <c:pt idx="46">
                  <c:v>47.05931938857352</c:v>
                </c:pt>
                <c:pt idx="47">
                  <c:v>43.370221889420122</c:v>
                </c:pt>
                <c:pt idx="48">
                  <c:v>39.681124390266724</c:v>
                </c:pt>
                <c:pt idx="49">
                  <c:v>35.992026891113333</c:v>
                </c:pt>
                <c:pt idx="50">
                  <c:v>32.302929391947075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D495-4A62-9571-892853E3761F}"/>
            </c:ext>
          </c:extLst>
        </c:ser>
        <c:ser>
          <c:idx val="20"/>
          <c:order val="20"/>
          <c:tx>
            <c:strRef>
              <c:f>グラフ!$AI$5</c:f>
              <c:strCache>
                <c:ptCount val="1"/>
                <c:pt idx="0">
                  <c:v>inner応力:Δ+30℃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グラフ!$AI$6:$AI$56</c:f>
              <c:numCache>
                <c:formatCode>0.0</c:formatCode>
                <c:ptCount val="51"/>
                <c:pt idx="0">
                  <c:v>199.67647705016159</c:v>
                </c:pt>
                <c:pt idx="1">
                  <c:v>195.98737955102106</c:v>
                </c:pt>
                <c:pt idx="2">
                  <c:v>192.29828205185481</c:v>
                </c:pt>
                <c:pt idx="3">
                  <c:v>188.60918455268856</c:v>
                </c:pt>
                <c:pt idx="4">
                  <c:v>184.92008705353518</c:v>
                </c:pt>
                <c:pt idx="5">
                  <c:v>181.23098955436893</c:v>
                </c:pt>
                <c:pt idx="6">
                  <c:v>177.54189205522837</c:v>
                </c:pt>
                <c:pt idx="7">
                  <c:v>173.85279455606209</c:v>
                </c:pt>
                <c:pt idx="8">
                  <c:v>170.16369705690872</c:v>
                </c:pt>
                <c:pt idx="9">
                  <c:v>166.47459955776822</c:v>
                </c:pt>
                <c:pt idx="10">
                  <c:v>162.78550205858906</c:v>
                </c:pt>
                <c:pt idx="11">
                  <c:v>159.09640455943568</c:v>
                </c:pt>
                <c:pt idx="12">
                  <c:v>155.40730706028228</c:v>
                </c:pt>
                <c:pt idx="13">
                  <c:v>151.718209561116</c:v>
                </c:pt>
                <c:pt idx="14">
                  <c:v>148.02911206197547</c:v>
                </c:pt>
                <c:pt idx="15">
                  <c:v>144.34001456283497</c:v>
                </c:pt>
                <c:pt idx="16">
                  <c:v>140.65091706366871</c:v>
                </c:pt>
                <c:pt idx="17">
                  <c:v>136.96181956450243</c:v>
                </c:pt>
                <c:pt idx="18">
                  <c:v>133.27272206534903</c:v>
                </c:pt>
                <c:pt idx="19">
                  <c:v>129.58362456619562</c:v>
                </c:pt>
                <c:pt idx="20">
                  <c:v>125.89452706701651</c:v>
                </c:pt>
                <c:pt idx="21">
                  <c:v>122.20542956787598</c:v>
                </c:pt>
                <c:pt idx="22">
                  <c:v>118.51633206870972</c:v>
                </c:pt>
                <c:pt idx="23">
                  <c:v>114.82723456955634</c:v>
                </c:pt>
                <c:pt idx="24">
                  <c:v>111.13813707041581</c:v>
                </c:pt>
                <c:pt idx="25">
                  <c:v>107.44903957126239</c:v>
                </c:pt>
                <c:pt idx="26">
                  <c:v>103.75994207210901</c:v>
                </c:pt>
                <c:pt idx="27">
                  <c:v>100.07084457294276</c:v>
                </c:pt>
                <c:pt idx="28">
                  <c:v>96.381747073789342</c:v>
                </c:pt>
                <c:pt idx="29">
                  <c:v>92.692649574623076</c:v>
                </c:pt>
                <c:pt idx="30">
                  <c:v>89.003552075482574</c:v>
                </c:pt>
                <c:pt idx="31">
                  <c:v>85.314454576303405</c:v>
                </c:pt>
                <c:pt idx="32">
                  <c:v>81.625357077162889</c:v>
                </c:pt>
                <c:pt idx="33">
                  <c:v>77.936259577996637</c:v>
                </c:pt>
                <c:pt idx="34">
                  <c:v>74.247162078856107</c:v>
                </c:pt>
                <c:pt idx="35">
                  <c:v>70.558064579689855</c:v>
                </c:pt>
                <c:pt idx="36">
                  <c:v>66.86896708053645</c:v>
                </c:pt>
                <c:pt idx="37">
                  <c:v>63.179869581395934</c:v>
                </c:pt>
                <c:pt idx="38">
                  <c:v>59.490772082216793</c:v>
                </c:pt>
                <c:pt idx="39">
                  <c:v>55.801674583076277</c:v>
                </c:pt>
                <c:pt idx="40">
                  <c:v>52.112577083910011</c:v>
                </c:pt>
                <c:pt idx="41">
                  <c:v>48.423479584743752</c:v>
                </c:pt>
                <c:pt idx="42">
                  <c:v>44.734382085590347</c:v>
                </c:pt>
                <c:pt idx="43">
                  <c:v>41.045284586436956</c:v>
                </c:pt>
                <c:pt idx="44">
                  <c:v>37.356187087283558</c:v>
                </c:pt>
                <c:pt idx="45">
                  <c:v>33.667089588130167</c:v>
                </c:pt>
                <c:pt idx="46">
                  <c:v>29.977992088963902</c:v>
                </c:pt>
                <c:pt idx="47">
                  <c:v>26.288894589823379</c:v>
                </c:pt>
                <c:pt idx="48">
                  <c:v>22.599797090657116</c:v>
                </c:pt>
                <c:pt idx="49">
                  <c:v>18.910699591503718</c:v>
                </c:pt>
                <c:pt idx="50">
                  <c:v>15.221602092350325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D495-4A62-9571-892853E3761F}"/>
            </c:ext>
          </c:extLst>
        </c:ser>
        <c:ser>
          <c:idx val="21"/>
          <c:order val="21"/>
          <c:tx>
            <c:strRef>
              <c:f>グラフ!$AJ$5</c:f>
              <c:strCache>
                <c:ptCount val="1"/>
                <c:pt idx="0">
                  <c:v>inner降伏点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グラフ!$AJ$6:$AJ$56</c:f>
              <c:numCache>
                <c:formatCode>0.0</c:formatCode>
                <c:ptCount val="51"/>
                <c:pt idx="0">
                  <c:v>345</c:v>
                </c:pt>
                <c:pt idx="1">
                  <c:v>345</c:v>
                </c:pt>
                <c:pt idx="2">
                  <c:v>345</c:v>
                </c:pt>
                <c:pt idx="3">
                  <c:v>345</c:v>
                </c:pt>
                <c:pt idx="4">
                  <c:v>345</c:v>
                </c:pt>
                <c:pt idx="5">
                  <c:v>345</c:v>
                </c:pt>
                <c:pt idx="6">
                  <c:v>345</c:v>
                </c:pt>
                <c:pt idx="7">
                  <c:v>345</c:v>
                </c:pt>
                <c:pt idx="8">
                  <c:v>345</c:v>
                </c:pt>
                <c:pt idx="9">
                  <c:v>345</c:v>
                </c:pt>
                <c:pt idx="10">
                  <c:v>345</c:v>
                </c:pt>
                <c:pt idx="11">
                  <c:v>345</c:v>
                </c:pt>
                <c:pt idx="12">
                  <c:v>345</c:v>
                </c:pt>
                <c:pt idx="13">
                  <c:v>345</c:v>
                </c:pt>
                <c:pt idx="14">
                  <c:v>345</c:v>
                </c:pt>
                <c:pt idx="15">
                  <c:v>345</c:v>
                </c:pt>
                <c:pt idx="16">
                  <c:v>345</c:v>
                </c:pt>
                <c:pt idx="17">
                  <c:v>345</c:v>
                </c:pt>
                <c:pt idx="18">
                  <c:v>345</c:v>
                </c:pt>
                <c:pt idx="19">
                  <c:v>345</c:v>
                </c:pt>
                <c:pt idx="20">
                  <c:v>345</c:v>
                </c:pt>
                <c:pt idx="21">
                  <c:v>345</c:v>
                </c:pt>
                <c:pt idx="22">
                  <c:v>345</c:v>
                </c:pt>
                <c:pt idx="23">
                  <c:v>345</c:v>
                </c:pt>
                <c:pt idx="24">
                  <c:v>345</c:v>
                </c:pt>
                <c:pt idx="25">
                  <c:v>345</c:v>
                </c:pt>
                <c:pt idx="26">
                  <c:v>345</c:v>
                </c:pt>
                <c:pt idx="27">
                  <c:v>345</c:v>
                </c:pt>
                <c:pt idx="28">
                  <c:v>345</c:v>
                </c:pt>
                <c:pt idx="29">
                  <c:v>345</c:v>
                </c:pt>
                <c:pt idx="30">
                  <c:v>345</c:v>
                </c:pt>
                <c:pt idx="31">
                  <c:v>345</c:v>
                </c:pt>
                <c:pt idx="32">
                  <c:v>345</c:v>
                </c:pt>
                <c:pt idx="33">
                  <c:v>345</c:v>
                </c:pt>
                <c:pt idx="34">
                  <c:v>345</c:v>
                </c:pt>
                <c:pt idx="35">
                  <c:v>345</c:v>
                </c:pt>
                <c:pt idx="36">
                  <c:v>345</c:v>
                </c:pt>
                <c:pt idx="37">
                  <c:v>345</c:v>
                </c:pt>
                <c:pt idx="38">
                  <c:v>345</c:v>
                </c:pt>
                <c:pt idx="39">
                  <c:v>345</c:v>
                </c:pt>
                <c:pt idx="40">
                  <c:v>345</c:v>
                </c:pt>
                <c:pt idx="41">
                  <c:v>345</c:v>
                </c:pt>
                <c:pt idx="42">
                  <c:v>345</c:v>
                </c:pt>
                <c:pt idx="43">
                  <c:v>345</c:v>
                </c:pt>
                <c:pt idx="44">
                  <c:v>345</c:v>
                </c:pt>
                <c:pt idx="45">
                  <c:v>345</c:v>
                </c:pt>
                <c:pt idx="46">
                  <c:v>345</c:v>
                </c:pt>
                <c:pt idx="47">
                  <c:v>345</c:v>
                </c:pt>
                <c:pt idx="48">
                  <c:v>345</c:v>
                </c:pt>
                <c:pt idx="49">
                  <c:v>345</c:v>
                </c:pt>
                <c:pt idx="50">
                  <c:v>345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D495-4A62-9571-892853E37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8419104"/>
        <c:axId val="18784012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グラフ!$O$5</c15:sqref>
                        </c15:formulaRef>
                      </c:ext>
                    </c:extLst>
                    <c:strCache>
                      <c:ptCount val="1"/>
                      <c:pt idx="0">
                        <c:v>締め代：Δ-30℃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グラフ!$O$6:$O$56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0.16679667000000364</c:v>
                      </c:pt>
                      <c:pt idx="1">
                        <c:v>0.16476026499999818</c:v>
                      </c:pt>
                      <c:pt idx="2">
                        <c:v>0.16272385999999983</c:v>
                      </c:pt>
                      <c:pt idx="3">
                        <c:v>0.16068745500000148</c:v>
                      </c:pt>
                      <c:pt idx="4">
                        <c:v>0.15865104999999602</c:v>
                      </c:pt>
                      <c:pt idx="5">
                        <c:v>0.15661464499999767</c:v>
                      </c:pt>
                      <c:pt idx="6">
                        <c:v>0.15457823999999931</c:v>
                      </c:pt>
                      <c:pt idx="7">
                        <c:v>0.15254183499999385</c:v>
                      </c:pt>
                      <c:pt idx="8">
                        <c:v>0.1505054300000026</c:v>
                      </c:pt>
                      <c:pt idx="9">
                        <c:v>0.14846902500000425</c:v>
                      </c:pt>
                      <c:pt idx="10">
                        <c:v>0.14643261999999879</c:v>
                      </c:pt>
                      <c:pt idx="11">
                        <c:v>0.14439621500000044</c:v>
                      </c:pt>
                      <c:pt idx="12">
                        <c:v>0.14235980999999498</c:v>
                      </c:pt>
                      <c:pt idx="13">
                        <c:v>0.14032340500000373</c:v>
                      </c:pt>
                      <c:pt idx="14">
                        <c:v>0.13828699999999827</c:v>
                      </c:pt>
                      <c:pt idx="15">
                        <c:v>0.13625059500000702</c:v>
                      </c:pt>
                      <c:pt idx="16">
                        <c:v>0.13421419000000157</c:v>
                      </c:pt>
                      <c:pt idx="17">
                        <c:v>0.13217778499999611</c:v>
                      </c:pt>
                      <c:pt idx="18">
                        <c:v>0.13014138000000486</c:v>
                      </c:pt>
                      <c:pt idx="19">
                        <c:v>0.1281049749999994</c:v>
                      </c:pt>
                      <c:pt idx="20">
                        <c:v>0.12606856999999394</c:v>
                      </c:pt>
                      <c:pt idx="21">
                        <c:v>0.12403216500000269</c:v>
                      </c:pt>
                      <c:pt idx="22">
                        <c:v>0.12199575999999013</c:v>
                      </c:pt>
                      <c:pt idx="23">
                        <c:v>0.11995935499999888</c:v>
                      </c:pt>
                      <c:pt idx="24">
                        <c:v>0.11792294999999342</c:v>
                      </c:pt>
                      <c:pt idx="25">
                        <c:v>0.11588654499999507</c:v>
                      </c:pt>
                      <c:pt idx="26">
                        <c:v>0.11385014000000382</c:v>
                      </c:pt>
                      <c:pt idx="27">
                        <c:v>0.11181373499999836</c:v>
                      </c:pt>
                      <c:pt idx="28">
                        <c:v>0.10977733000000711</c:v>
                      </c:pt>
                      <c:pt idx="29">
                        <c:v>0.10774092499999455</c:v>
                      </c:pt>
                      <c:pt idx="30">
                        <c:v>0.1057045200000033</c:v>
                      </c:pt>
                      <c:pt idx="31">
                        <c:v>0.10366811499999784</c:v>
                      </c:pt>
                      <c:pt idx="32">
                        <c:v>0.10163170999999949</c:v>
                      </c:pt>
                      <c:pt idx="33">
                        <c:v>9.9595304999994028E-2</c:v>
                      </c:pt>
                      <c:pt idx="34">
                        <c:v>9.7558899999995674E-2</c:v>
                      </c:pt>
                      <c:pt idx="35">
                        <c:v>9.5522494999990215E-2</c:v>
                      </c:pt>
                      <c:pt idx="36">
                        <c:v>9.3486090000006072E-2</c:v>
                      </c:pt>
                      <c:pt idx="37">
                        <c:v>9.1449685000007719E-2</c:v>
                      </c:pt>
                      <c:pt idx="38">
                        <c:v>8.941328000000226E-2</c:v>
                      </c:pt>
                      <c:pt idx="39">
                        <c:v>8.7376875000011012E-2</c:v>
                      </c:pt>
                      <c:pt idx="40">
                        <c:v>8.5340469999998447E-2</c:v>
                      </c:pt>
                      <c:pt idx="41">
                        <c:v>8.3304065000000094E-2</c:v>
                      </c:pt>
                      <c:pt idx="42">
                        <c:v>8.126766000000174E-2</c:v>
                      </c:pt>
                      <c:pt idx="43">
                        <c:v>7.9231254999996281E-2</c:v>
                      </c:pt>
                      <c:pt idx="44">
                        <c:v>7.7194849999990822E-2</c:v>
                      </c:pt>
                      <c:pt idx="45">
                        <c:v>7.5158444999999574E-2</c:v>
                      </c:pt>
                      <c:pt idx="46">
                        <c:v>7.3122040000001221E-2</c:v>
                      </c:pt>
                      <c:pt idx="47">
                        <c:v>7.1085635000002867E-2</c:v>
                      </c:pt>
                      <c:pt idx="48">
                        <c:v>6.9049230000004513E-2</c:v>
                      </c:pt>
                      <c:pt idx="49">
                        <c:v>6.701282500000616E-2</c:v>
                      </c:pt>
                      <c:pt idx="50">
                        <c:v>6.4976420000000701E-2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D495-4A62-9571-892853E3761F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グラフ!$P$5</c15:sqref>
                        </c15:formulaRef>
                      </c:ext>
                    </c:extLst>
                    <c:strCache>
                      <c:ptCount val="1"/>
                      <c:pt idx="0">
                        <c:v>締め代：Δ-20℃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グラフ!$P$6:$P$56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0.15736766999999929</c:v>
                      </c:pt>
                      <c:pt idx="1">
                        <c:v>0.15533126500000805</c:v>
                      </c:pt>
                      <c:pt idx="2">
                        <c:v>0.15329486000000259</c:v>
                      </c:pt>
                      <c:pt idx="3">
                        <c:v>0.15125845499999713</c:v>
                      </c:pt>
                      <c:pt idx="4">
                        <c:v>0.14922204999999877</c:v>
                      </c:pt>
                      <c:pt idx="5">
                        <c:v>0.14718564499999331</c:v>
                      </c:pt>
                      <c:pt idx="6">
                        <c:v>0.14514924000000207</c:v>
                      </c:pt>
                      <c:pt idx="7">
                        <c:v>0.14311283499999661</c:v>
                      </c:pt>
                      <c:pt idx="8">
                        <c:v>0.14107642999999825</c:v>
                      </c:pt>
                      <c:pt idx="9">
                        <c:v>0.13904002500000701</c:v>
                      </c:pt>
                      <c:pt idx="10">
                        <c:v>0.13700361999999444</c:v>
                      </c:pt>
                      <c:pt idx="11">
                        <c:v>0.13496721500000319</c:v>
                      </c:pt>
                      <c:pt idx="12">
                        <c:v>0.13293080999999773</c:v>
                      </c:pt>
                      <c:pt idx="13">
                        <c:v>0.13089440499999938</c:v>
                      </c:pt>
                      <c:pt idx="14">
                        <c:v>0.12885800000000103</c:v>
                      </c:pt>
                      <c:pt idx="15">
                        <c:v>0.12682159500000267</c:v>
                      </c:pt>
                      <c:pt idx="16">
                        <c:v>0.12478519000000432</c:v>
                      </c:pt>
                      <c:pt idx="17">
                        <c:v>0.12274878499999886</c:v>
                      </c:pt>
                      <c:pt idx="18">
                        <c:v>0.12071238000000051</c:v>
                      </c:pt>
                      <c:pt idx="19">
                        <c:v>0.11867597500000215</c:v>
                      </c:pt>
                      <c:pt idx="20">
                        <c:v>0.11663956999998959</c:v>
                      </c:pt>
                      <c:pt idx="21">
                        <c:v>0.11460316499999834</c:v>
                      </c:pt>
                      <c:pt idx="22">
                        <c:v>0.11256675999999288</c:v>
                      </c:pt>
                      <c:pt idx="23">
                        <c:v>0.11053035499999453</c:v>
                      </c:pt>
                      <c:pt idx="24">
                        <c:v>0.10849394999999618</c:v>
                      </c:pt>
                      <c:pt idx="25">
                        <c:v>0.10645754500000493</c:v>
                      </c:pt>
                      <c:pt idx="26">
                        <c:v>0.10442114000000657</c:v>
                      </c:pt>
                      <c:pt idx="27">
                        <c:v>0.10238473499999401</c:v>
                      </c:pt>
                      <c:pt idx="28">
                        <c:v>0.10034833000000276</c:v>
                      </c:pt>
                      <c:pt idx="29">
                        <c:v>9.8311924999997302E-2</c:v>
                      </c:pt>
                      <c:pt idx="30">
                        <c:v>9.6275519999998949E-2</c:v>
                      </c:pt>
                      <c:pt idx="31">
                        <c:v>9.423911499999349E-2</c:v>
                      </c:pt>
                      <c:pt idx="32">
                        <c:v>9.2202710000002241E-2</c:v>
                      </c:pt>
                      <c:pt idx="33">
                        <c:v>9.0166304999989677E-2</c:v>
                      </c:pt>
                      <c:pt idx="34">
                        <c:v>8.8129900000005534E-2</c:v>
                      </c:pt>
                      <c:pt idx="35">
                        <c:v>8.6093495000000075E-2</c:v>
                      </c:pt>
                      <c:pt idx="36">
                        <c:v>8.4057090000001722E-2</c:v>
                      </c:pt>
                      <c:pt idx="37">
                        <c:v>8.2020685000010474E-2</c:v>
                      </c:pt>
                      <c:pt idx="38">
                        <c:v>7.9984279999997909E-2</c:v>
                      </c:pt>
                      <c:pt idx="39">
                        <c:v>7.7947875000006661E-2</c:v>
                      </c:pt>
                      <c:pt idx="40">
                        <c:v>7.5911470000001202E-2</c:v>
                      </c:pt>
                      <c:pt idx="41">
                        <c:v>7.3875064999995743E-2</c:v>
                      </c:pt>
                      <c:pt idx="42">
                        <c:v>7.183865999999739E-2</c:v>
                      </c:pt>
                      <c:pt idx="43">
                        <c:v>6.9802254999999036E-2</c:v>
                      </c:pt>
                      <c:pt idx="44">
                        <c:v>6.7765850000000682E-2</c:v>
                      </c:pt>
                      <c:pt idx="45">
                        <c:v>6.5729445000002329E-2</c:v>
                      </c:pt>
                      <c:pt idx="46">
                        <c:v>6.369303999999687E-2</c:v>
                      </c:pt>
                      <c:pt idx="47">
                        <c:v>6.1656635000005622E-2</c:v>
                      </c:pt>
                      <c:pt idx="48">
                        <c:v>5.9620230000000163E-2</c:v>
                      </c:pt>
                      <c:pt idx="49">
                        <c:v>5.7583825000001809E-2</c:v>
                      </c:pt>
                      <c:pt idx="50">
                        <c:v>5.5547420000003456E-2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495-4A62-9571-892853E3761F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グラフ!$Q$5</c15:sqref>
                        </c15:formulaRef>
                      </c:ext>
                    </c:extLst>
                    <c:strCache>
                      <c:ptCount val="1"/>
                      <c:pt idx="0">
                        <c:v>締め代：Δ-10℃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グラフ!$Q$6:$Q$56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0.14793867000000205</c:v>
                      </c:pt>
                      <c:pt idx="1">
                        <c:v>0.14590226500000369</c:v>
                      </c:pt>
                      <c:pt idx="2">
                        <c:v>0.14386586000000534</c:v>
                      </c:pt>
                      <c:pt idx="3">
                        <c:v>0.14182945499999278</c:v>
                      </c:pt>
                      <c:pt idx="4">
                        <c:v>0.13979305000000153</c:v>
                      </c:pt>
                      <c:pt idx="5">
                        <c:v>0.13775664499999607</c:v>
                      </c:pt>
                      <c:pt idx="6">
                        <c:v>0.13572023999999772</c:v>
                      </c:pt>
                      <c:pt idx="7">
                        <c:v>0.13368383499999936</c:v>
                      </c:pt>
                      <c:pt idx="8">
                        <c:v>0.1316474299999939</c:v>
                      </c:pt>
                      <c:pt idx="9">
                        <c:v>0.12961102500000976</c:v>
                      </c:pt>
                      <c:pt idx="10">
                        <c:v>0.1275746199999972</c:v>
                      </c:pt>
                      <c:pt idx="11">
                        <c:v>0.12553821499999884</c:v>
                      </c:pt>
                      <c:pt idx="12">
                        <c:v>0.12350181000000049</c:v>
                      </c:pt>
                      <c:pt idx="13">
                        <c:v>0.12146540499999503</c:v>
                      </c:pt>
                      <c:pt idx="14">
                        <c:v>0.11942900000000378</c:v>
                      </c:pt>
                      <c:pt idx="15">
                        <c:v>0.11739259500000543</c:v>
                      </c:pt>
                      <c:pt idx="16">
                        <c:v>0.11535618999999997</c:v>
                      </c:pt>
                      <c:pt idx="17">
                        <c:v>0.11331978500000162</c:v>
                      </c:pt>
                      <c:pt idx="18">
                        <c:v>0.11128337999999616</c:v>
                      </c:pt>
                      <c:pt idx="19">
                        <c:v>0.1092469749999978</c:v>
                      </c:pt>
                      <c:pt idx="20">
                        <c:v>0.10721056999999234</c:v>
                      </c:pt>
                      <c:pt idx="21">
                        <c:v>0.10517416499999399</c:v>
                      </c:pt>
                      <c:pt idx="22">
                        <c:v>0.10313775999999564</c:v>
                      </c:pt>
                      <c:pt idx="23">
                        <c:v>0.10110135500000439</c:v>
                      </c:pt>
                      <c:pt idx="24">
                        <c:v>9.906494999999893E-2</c:v>
                      </c:pt>
                      <c:pt idx="25">
                        <c:v>9.7028545000000577E-2</c:v>
                      </c:pt>
                      <c:pt idx="26">
                        <c:v>9.4992140000002223E-2</c:v>
                      </c:pt>
                      <c:pt idx="27">
                        <c:v>9.2955734999996764E-2</c:v>
                      </c:pt>
                      <c:pt idx="28">
                        <c:v>9.0919329999998411E-2</c:v>
                      </c:pt>
                      <c:pt idx="29">
                        <c:v>8.8882924999992952E-2</c:v>
                      </c:pt>
                      <c:pt idx="30">
                        <c:v>8.6846520000001703E-2</c:v>
                      </c:pt>
                      <c:pt idx="31">
                        <c:v>8.4810114999989139E-2</c:v>
                      </c:pt>
                      <c:pt idx="32">
                        <c:v>8.2773710000012102E-2</c:v>
                      </c:pt>
                      <c:pt idx="33">
                        <c:v>8.0737304999999537E-2</c:v>
                      </c:pt>
                      <c:pt idx="34">
                        <c:v>7.8700900000001184E-2</c:v>
                      </c:pt>
                      <c:pt idx="35">
                        <c:v>7.666449500000283E-2</c:v>
                      </c:pt>
                      <c:pt idx="36">
                        <c:v>7.4628089999997371E-2</c:v>
                      </c:pt>
                      <c:pt idx="37">
                        <c:v>7.2591685000006123E-2</c:v>
                      </c:pt>
                      <c:pt idx="38">
                        <c:v>7.0555280000000664E-2</c:v>
                      </c:pt>
                      <c:pt idx="39">
                        <c:v>6.8518875000002311E-2</c:v>
                      </c:pt>
                      <c:pt idx="40">
                        <c:v>6.6482469999996852E-2</c:v>
                      </c:pt>
                      <c:pt idx="41">
                        <c:v>6.4446064999998498E-2</c:v>
                      </c:pt>
                      <c:pt idx="42">
                        <c:v>6.240966000000725E-2</c:v>
                      </c:pt>
                      <c:pt idx="43">
                        <c:v>6.0373255000001791E-2</c:v>
                      </c:pt>
                      <c:pt idx="44">
                        <c:v>5.8336849999996332E-2</c:v>
                      </c:pt>
                      <c:pt idx="45">
                        <c:v>5.6300445000005084E-2</c:v>
                      </c:pt>
                      <c:pt idx="46">
                        <c:v>5.4264039999992519E-2</c:v>
                      </c:pt>
                      <c:pt idx="47">
                        <c:v>5.2227635000001271E-2</c:v>
                      </c:pt>
                      <c:pt idx="48">
                        <c:v>5.0191230000002918E-2</c:v>
                      </c:pt>
                      <c:pt idx="49">
                        <c:v>4.8154824999997459E-2</c:v>
                      </c:pt>
                      <c:pt idx="50">
                        <c:v>4.6118419999999105E-2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495-4A62-9571-892853E3761F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グラフ!$R$5</c15:sqref>
                        </c15:formulaRef>
                      </c:ext>
                    </c:extLst>
                    <c:strCache>
                      <c:ptCount val="1"/>
                      <c:pt idx="0">
                        <c:v>締め代：Δ0℃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グラフ!$R$6:$R$56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0.1385096700000048</c:v>
                      </c:pt>
                      <c:pt idx="1">
                        <c:v>0.13647326499999934</c:v>
                      </c:pt>
                      <c:pt idx="2">
                        <c:v>0.1344368600000081</c:v>
                      </c:pt>
                      <c:pt idx="3">
                        <c:v>0.13240045499999553</c:v>
                      </c:pt>
                      <c:pt idx="4">
                        <c:v>0.13036404999999718</c:v>
                      </c:pt>
                      <c:pt idx="5">
                        <c:v>0.12832764499999882</c:v>
                      </c:pt>
                      <c:pt idx="6">
                        <c:v>0.12629123999999337</c:v>
                      </c:pt>
                      <c:pt idx="7">
                        <c:v>0.12425483500000212</c:v>
                      </c:pt>
                      <c:pt idx="8">
                        <c:v>0.12221842999999666</c:v>
                      </c:pt>
                      <c:pt idx="9">
                        <c:v>0.12018202500000541</c:v>
                      </c:pt>
                      <c:pt idx="10">
                        <c:v>0.11814561999999995</c:v>
                      </c:pt>
                      <c:pt idx="11">
                        <c:v>0.11610921499999449</c:v>
                      </c:pt>
                      <c:pt idx="12">
                        <c:v>0.11407281000000324</c:v>
                      </c:pt>
                      <c:pt idx="13">
                        <c:v>0.11203640499999779</c:v>
                      </c:pt>
                      <c:pt idx="14">
                        <c:v>0.10999999999999943</c:v>
                      </c:pt>
                      <c:pt idx="15">
                        <c:v>0.10796359500000818</c:v>
                      </c:pt>
                      <c:pt idx="16">
                        <c:v>0.10592718999999562</c:v>
                      </c:pt>
                      <c:pt idx="17">
                        <c:v>0.10389078499999727</c:v>
                      </c:pt>
                      <c:pt idx="18">
                        <c:v>0.10185437999999891</c:v>
                      </c:pt>
                      <c:pt idx="19">
                        <c:v>9.9817974999993453E-2</c:v>
                      </c:pt>
                      <c:pt idx="20">
                        <c:v>9.7781569999995099E-2</c:v>
                      </c:pt>
                      <c:pt idx="21">
                        <c:v>9.5745165000003851E-2</c:v>
                      </c:pt>
                      <c:pt idx="22">
                        <c:v>9.3708759999998392E-2</c:v>
                      </c:pt>
                      <c:pt idx="23">
                        <c:v>9.1672355000000039E-2</c:v>
                      </c:pt>
                      <c:pt idx="24">
                        <c:v>8.963594999999458E-2</c:v>
                      </c:pt>
                      <c:pt idx="25">
                        <c:v>8.7599545000003332E-2</c:v>
                      </c:pt>
                      <c:pt idx="26">
                        <c:v>8.5563139999997873E-2</c:v>
                      </c:pt>
                      <c:pt idx="27">
                        <c:v>8.3526734999992414E-2</c:v>
                      </c:pt>
                      <c:pt idx="28">
                        <c:v>8.1490330000001165E-2</c:v>
                      </c:pt>
                      <c:pt idx="29">
                        <c:v>7.9453924999988601E-2</c:v>
                      </c:pt>
                      <c:pt idx="30">
                        <c:v>7.7417520000011564E-2</c:v>
                      </c:pt>
                      <c:pt idx="31">
                        <c:v>7.5381114999998999E-2</c:v>
                      </c:pt>
                      <c:pt idx="32">
                        <c:v>7.3344710000007751E-2</c:v>
                      </c:pt>
                      <c:pt idx="33">
                        <c:v>7.1308305000002292E-2</c:v>
                      </c:pt>
                      <c:pt idx="34">
                        <c:v>6.9271899999996833E-2</c:v>
                      </c:pt>
                      <c:pt idx="35">
                        <c:v>6.723549499999848E-2</c:v>
                      </c:pt>
                      <c:pt idx="36">
                        <c:v>6.5199090000000126E-2</c:v>
                      </c:pt>
                      <c:pt idx="37">
                        <c:v>6.3162685000001773E-2</c:v>
                      </c:pt>
                      <c:pt idx="38">
                        <c:v>6.1126279999996314E-2</c:v>
                      </c:pt>
                      <c:pt idx="39">
                        <c:v>5.9089875000005065E-2</c:v>
                      </c:pt>
                      <c:pt idx="40">
                        <c:v>5.7053470000006712E-2</c:v>
                      </c:pt>
                      <c:pt idx="41">
                        <c:v>5.5017065000001253E-2</c:v>
                      </c:pt>
                      <c:pt idx="42">
                        <c:v>5.2980660000002899E-2</c:v>
                      </c:pt>
                      <c:pt idx="43">
                        <c:v>5.0944255000004546E-2</c:v>
                      </c:pt>
                      <c:pt idx="44">
                        <c:v>4.8907849999991981E-2</c:v>
                      </c:pt>
                      <c:pt idx="45">
                        <c:v>4.6871445000000733E-2</c:v>
                      </c:pt>
                      <c:pt idx="46">
                        <c:v>4.4835039999995274E-2</c:v>
                      </c:pt>
                      <c:pt idx="47">
                        <c:v>4.2798634999996921E-2</c:v>
                      </c:pt>
                      <c:pt idx="48">
                        <c:v>4.0762229999998567E-2</c:v>
                      </c:pt>
                      <c:pt idx="49">
                        <c:v>3.8725825000000214E-2</c:v>
                      </c:pt>
                      <c:pt idx="50">
                        <c:v>3.6689420000008965E-2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495-4A62-9571-892853E3761F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グラフ!$S$5</c15:sqref>
                        </c15:formulaRef>
                      </c:ext>
                    </c:extLst>
                    <c:strCache>
                      <c:ptCount val="1"/>
                      <c:pt idx="0">
                        <c:v>締め代：Δ+10℃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グラフ!$S$6:$S$56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0.12908067000000756</c:v>
                      </c:pt>
                      <c:pt idx="1">
                        <c:v>0.1270442650000021</c:v>
                      </c:pt>
                      <c:pt idx="2">
                        <c:v>0.12500786000000375</c:v>
                      </c:pt>
                      <c:pt idx="3">
                        <c:v>0.12297145499999829</c:v>
                      </c:pt>
                      <c:pt idx="4">
                        <c:v>0.12093504999999283</c:v>
                      </c:pt>
                      <c:pt idx="5">
                        <c:v>0.11889864500000158</c:v>
                      </c:pt>
                      <c:pt idx="6">
                        <c:v>0.11686223999999612</c:v>
                      </c:pt>
                      <c:pt idx="7">
                        <c:v>0.11482583499999777</c:v>
                      </c:pt>
                      <c:pt idx="8">
                        <c:v>0.11278942999999941</c:v>
                      </c:pt>
                      <c:pt idx="9">
                        <c:v>0.11075302500000106</c:v>
                      </c:pt>
                      <c:pt idx="10">
                        <c:v>0.10871662000000271</c:v>
                      </c:pt>
                      <c:pt idx="11">
                        <c:v>0.10668021499999725</c:v>
                      </c:pt>
                      <c:pt idx="12">
                        <c:v>0.10464380999999889</c:v>
                      </c:pt>
                      <c:pt idx="13">
                        <c:v>0.10260740500000054</c:v>
                      </c:pt>
                      <c:pt idx="14">
                        <c:v>0.10057099999999508</c:v>
                      </c:pt>
                      <c:pt idx="15">
                        <c:v>9.8534595000003833E-2</c:v>
                      </c:pt>
                      <c:pt idx="16">
                        <c:v>9.6498189999998374E-2</c:v>
                      </c:pt>
                      <c:pt idx="17">
                        <c:v>9.4461784999992915E-2</c:v>
                      </c:pt>
                      <c:pt idx="18">
                        <c:v>9.2425380000001667E-2</c:v>
                      </c:pt>
                      <c:pt idx="19">
                        <c:v>9.0388975000003313E-2</c:v>
                      </c:pt>
                      <c:pt idx="20">
                        <c:v>8.8352569999997854E-2</c:v>
                      </c:pt>
                      <c:pt idx="21">
                        <c:v>8.6316164999999501E-2</c:v>
                      </c:pt>
                      <c:pt idx="22">
                        <c:v>8.4279759999994042E-2</c:v>
                      </c:pt>
                      <c:pt idx="23">
                        <c:v>8.2243355000002794E-2</c:v>
                      </c:pt>
                      <c:pt idx="24">
                        <c:v>8.0206949999990229E-2</c:v>
                      </c:pt>
                      <c:pt idx="25">
                        <c:v>7.8170544999998981E-2</c:v>
                      </c:pt>
                      <c:pt idx="26">
                        <c:v>7.6134140000000627E-2</c:v>
                      </c:pt>
                      <c:pt idx="27">
                        <c:v>7.4097734999988063E-2</c:v>
                      </c:pt>
                      <c:pt idx="28">
                        <c:v>7.2061330000011026E-2</c:v>
                      </c:pt>
                      <c:pt idx="29">
                        <c:v>7.0024924999998461E-2</c:v>
                      </c:pt>
                      <c:pt idx="30">
                        <c:v>6.7988520000007213E-2</c:v>
                      </c:pt>
                      <c:pt idx="31">
                        <c:v>6.5952115000001754E-2</c:v>
                      </c:pt>
                      <c:pt idx="32">
                        <c:v>6.3915710000003401E-2</c:v>
                      </c:pt>
                      <c:pt idx="33">
                        <c:v>6.1879304999997942E-2</c:v>
                      </c:pt>
                      <c:pt idx="34">
                        <c:v>5.9842899999999588E-2</c:v>
                      </c:pt>
                      <c:pt idx="35">
                        <c:v>5.7806494999994129E-2</c:v>
                      </c:pt>
                      <c:pt idx="36">
                        <c:v>5.5770089999995776E-2</c:v>
                      </c:pt>
                      <c:pt idx="37">
                        <c:v>5.3733685000004527E-2</c:v>
                      </c:pt>
                      <c:pt idx="38">
                        <c:v>5.1697280000006174E-2</c:v>
                      </c:pt>
                      <c:pt idx="39">
                        <c:v>4.966087500000782E-2</c:v>
                      </c:pt>
                      <c:pt idx="40">
                        <c:v>4.7624470000002361E-2</c:v>
                      </c:pt>
                      <c:pt idx="41">
                        <c:v>4.5588065000004008E-2</c:v>
                      </c:pt>
                      <c:pt idx="42">
                        <c:v>4.3551659999998549E-2</c:v>
                      </c:pt>
                      <c:pt idx="43">
                        <c:v>4.1515255000000195E-2</c:v>
                      </c:pt>
                      <c:pt idx="44">
                        <c:v>3.9478849999994736E-2</c:v>
                      </c:pt>
                      <c:pt idx="45">
                        <c:v>3.7442444999996383E-2</c:v>
                      </c:pt>
                      <c:pt idx="46">
                        <c:v>3.5406039999990924E-2</c:v>
                      </c:pt>
                      <c:pt idx="47">
                        <c:v>3.3369634999999676E-2</c:v>
                      </c:pt>
                      <c:pt idx="48">
                        <c:v>3.1333230000008427E-2</c:v>
                      </c:pt>
                      <c:pt idx="49">
                        <c:v>2.9296825000002968E-2</c:v>
                      </c:pt>
                      <c:pt idx="50">
                        <c:v>2.7260420000004615E-2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495-4A62-9571-892853E3761F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グラフ!$T$5</c15:sqref>
                        </c15:formulaRef>
                      </c:ext>
                    </c:extLst>
                    <c:strCache>
                      <c:ptCount val="1"/>
                      <c:pt idx="0">
                        <c:v>締め代：Δ+20℃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グラフ!$T$6:$T$56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0.11965167000000321</c:v>
                      </c:pt>
                      <c:pt idx="1">
                        <c:v>0.11761526500000485</c:v>
                      </c:pt>
                      <c:pt idx="2">
                        <c:v>0.11557885999999939</c:v>
                      </c:pt>
                      <c:pt idx="3">
                        <c:v>0.11354245500000104</c:v>
                      </c:pt>
                      <c:pt idx="4">
                        <c:v>0.11150604999999558</c:v>
                      </c:pt>
                      <c:pt idx="5">
                        <c:v>0.10946964499999723</c:v>
                      </c:pt>
                      <c:pt idx="6">
                        <c:v>0.10743323999999888</c:v>
                      </c:pt>
                      <c:pt idx="7">
                        <c:v>0.10539683499999342</c:v>
                      </c:pt>
                      <c:pt idx="8">
                        <c:v>0.10336043000000217</c:v>
                      </c:pt>
                      <c:pt idx="9">
                        <c:v>0.10132402500000381</c:v>
                      </c:pt>
                      <c:pt idx="10">
                        <c:v>9.9287619999998356E-2</c:v>
                      </c:pt>
                      <c:pt idx="11">
                        <c:v>9.7251215000000002E-2</c:v>
                      </c:pt>
                      <c:pt idx="12">
                        <c:v>9.5214809999994543E-2</c:v>
                      </c:pt>
                      <c:pt idx="13">
                        <c:v>9.3178404999996189E-2</c:v>
                      </c:pt>
                      <c:pt idx="14">
                        <c:v>9.1141999999997836E-2</c:v>
                      </c:pt>
                      <c:pt idx="15">
                        <c:v>8.9105594999999482E-2</c:v>
                      </c:pt>
                      <c:pt idx="16">
                        <c:v>8.7069190000001129E-2</c:v>
                      </c:pt>
                      <c:pt idx="17">
                        <c:v>8.5032785000002775E-2</c:v>
                      </c:pt>
                      <c:pt idx="18">
                        <c:v>8.2996380000004422E-2</c:v>
                      </c:pt>
                      <c:pt idx="19">
                        <c:v>8.0959974999998963E-2</c:v>
                      </c:pt>
                      <c:pt idx="20">
                        <c:v>7.8923569999993504E-2</c:v>
                      </c:pt>
                      <c:pt idx="21">
                        <c:v>7.6887165000002256E-2</c:v>
                      </c:pt>
                      <c:pt idx="22">
                        <c:v>7.4850759999989691E-2</c:v>
                      </c:pt>
                      <c:pt idx="23">
                        <c:v>7.2814354999998443E-2</c:v>
                      </c:pt>
                      <c:pt idx="24">
                        <c:v>7.0777949999992984E-2</c:v>
                      </c:pt>
                      <c:pt idx="25">
                        <c:v>6.874154499999463E-2</c:v>
                      </c:pt>
                      <c:pt idx="26">
                        <c:v>6.6705140000010488E-2</c:v>
                      </c:pt>
                      <c:pt idx="27">
                        <c:v>6.4668734999997923E-2</c:v>
                      </c:pt>
                      <c:pt idx="28">
                        <c:v>6.2632330000006675E-2</c:v>
                      </c:pt>
                      <c:pt idx="29">
                        <c:v>6.0595925000001216E-2</c:v>
                      </c:pt>
                      <c:pt idx="30">
                        <c:v>5.8559520000002863E-2</c:v>
                      </c:pt>
                      <c:pt idx="31">
                        <c:v>5.6523114999997404E-2</c:v>
                      </c:pt>
                      <c:pt idx="32">
                        <c:v>5.4486710000006155E-2</c:v>
                      </c:pt>
                      <c:pt idx="33">
                        <c:v>5.2450304999993591E-2</c:v>
                      </c:pt>
                      <c:pt idx="34">
                        <c:v>5.0413899999995238E-2</c:v>
                      </c:pt>
                      <c:pt idx="35">
                        <c:v>4.8377494999996884E-2</c:v>
                      </c:pt>
                      <c:pt idx="36">
                        <c:v>4.6341090000005636E-2</c:v>
                      </c:pt>
                      <c:pt idx="37">
                        <c:v>4.4304685000007282E-2</c:v>
                      </c:pt>
                      <c:pt idx="38">
                        <c:v>4.2268280000001823E-2</c:v>
                      </c:pt>
                      <c:pt idx="39">
                        <c:v>4.0231875000010575E-2</c:v>
                      </c:pt>
                      <c:pt idx="40">
                        <c:v>3.8195469999998011E-2</c:v>
                      </c:pt>
                      <c:pt idx="41">
                        <c:v>3.6159064999999657E-2</c:v>
                      </c:pt>
                      <c:pt idx="42">
                        <c:v>3.4122660000001304E-2</c:v>
                      </c:pt>
                      <c:pt idx="43">
                        <c:v>3.2086254999995845E-2</c:v>
                      </c:pt>
                      <c:pt idx="44">
                        <c:v>3.0049849999990386E-2</c:v>
                      </c:pt>
                      <c:pt idx="45">
                        <c:v>2.8013444999999138E-2</c:v>
                      </c:pt>
                      <c:pt idx="46">
                        <c:v>2.5977040000000784E-2</c:v>
                      </c:pt>
                      <c:pt idx="47">
                        <c:v>2.394063500000243E-2</c:v>
                      </c:pt>
                      <c:pt idx="48">
                        <c:v>2.1904230000004077E-2</c:v>
                      </c:pt>
                      <c:pt idx="49">
                        <c:v>1.9867825000005723E-2</c:v>
                      </c:pt>
                      <c:pt idx="50">
                        <c:v>1.7831420000000264E-2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495-4A62-9571-892853E3761F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グラフ!$U$5</c15:sqref>
                        </c15:formulaRef>
                      </c:ext>
                    </c:extLst>
                    <c:strCache>
                      <c:ptCount val="1"/>
                      <c:pt idx="0">
                        <c:v>締め代：Δ+30℃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グラフ!$U$6:$U$56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0.11022266999999886</c:v>
                      </c:pt>
                      <c:pt idx="1">
                        <c:v>0.10818626500000761</c:v>
                      </c:pt>
                      <c:pt idx="2">
                        <c:v>0.10614986000000215</c:v>
                      </c:pt>
                      <c:pt idx="3">
                        <c:v>0.10411345499999669</c:v>
                      </c:pt>
                      <c:pt idx="4">
                        <c:v>0.10207704999999834</c:v>
                      </c:pt>
                      <c:pt idx="5">
                        <c:v>0.10004064499999288</c:v>
                      </c:pt>
                      <c:pt idx="6">
                        <c:v>9.800424000000163E-2</c:v>
                      </c:pt>
                      <c:pt idx="7">
                        <c:v>9.5967834999996171E-2</c:v>
                      </c:pt>
                      <c:pt idx="8">
                        <c:v>9.3931429999997818E-2</c:v>
                      </c:pt>
                      <c:pt idx="9">
                        <c:v>9.1895025000006569E-2</c:v>
                      </c:pt>
                      <c:pt idx="10">
                        <c:v>8.9858619999994005E-2</c:v>
                      </c:pt>
                      <c:pt idx="11">
                        <c:v>8.7822214999995651E-2</c:v>
                      </c:pt>
                      <c:pt idx="12">
                        <c:v>8.5785809999997298E-2</c:v>
                      </c:pt>
                      <c:pt idx="13">
                        <c:v>8.3749404999991839E-2</c:v>
                      </c:pt>
                      <c:pt idx="14">
                        <c:v>8.1713000000000591E-2</c:v>
                      </c:pt>
                      <c:pt idx="15">
                        <c:v>7.9676595000009343E-2</c:v>
                      </c:pt>
                      <c:pt idx="16">
                        <c:v>7.7640190000003884E-2</c:v>
                      </c:pt>
                      <c:pt idx="17">
                        <c:v>7.5603784999998425E-2</c:v>
                      </c:pt>
                      <c:pt idx="18">
                        <c:v>7.3567380000000071E-2</c:v>
                      </c:pt>
                      <c:pt idx="19">
                        <c:v>7.1530975000001717E-2</c:v>
                      </c:pt>
                      <c:pt idx="20">
                        <c:v>6.9494569999989153E-2</c:v>
                      </c:pt>
                      <c:pt idx="21">
                        <c:v>6.7458164999997905E-2</c:v>
                      </c:pt>
                      <c:pt idx="22">
                        <c:v>6.5421759999992446E-2</c:v>
                      </c:pt>
                      <c:pt idx="23">
                        <c:v>6.3385354999994092E-2</c:v>
                      </c:pt>
                      <c:pt idx="24">
                        <c:v>6.1348950000002844E-2</c:v>
                      </c:pt>
                      <c:pt idx="25">
                        <c:v>5.9312545000004491E-2</c:v>
                      </c:pt>
                      <c:pt idx="26">
                        <c:v>5.7276140000006137E-2</c:v>
                      </c:pt>
                      <c:pt idx="27">
                        <c:v>5.5239735000000678E-2</c:v>
                      </c:pt>
                      <c:pt idx="28">
                        <c:v>5.3203330000002325E-2</c:v>
                      </c:pt>
                      <c:pt idx="29">
                        <c:v>5.1166924999996866E-2</c:v>
                      </c:pt>
                      <c:pt idx="30">
                        <c:v>4.9130520000005617E-2</c:v>
                      </c:pt>
                      <c:pt idx="31">
                        <c:v>4.7094114999993053E-2</c:v>
                      </c:pt>
                      <c:pt idx="32">
                        <c:v>4.5057710000001805E-2</c:v>
                      </c:pt>
                      <c:pt idx="33">
                        <c:v>4.3021304999996346E-2</c:v>
                      </c:pt>
                      <c:pt idx="34">
                        <c:v>4.0984900000005098E-2</c:v>
                      </c:pt>
                      <c:pt idx="35">
                        <c:v>3.8948494999999639E-2</c:v>
                      </c:pt>
                      <c:pt idx="36">
                        <c:v>3.6912090000001285E-2</c:v>
                      </c:pt>
                      <c:pt idx="37">
                        <c:v>3.4875685000010037E-2</c:v>
                      </c:pt>
                      <c:pt idx="38">
                        <c:v>3.2839279999997473E-2</c:v>
                      </c:pt>
                      <c:pt idx="39">
                        <c:v>3.0802875000006225E-2</c:v>
                      </c:pt>
                      <c:pt idx="40">
                        <c:v>2.8766470000000766E-2</c:v>
                      </c:pt>
                      <c:pt idx="41">
                        <c:v>2.6730064999995307E-2</c:v>
                      </c:pt>
                      <c:pt idx="42">
                        <c:v>2.4693659999996953E-2</c:v>
                      </c:pt>
                      <c:pt idx="43">
                        <c:v>2.2657254999998599E-2</c:v>
                      </c:pt>
                      <c:pt idx="44">
                        <c:v>2.0620850000000246E-2</c:v>
                      </c:pt>
                      <c:pt idx="45">
                        <c:v>1.8584445000001892E-2</c:v>
                      </c:pt>
                      <c:pt idx="46">
                        <c:v>1.6548039999996433E-2</c:v>
                      </c:pt>
                      <c:pt idx="47">
                        <c:v>1.4511635000005185E-2</c:v>
                      </c:pt>
                      <c:pt idx="48">
                        <c:v>1.2475229999999726E-2</c:v>
                      </c:pt>
                      <c:pt idx="49">
                        <c:v>1.0438825000001373E-2</c:v>
                      </c:pt>
                      <c:pt idx="50">
                        <c:v>8.4024200000030191E-3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495-4A62-9571-892853E3761F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グラフ!$V$5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グラフ!$V$6:$V$56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59.163797517995462</c:v>
                      </c:pt>
                      <c:pt idx="1">
                        <c:v>58.441472227658714</c:v>
                      </c:pt>
                      <c:pt idx="2">
                        <c:v>57.719146937324474</c:v>
                      </c:pt>
                      <c:pt idx="3">
                        <c:v>56.996821646990234</c:v>
                      </c:pt>
                      <c:pt idx="4">
                        <c:v>56.274496356653486</c:v>
                      </c:pt>
                      <c:pt idx="5">
                        <c:v>55.552171066319254</c:v>
                      </c:pt>
                      <c:pt idx="6">
                        <c:v>54.829845775985014</c:v>
                      </c:pt>
                      <c:pt idx="7">
                        <c:v>54.107520485648266</c:v>
                      </c:pt>
                      <c:pt idx="8">
                        <c:v>53.385195195316548</c:v>
                      </c:pt>
                      <c:pt idx="9">
                        <c:v>52.662869904982308</c:v>
                      </c:pt>
                      <c:pt idx="10">
                        <c:v>51.940544614645553</c:v>
                      </c:pt>
                      <c:pt idx="11">
                        <c:v>51.21821932431132</c:v>
                      </c:pt>
                      <c:pt idx="12">
                        <c:v>50.495894033974572</c:v>
                      </c:pt>
                      <c:pt idx="13">
                        <c:v>49.773568743642855</c:v>
                      </c:pt>
                      <c:pt idx="14">
                        <c:v>49.0512434533061</c:v>
                      </c:pt>
                      <c:pt idx="15">
                        <c:v>48.328918162974389</c:v>
                      </c:pt>
                      <c:pt idx="16">
                        <c:v>47.606592872637627</c:v>
                      </c:pt>
                      <c:pt idx="17">
                        <c:v>46.884267582300872</c:v>
                      </c:pt>
                      <c:pt idx="18">
                        <c:v>46.161942291969162</c:v>
                      </c:pt>
                      <c:pt idx="19">
                        <c:v>45.439617001632406</c:v>
                      </c:pt>
                      <c:pt idx="20">
                        <c:v>44.717291711295651</c:v>
                      </c:pt>
                      <c:pt idx="21">
                        <c:v>43.994966420963941</c:v>
                      </c:pt>
                      <c:pt idx="22">
                        <c:v>43.272641130624656</c:v>
                      </c:pt>
                      <c:pt idx="23">
                        <c:v>42.550315840292946</c:v>
                      </c:pt>
                      <c:pt idx="24">
                        <c:v>41.827990549956191</c:v>
                      </c:pt>
                      <c:pt idx="25">
                        <c:v>41.105665259621958</c:v>
                      </c:pt>
                      <c:pt idx="26">
                        <c:v>40.383339969290247</c:v>
                      </c:pt>
                      <c:pt idx="27">
                        <c:v>39.661014678953492</c:v>
                      </c:pt>
                      <c:pt idx="28">
                        <c:v>38.938689388621775</c:v>
                      </c:pt>
                      <c:pt idx="29">
                        <c:v>38.216364098282497</c:v>
                      </c:pt>
                      <c:pt idx="30">
                        <c:v>37.494038807950787</c:v>
                      </c:pt>
                      <c:pt idx="31">
                        <c:v>36.771713517614032</c:v>
                      </c:pt>
                      <c:pt idx="32">
                        <c:v>36.049388227279799</c:v>
                      </c:pt>
                      <c:pt idx="33">
                        <c:v>35.327062936943044</c:v>
                      </c:pt>
                      <c:pt idx="34">
                        <c:v>34.604737646608804</c:v>
                      </c:pt>
                      <c:pt idx="35">
                        <c:v>33.882412356272049</c:v>
                      </c:pt>
                      <c:pt idx="36">
                        <c:v>33.160087065942854</c:v>
                      </c:pt>
                      <c:pt idx="37">
                        <c:v>32.437761775608621</c:v>
                      </c:pt>
                      <c:pt idx="38">
                        <c:v>31.715436485271869</c:v>
                      </c:pt>
                      <c:pt idx="39">
                        <c:v>30.993111194940155</c:v>
                      </c:pt>
                      <c:pt idx="40">
                        <c:v>30.270785904600878</c:v>
                      </c:pt>
                      <c:pt idx="41">
                        <c:v>29.548460614266645</c:v>
                      </c:pt>
                      <c:pt idx="42">
                        <c:v>28.826135323932409</c:v>
                      </c:pt>
                      <c:pt idx="43">
                        <c:v>28.103810033595654</c:v>
                      </c:pt>
                      <c:pt idx="44">
                        <c:v>27.381484743258902</c:v>
                      </c:pt>
                      <c:pt idx="45">
                        <c:v>26.659159452927188</c:v>
                      </c:pt>
                      <c:pt idx="46">
                        <c:v>25.936834162592948</c:v>
                      </c:pt>
                      <c:pt idx="47">
                        <c:v>25.214508872258715</c:v>
                      </c:pt>
                      <c:pt idx="48">
                        <c:v>24.492183581924483</c:v>
                      </c:pt>
                      <c:pt idx="49">
                        <c:v>23.76985829159025</c:v>
                      </c:pt>
                      <c:pt idx="50">
                        <c:v>23.047533001253491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495-4A62-9571-892853E3761F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グラフ!$W$5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グラフ!$W$6:$W$56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55.819273632731907</c:v>
                      </c:pt>
                      <c:pt idx="1">
                        <c:v>55.096948342400189</c:v>
                      </c:pt>
                      <c:pt idx="2">
                        <c:v>54.374623052063427</c:v>
                      </c:pt>
                      <c:pt idx="3">
                        <c:v>53.652297761726679</c:v>
                      </c:pt>
                      <c:pt idx="4">
                        <c:v>52.929972471392446</c:v>
                      </c:pt>
                      <c:pt idx="5">
                        <c:v>52.207647181055691</c:v>
                      </c:pt>
                      <c:pt idx="6">
                        <c:v>51.485321890723974</c:v>
                      </c:pt>
                      <c:pt idx="7">
                        <c:v>50.762996600387218</c:v>
                      </c:pt>
                      <c:pt idx="8">
                        <c:v>50.040671310052979</c:v>
                      </c:pt>
                      <c:pt idx="9">
                        <c:v>49.318346019721268</c:v>
                      </c:pt>
                      <c:pt idx="10">
                        <c:v>48.596020729381998</c:v>
                      </c:pt>
                      <c:pt idx="11">
                        <c:v>47.87369543905028</c:v>
                      </c:pt>
                      <c:pt idx="12">
                        <c:v>47.151370148713525</c:v>
                      </c:pt>
                      <c:pt idx="13">
                        <c:v>46.429044858379292</c:v>
                      </c:pt>
                      <c:pt idx="14">
                        <c:v>45.706719568045052</c:v>
                      </c:pt>
                      <c:pt idx="15">
                        <c:v>44.98439427771082</c:v>
                      </c:pt>
                      <c:pt idx="16">
                        <c:v>44.262068987376587</c:v>
                      </c:pt>
                      <c:pt idx="17">
                        <c:v>43.539743697039832</c:v>
                      </c:pt>
                      <c:pt idx="18">
                        <c:v>42.817418406705599</c:v>
                      </c:pt>
                      <c:pt idx="19">
                        <c:v>42.095093116371366</c:v>
                      </c:pt>
                      <c:pt idx="20">
                        <c:v>41.372767826032089</c:v>
                      </c:pt>
                      <c:pt idx="21">
                        <c:v>40.650442535700371</c:v>
                      </c:pt>
                      <c:pt idx="22">
                        <c:v>39.928117245363616</c:v>
                      </c:pt>
                      <c:pt idx="23">
                        <c:v>39.205791955029383</c:v>
                      </c:pt>
                      <c:pt idx="24">
                        <c:v>38.48346666469515</c:v>
                      </c:pt>
                      <c:pt idx="25">
                        <c:v>37.76114137436344</c:v>
                      </c:pt>
                      <c:pt idx="26">
                        <c:v>37.0388160840292</c:v>
                      </c:pt>
                      <c:pt idx="27">
                        <c:v>36.316490793689923</c:v>
                      </c:pt>
                      <c:pt idx="28">
                        <c:v>35.594165503358212</c:v>
                      </c:pt>
                      <c:pt idx="29">
                        <c:v>34.871840213021457</c:v>
                      </c:pt>
                      <c:pt idx="30">
                        <c:v>34.149514922687224</c:v>
                      </c:pt>
                      <c:pt idx="31">
                        <c:v>33.427189632350469</c:v>
                      </c:pt>
                      <c:pt idx="32">
                        <c:v>32.704864342018752</c:v>
                      </c:pt>
                      <c:pt idx="33">
                        <c:v>31.982539051679474</c:v>
                      </c:pt>
                      <c:pt idx="34">
                        <c:v>31.260213761350279</c:v>
                      </c:pt>
                      <c:pt idx="35">
                        <c:v>30.537888471013527</c:v>
                      </c:pt>
                      <c:pt idx="36">
                        <c:v>29.815563180679295</c:v>
                      </c:pt>
                      <c:pt idx="37">
                        <c:v>29.093237890347581</c:v>
                      </c:pt>
                      <c:pt idx="38">
                        <c:v>28.370912600008303</c:v>
                      </c:pt>
                      <c:pt idx="39">
                        <c:v>27.648587309676589</c:v>
                      </c:pt>
                      <c:pt idx="40">
                        <c:v>26.926262019339838</c:v>
                      </c:pt>
                      <c:pt idx="41">
                        <c:v>26.203936729003079</c:v>
                      </c:pt>
                      <c:pt idx="42">
                        <c:v>25.481611438668846</c:v>
                      </c:pt>
                      <c:pt idx="43">
                        <c:v>24.759286148334613</c:v>
                      </c:pt>
                      <c:pt idx="44">
                        <c:v>24.036960858000377</c:v>
                      </c:pt>
                      <c:pt idx="45">
                        <c:v>23.314635567666141</c:v>
                      </c:pt>
                      <c:pt idx="46">
                        <c:v>22.592310277329389</c:v>
                      </c:pt>
                      <c:pt idx="47">
                        <c:v>21.869984986997675</c:v>
                      </c:pt>
                      <c:pt idx="48">
                        <c:v>21.147659696660916</c:v>
                      </c:pt>
                      <c:pt idx="49">
                        <c:v>20.425334406326684</c:v>
                      </c:pt>
                      <c:pt idx="50">
                        <c:v>19.703009115992451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495-4A62-9571-892853E3761F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グラフ!$X$5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グラフ!$X$6:$X$56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52.474749747470852</c:v>
                      </c:pt>
                      <c:pt idx="1">
                        <c:v>51.75242445713662</c:v>
                      </c:pt>
                      <c:pt idx="2">
                        <c:v>51.030099166802387</c:v>
                      </c:pt>
                      <c:pt idx="3">
                        <c:v>50.307773876463116</c:v>
                      </c:pt>
                      <c:pt idx="4">
                        <c:v>49.585448586131399</c:v>
                      </c:pt>
                      <c:pt idx="5">
                        <c:v>48.863123295794651</c:v>
                      </c:pt>
                      <c:pt idx="6">
                        <c:v>48.140798005460404</c:v>
                      </c:pt>
                      <c:pt idx="7">
                        <c:v>47.418472715126171</c:v>
                      </c:pt>
                      <c:pt idx="8">
                        <c:v>46.696147424789423</c:v>
                      </c:pt>
                      <c:pt idx="9">
                        <c:v>45.973822134460228</c:v>
                      </c:pt>
                      <c:pt idx="10">
                        <c:v>45.25149684412095</c:v>
                      </c:pt>
                      <c:pt idx="11">
                        <c:v>44.529171553786718</c:v>
                      </c:pt>
                      <c:pt idx="12">
                        <c:v>43.806846263452485</c:v>
                      </c:pt>
                      <c:pt idx="13">
                        <c:v>43.084520973115723</c:v>
                      </c:pt>
                      <c:pt idx="14">
                        <c:v>42.362195682784012</c:v>
                      </c:pt>
                      <c:pt idx="15">
                        <c:v>41.63987039244978</c:v>
                      </c:pt>
                      <c:pt idx="16">
                        <c:v>40.917545102113024</c:v>
                      </c:pt>
                      <c:pt idx="17">
                        <c:v>40.195219811778792</c:v>
                      </c:pt>
                      <c:pt idx="18">
                        <c:v>39.472894521442036</c:v>
                      </c:pt>
                      <c:pt idx="19">
                        <c:v>38.750569231107796</c:v>
                      </c:pt>
                      <c:pt idx="20">
                        <c:v>38.028243940771041</c:v>
                      </c:pt>
                      <c:pt idx="21">
                        <c:v>37.305918650436809</c:v>
                      </c:pt>
                      <c:pt idx="22">
                        <c:v>36.583593360102576</c:v>
                      </c:pt>
                      <c:pt idx="23">
                        <c:v>35.861268069770865</c:v>
                      </c:pt>
                      <c:pt idx="24">
                        <c:v>35.13894277943411</c:v>
                      </c:pt>
                      <c:pt idx="25">
                        <c:v>34.416617489099878</c:v>
                      </c:pt>
                      <c:pt idx="26">
                        <c:v>33.694292198765638</c:v>
                      </c:pt>
                      <c:pt idx="27">
                        <c:v>32.971966908428882</c:v>
                      </c:pt>
                      <c:pt idx="28">
                        <c:v>32.24964161809465</c:v>
                      </c:pt>
                      <c:pt idx="29">
                        <c:v>31.527316327757894</c:v>
                      </c:pt>
                      <c:pt idx="30">
                        <c:v>30.804991037426181</c:v>
                      </c:pt>
                      <c:pt idx="31">
                        <c:v>30.082665747086903</c:v>
                      </c:pt>
                      <c:pt idx="32">
                        <c:v>29.36034045676023</c:v>
                      </c:pt>
                      <c:pt idx="33">
                        <c:v>28.638015166420956</c:v>
                      </c:pt>
                      <c:pt idx="34">
                        <c:v>27.91568987608672</c:v>
                      </c:pt>
                      <c:pt idx="35">
                        <c:v>27.193364585752487</c:v>
                      </c:pt>
                      <c:pt idx="36">
                        <c:v>26.471039295415732</c:v>
                      </c:pt>
                      <c:pt idx="37">
                        <c:v>25.748714005084015</c:v>
                      </c:pt>
                      <c:pt idx="38">
                        <c:v>25.026388714747263</c:v>
                      </c:pt>
                      <c:pt idx="39">
                        <c:v>24.304063424413027</c:v>
                      </c:pt>
                      <c:pt idx="40">
                        <c:v>23.581738134076272</c:v>
                      </c:pt>
                      <c:pt idx="41">
                        <c:v>22.859412843742039</c:v>
                      </c:pt>
                      <c:pt idx="42">
                        <c:v>22.137087553410325</c:v>
                      </c:pt>
                      <c:pt idx="43">
                        <c:v>21.41476226307357</c:v>
                      </c:pt>
                      <c:pt idx="44">
                        <c:v>20.692436972736814</c:v>
                      </c:pt>
                      <c:pt idx="45">
                        <c:v>19.970111682405101</c:v>
                      </c:pt>
                      <c:pt idx="46">
                        <c:v>19.247786392065823</c:v>
                      </c:pt>
                      <c:pt idx="47">
                        <c:v>18.525461101734109</c:v>
                      </c:pt>
                      <c:pt idx="48">
                        <c:v>17.803135811399876</c:v>
                      </c:pt>
                      <c:pt idx="49">
                        <c:v>17.080810521063121</c:v>
                      </c:pt>
                      <c:pt idx="50">
                        <c:v>16.358485230728885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495-4A62-9571-892853E3761F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グラフ!$Y$5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グラフ!$Y$6:$Y$56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49.130225862209812</c:v>
                      </c:pt>
                      <c:pt idx="1">
                        <c:v>48.407900571873057</c:v>
                      </c:pt>
                      <c:pt idx="2">
                        <c:v>47.685575281541347</c:v>
                      </c:pt>
                      <c:pt idx="3">
                        <c:v>46.963249991202076</c:v>
                      </c:pt>
                      <c:pt idx="4">
                        <c:v>46.240924700867829</c:v>
                      </c:pt>
                      <c:pt idx="5">
                        <c:v>45.518599410533596</c:v>
                      </c:pt>
                      <c:pt idx="6">
                        <c:v>44.796274120196848</c:v>
                      </c:pt>
                      <c:pt idx="7">
                        <c:v>44.073948829865131</c:v>
                      </c:pt>
                      <c:pt idx="8">
                        <c:v>43.351623539528376</c:v>
                      </c:pt>
                      <c:pt idx="9">
                        <c:v>42.629298249196665</c:v>
                      </c:pt>
                      <c:pt idx="10">
                        <c:v>41.90697295885991</c:v>
                      </c:pt>
                      <c:pt idx="11">
                        <c:v>41.184647668523148</c:v>
                      </c:pt>
                      <c:pt idx="12">
                        <c:v>40.462322378191438</c:v>
                      </c:pt>
                      <c:pt idx="13">
                        <c:v>39.739997087854682</c:v>
                      </c:pt>
                      <c:pt idx="14">
                        <c:v>39.01767179752045</c:v>
                      </c:pt>
                      <c:pt idx="15">
                        <c:v>38.295346507188739</c:v>
                      </c:pt>
                      <c:pt idx="16">
                        <c:v>37.573021216849462</c:v>
                      </c:pt>
                      <c:pt idx="17">
                        <c:v>36.850695926515222</c:v>
                      </c:pt>
                      <c:pt idx="18">
                        <c:v>36.128370636180989</c:v>
                      </c:pt>
                      <c:pt idx="19">
                        <c:v>35.406045345844234</c:v>
                      </c:pt>
                      <c:pt idx="20">
                        <c:v>34.683720055510001</c:v>
                      </c:pt>
                      <c:pt idx="21">
                        <c:v>33.961394765178291</c:v>
                      </c:pt>
                      <c:pt idx="22">
                        <c:v>33.239069474841536</c:v>
                      </c:pt>
                      <c:pt idx="23">
                        <c:v>32.516744184507303</c:v>
                      </c:pt>
                      <c:pt idx="24">
                        <c:v>31.794418894170541</c:v>
                      </c:pt>
                      <c:pt idx="25">
                        <c:v>31.07209360383883</c:v>
                      </c:pt>
                      <c:pt idx="26">
                        <c:v>30.349768313502071</c:v>
                      </c:pt>
                      <c:pt idx="27">
                        <c:v>29.62744302316532</c:v>
                      </c:pt>
                      <c:pt idx="28">
                        <c:v>28.905117732833606</c:v>
                      </c:pt>
                      <c:pt idx="29">
                        <c:v>28.182792442494328</c:v>
                      </c:pt>
                      <c:pt idx="30">
                        <c:v>27.460467152167656</c:v>
                      </c:pt>
                      <c:pt idx="31">
                        <c:v>26.738141861828382</c:v>
                      </c:pt>
                      <c:pt idx="32">
                        <c:v>26.015816571496668</c:v>
                      </c:pt>
                      <c:pt idx="33">
                        <c:v>25.293491281159913</c:v>
                      </c:pt>
                      <c:pt idx="34">
                        <c:v>24.571165990823157</c:v>
                      </c:pt>
                      <c:pt idx="35">
                        <c:v>23.848840700488921</c:v>
                      </c:pt>
                      <c:pt idx="36">
                        <c:v>23.126515410154688</c:v>
                      </c:pt>
                      <c:pt idx="37">
                        <c:v>22.404190119820452</c:v>
                      </c:pt>
                      <c:pt idx="38">
                        <c:v>21.681864829483697</c:v>
                      </c:pt>
                      <c:pt idx="39">
                        <c:v>20.959539539151983</c:v>
                      </c:pt>
                      <c:pt idx="40">
                        <c:v>20.23721424881775</c:v>
                      </c:pt>
                      <c:pt idx="41">
                        <c:v>19.514888958480995</c:v>
                      </c:pt>
                      <c:pt idx="42">
                        <c:v>18.792563668146759</c:v>
                      </c:pt>
                      <c:pt idx="43">
                        <c:v>18.070238377812526</c:v>
                      </c:pt>
                      <c:pt idx="44">
                        <c:v>17.347913087473252</c:v>
                      </c:pt>
                      <c:pt idx="45">
                        <c:v>16.625587797141534</c:v>
                      </c:pt>
                      <c:pt idx="46">
                        <c:v>15.903262506804781</c:v>
                      </c:pt>
                      <c:pt idx="47">
                        <c:v>15.180937216470547</c:v>
                      </c:pt>
                      <c:pt idx="48">
                        <c:v>14.458611926136312</c:v>
                      </c:pt>
                      <c:pt idx="49">
                        <c:v>13.736286635802077</c:v>
                      </c:pt>
                      <c:pt idx="50">
                        <c:v>13.013961345470364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495-4A62-9571-892853E3761F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グラフ!$Z$5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グラフ!$Z$6:$Z$56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45.785701976948772</c:v>
                      </c:pt>
                      <c:pt idx="1">
                        <c:v>45.063376686612017</c:v>
                      </c:pt>
                      <c:pt idx="2">
                        <c:v>44.341051396277784</c:v>
                      </c:pt>
                      <c:pt idx="3">
                        <c:v>43.618726105941022</c:v>
                      </c:pt>
                      <c:pt idx="4">
                        <c:v>42.896400815604274</c:v>
                      </c:pt>
                      <c:pt idx="5">
                        <c:v>42.174075525272556</c:v>
                      </c:pt>
                      <c:pt idx="6">
                        <c:v>41.451750234935801</c:v>
                      </c:pt>
                      <c:pt idx="7">
                        <c:v>40.729424944601568</c:v>
                      </c:pt>
                      <c:pt idx="8">
                        <c:v>40.007099654267336</c:v>
                      </c:pt>
                      <c:pt idx="9">
                        <c:v>39.284774363933103</c:v>
                      </c:pt>
                      <c:pt idx="10">
                        <c:v>38.562449073598863</c:v>
                      </c:pt>
                      <c:pt idx="11">
                        <c:v>37.840123783262108</c:v>
                      </c:pt>
                      <c:pt idx="12">
                        <c:v>37.117798492927875</c:v>
                      </c:pt>
                      <c:pt idx="13">
                        <c:v>36.395473202593642</c:v>
                      </c:pt>
                      <c:pt idx="14">
                        <c:v>35.673147912256887</c:v>
                      </c:pt>
                      <c:pt idx="15">
                        <c:v>34.950822621925177</c:v>
                      </c:pt>
                      <c:pt idx="16">
                        <c:v>34.228497331588414</c:v>
                      </c:pt>
                      <c:pt idx="17">
                        <c:v>33.506172041251659</c:v>
                      </c:pt>
                      <c:pt idx="18">
                        <c:v>32.783846750919949</c:v>
                      </c:pt>
                      <c:pt idx="19">
                        <c:v>32.061521460585716</c:v>
                      </c:pt>
                      <c:pt idx="20">
                        <c:v>31.339196170248961</c:v>
                      </c:pt>
                      <c:pt idx="21">
                        <c:v>30.616870879914721</c:v>
                      </c:pt>
                      <c:pt idx="22">
                        <c:v>29.894545589577969</c:v>
                      </c:pt>
                      <c:pt idx="23">
                        <c:v>29.172220299246256</c:v>
                      </c:pt>
                      <c:pt idx="24">
                        <c:v>28.449895008906978</c:v>
                      </c:pt>
                      <c:pt idx="25">
                        <c:v>27.727569718575264</c:v>
                      </c:pt>
                      <c:pt idx="26">
                        <c:v>27.005244428241031</c:v>
                      </c:pt>
                      <c:pt idx="27">
                        <c:v>26.282919137901754</c:v>
                      </c:pt>
                      <c:pt idx="28">
                        <c:v>25.560593847575085</c:v>
                      </c:pt>
                      <c:pt idx="29">
                        <c:v>24.838268557235807</c:v>
                      </c:pt>
                      <c:pt idx="30">
                        <c:v>24.115943266904093</c:v>
                      </c:pt>
                      <c:pt idx="31">
                        <c:v>23.393617976567338</c:v>
                      </c:pt>
                      <c:pt idx="32">
                        <c:v>22.671292686233102</c:v>
                      </c:pt>
                      <c:pt idx="33">
                        <c:v>21.94896739589635</c:v>
                      </c:pt>
                      <c:pt idx="34">
                        <c:v>21.226642105562114</c:v>
                      </c:pt>
                      <c:pt idx="35">
                        <c:v>20.504316815225359</c:v>
                      </c:pt>
                      <c:pt idx="36">
                        <c:v>19.781991524891126</c:v>
                      </c:pt>
                      <c:pt idx="37">
                        <c:v>19.059666234559412</c:v>
                      </c:pt>
                      <c:pt idx="38">
                        <c:v>18.337340944225176</c:v>
                      </c:pt>
                      <c:pt idx="39">
                        <c:v>17.615015653890939</c:v>
                      </c:pt>
                      <c:pt idx="40">
                        <c:v>16.892690363554188</c:v>
                      </c:pt>
                      <c:pt idx="41">
                        <c:v>16.170365073219951</c:v>
                      </c:pt>
                      <c:pt idx="42">
                        <c:v>15.448039782883196</c:v>
                      </c:pt>
                      <c:pt idx="43">
                        <c:v>14.725714492548962</c:v>
                      </c:pt>
                      <c:pt idx="44">
                        <c:v>14.003389202212206</c:v>
                      </c:pt>
                      <c:pt idx="45">
                        <c:v>13.281063911877974</c:v>
                      </c:pt>
                      <c:pt idx="46">
                        <c:v>12.558738621541218</c:v>
                      </c:pt>
                      <c:pt idx="47">
                        <c:v>11.836413331209505</c:v>
                      </c:pt>
                      <c:pt idx="48">
                        <c:v>11.114088040877791</c:v>
                      </c:pt>
                      <c:pt idx="49">
                        <c:v>10.391762750541035</c:v>
                      </c:pt>
                      <c:pt idx="50">
                        <c:v>9.6694374602067992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495-4A62-9571-892853E3761F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グラフ!$AA$5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グラフ!$AA$6:$AA$56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42.441178091685209</c:v>
                      </c:pt>
                      <c:pt idx="1">
                        <c:v>41.718852801350977</c:v>
                      </c:pt>
                      <c:pt idx="2">
                        <c:v>40.996527511014214</c:v>
                      </c:pt>
                      <c:pt idx="3">
                        <c:v>40.274202220679982</c:v>
                      </c:pt>
                      <c:pt idx="4">
                        <c:v>39.551876930343226</c:v>
                      </c:pt>
                      <c:pt idx="5">
                        <c:v>38.829551640008994</c:v>
                      </c:pt>
                      <c:pt idx="6">
                        <c:v>38.107226349674761</c:v>
                      </c:pt>
                      <c:pt idx="7">
                        <c:v>37.384901059338006</c:v>
                      </c:pt>
                      <c:pt idx="8">
                        <c:v>36.662575769006295</c:v>
                      </c:pt>
                      <c:pt idx="9">
                        <c:v>35.940250478672056</c:v>
                      </c:pt>
                      <c:pt idx="10">
                        <c:v>35.2179251883353</c:v>
                      </c:pt>
                      <c:pt idx="11">
                        <c:v>34.495599898001068</c:v>
                      </c:pt>
                      <c:pt idx="12">
                        <c:v>33.773274607664312</c:v>
                      </c:pt>
                      <c:pt idx="13">
                        <c:v>33.05094931733008</c:v>
                      </c:pt>
                      <c:pt idx="14">
                        <c:v>32.328624026995847</c:v>
                      </c:pt>
                      <c:pt idx="15">
                        <c:v>31.606298736661607</c:v>
                      </c:pt>
                      <c:pt idx="16">
                        <c:v>30.883973446327374</c:v>
                      </c:pt>
                      <c:pt idx="17">
                        <c:v>30.161648155993138</c:v>
                      </c:pt>
                      <c:pt idx="18">
                        <c:v>29.439322865658905</c:v>
                      </c:pt>
                      <c:pt idx="19">
                        <c:v>28.71699757532215</c:v>
                      </c:pt>
                      <c:pt idx="20">
                        <c:v>27.994672284985395</c:v>
                      </c:pt>
                      <c:pt idx="21">
                        <c:v>27.272346994653681</c:v>
                      </c:pt>
                      <c:pt idx="22">
                        <c:v>26.550021704314403</c:v>
                      </c:pt>
                      <c:pt idx="23">
                        <c:v>25.827696413982689</c:v>
                      </c:pt>
                      <c:pt idx="24">
                        <c:v>25.105371123645938</c:v>
                      </c:pt>
                      <c:pt idx="25">
                        <c:v>24.383045833311705</c:v>
                      </c:pt>
                      <c:pt idx="26">
                        <c:v>23.66072054298251</c:v>
                      </c:pt>
                      <c:pt idx="27">
                        <c:v>22.938395252643232</c:v>
                      </c:pt>
                      <c:pt idx="28">
                        <c:v>22.216069962311519</c:v>
                      </c:pt>
                      <c:pt idx="29">
                        <c:v>21.493744671974767</c:v>
                      </c:pt>
                      <c:pt idx="30">
                        <c:v>20.771419381640527</c:v>
                      </c:pt>
                      <c:pt idx="31">
                        <c:v>20.049094091303775</c:v>
                      </c:pt>
                      <c:pt idx="32">
                        <c:v>19.326768800972062</c:v>
                      </c:pt>
                      <c:pt idx="33">
                        <c:v>18.604443510632784</c:v>
                      </c:pt>
                      <c:pt idx="34">
                        <c:v>17.882118220298551</c:v>
                      </c:pt>
                      <c:pt idx="35">
                        <c:v>17.159792929964318</c:v>
                      </c:pt>
                      <c:pt idx="36">
                        <c:v>16.437467639632601</c:v>
                      </c:pt>
                      <c:pt idx="37">
                        <c:v>15.715142349298366</c:v>
                      </c:pt>
                      <c:pt idx="38">
                        <c:v>14.992817058961613</c:v>
                      </c:pt>
                      <c:pt idx="39">
                        <c:v>14.270491768629897</c:v>
                      </c:pt>
                      <c:pt idx="40">
                        <c:v>13.548166478290623</c:v>
                      </c:pt>
                      <c:pt idx="41">
                        <c:v>12.825841187956389</c:v>
                      </c:pt>
                      <c:pt idx="42">
                        <c:v>12.103515897622154</c:v>
                      </c:pt>
                      <c:pt idx="43">
                        <c:v>11.381190607285399</c:v>
                      </c:pt>
                      <c:pt idx="44">
                        <c:v>10.658865316948644</c:v>
                      </c:pt>
                      <c:pt idx="45">
                        <c:v>9.9365400266169299</c:v>
                      </c:pt>
                      <c:pt idx="46">
                        <c:v>9.2142147362826954</c:v>
                      </c:pt>
                      <c:pt idx="47">
                        <c:v>8.4918894459484608</c:v>
                      </c:pt>
                      <c:pt idx="48">
                        <c:v>7.7695641556142254</c:v>
                      </c:pt>
                      <c:pt idx="49">
                        <c:v>7.0472388652799909</c:v>
                      </c:pt>
                      <c:pt idx="50">
                        <c:v>6.3249135749432366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495-4A62-9571-892853E3761F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グラフ!$AB$5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グラフ!$AB$6:$AB$56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39.09665420642164</c:v>
                      </c:pt>
                      <c:pt idx="1">
                        <c:v>38.374328916089929</c:v>
                      </c:pt>
                      <c:pt idx="2">
                        <c:v>37.652003625753174</c:v>
                      </c:pt>
                      <c:pt idx="3">
                        <c:v>36.929678335416419</c:v>
                      </c:pt>
                      <c:pt idx="4">
                        <c:v>36.207353045082186</c:v>
                      </c:pt>
                      <c:pt idx="5">
                        <c:v>35.485027754745431</c:v>
                      </c:pt>
                      <c:pt idx="6">
                        <c:v>34.762702464413721</c:v>
                      </c:pt>
                      <c:pt idx="7">
                        <c:v>34.040377174076959</c:v>
                      </c:pt>
                      <c:pt idx="8">
                        <c:v>33.318051883742726</c:v>
                      </c:pt>
                      <c:pt idx="9">
                        <c:v>32.595726593411015</c:v>
                      </c:pt>
                      <c:pt idx="10">
                        <c:v>31.873401303071738</c:v>
                      </c:pt>
                      <c:pt idx="11">
                        <c:v>31.151076012737505</c:v>
                      </c:pt>
                      <c:pt idx="12">
                        <c:v>30.428750722403269</c:v>
                      </c:pt>
                      <c:pt idx="13">
                        <c:v>29.706425432066514</c:v>
                      </c:pt>
                      <c:pt idx="14">
                        <c:v>28.9841001417348</c:v>
                      </c:pt>
                      <c:pt idx="15">
                        <c:v>28.261774851403086</c:v>
                      </c:pt>
                      <c:pt idx="16">
                        <c:v>27.539449561066331</c:v>
                      </c:pt>
                      <c:pt idx="17">
                        <c:v>26.817124270729575</c:v>
                      </c:pt>
                      <c:pt idx="18">
                        <c:v>26.094798980395339</c:v>
                      </c:pt>
                      <c:pt idx="19">
                        <c:v>25.372473690061106</c:v>
                      </c:pt>
                      <c:pt idx="20">
                        <c:v>24.650148399721832</c:v>
                      </c:pt>
                      <c:pt idx="21">
                        <c:v>23.927823109390115</c:v>
                      </c:pt>
                      <c:pt idx="22">
                        <c:v>23.205497819053363</c:v>
                      </c:pt>
                      <c:pt idx="23">
                        <c:v>22.48317252871913</c:v>
                      </c:pt>
                      <c:pt idx="24">
                        <c:v>21.760847238387417</c:v>
                      </c:pt>
                      <c:pt idx="25">
                        <c:v>21.038521948053177</c:v>
                      </c:pt>
                      <c:pt idx="26">
                        <c:v>20.316196657718944</c:v>
                      </c:pt>
                      <c:pt idx="27">
                        <c:v>19.593871367382192</c:v>
                      </c:pt>
                      <c:pt idx="28">
                        <c:v>18.871546077047952</c:v>
                      </c:pt>
                      <c:pt idx="29">
                        <c:v>18.149220786711201</c:v>
                      </c:pt>
                      <c:pt idx="30">
                        <c:v>17.426895496379487</c:v>
                      </c:pt>
                      <c:pt idx="31">
                        <c:v>16.704570206040209</c:v>
                      </c:pt>
                      <c:pt idx="32">
                        <c:v>15.982244915708495</c:v>
                      </c:pt>
                      <c:pt idx="33">
                        <c:v>15.259919625371742</c:v>
                      </c:pt>
                      <c:pt idx="34">
                        <c:v>14.537594335040026</c:v>
                      </c:pt>
                      <c:pt idx="35">
                        <c:v>13.815269044703273</c:v>
                      </c:pt>
                      <c:pt idx="36">
                        <c:v>13.092943754369038</c:v>
                      </c:pt>
                      <c:pt idx="37">
                        <c:v>12.370618464037324</c:v>
                      </c:pt>
                      <c:pt idx="38">
                        <c:v>11.648293173698049</c:v>
                      </c:pt>
                      <c:pt idx="39">
                        <c:v>10.925967883366335</c:v>
                      </c:pt>
                      <c:pt idx="40">
                        <c:v>10.20364259302958</c:v>
                      </c:pt>
                      <c:pt idx="41">
                        <c:v>9.4813173026928261</c:v>
                      </c:pt>
                      <c:pt idx="42">
                        <c:v>8.7589920123585898</c:v>
                      </c:pt>
                      <c:pt idx="43">
                        <c:v>8.0366667220243553</c:v>
                      </c:pt>
                      <c:pt idx="44">
                        <c:v>7.3143414316901207</c:v>
                      </c:pt>
                      <c:pt idx="45">
                        <c:v>6.5920161413558871</c:v>
                      </c:pt>
                      <c:pt idx="46">
                        <c:v>5.8696908510191319</c:v>
                      </c:pt>
                      <c:pt idx="47">
                        <c:v>5.147365560687418</c:v>
                      </c:pt>
                      <c:pt idx="48">
                        <c:v>4.4250402703506628</c:v>
                      </c:pt>
                      <c:pt idx="49">
                        <c:v>3.7027149800164283</c:v>
                      </c:pt>
                      <c:pt idx="50">
                        <c:v>2.9803896896821938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495-4A62-9571-892853E3761F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グラフ!$AK$5</c15:sqref>
                        </c15:formulaRef>
                      </c:ext>
                    </c:extLst>
                    <c:strCache>
                      <c:ptCount val="1"/>
                      <c:pt idx="0">
                        <c:v>outer応力:Δ-30℃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グラフ!$AK$6:$AK$56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115.81143244473274</c:v>
                      </c:pt>
                      <c:pt idx="1">
                        <c:v>114.39750145865105</c:v>
                      </c:pt>
                      <c:pt idx="2">
                        <c:v>112.98357047257429</c:v>
                      </c:pt>
                      <c:pt idx="3">
                        <c:v>111.56963948649752</c:v>
                      </c:pt>
                      <c:pt idx="4">
                        <c:v>110.15570850041583</c:v>
                      </c:pt>
                      <c:pt idx="5">
                        <c:v>108.74177751433908</c:v>
                      </c:pt>
                      <c:pt idx="6">
                        <c:v>107.3278465282623</c:v>
                      </c:pt>
                      <c:pt idx="7">
                        <c:v>105.91391554218062</c:v>
                      </c:pt>
                      <c:pt idx="8">
                        <c:v>104.4999845561088</c:v>
                      </c:pt>
                      <c:pt idx="9">
                        <c:v>103.08605357003202</c:v>
                      </c:pt>
                      <c:pt idx="10">
                        <c:v>101.67212258395033</c:v>
                      </c:pt>
                      <c:pt idx="11">
                        <c:v>100.25819159787356</c:v>
                      </c:pt>
                      <c:pt idx="12">
                        <c:v>98.844260611791881</c:v>
                      </c:pt>
                      <c:pt idx="13">
                        <c:v>97.430329625720063</c:v>
                      </c:pt>
                      <c:pt idx="14">
                        <c:v>96.016398639638354</c:v>
                      </c:pt>
                      <c:pt idx="15">
                        <c:v>94.602467653566535</c:v>
                      </c:pt>
                      <c:pt idx="16">
                        <c:v>93.188536667484826</c:v>
                      </c:pt>
                      <c:pt idx="17">
                        <c:v>91.774605681403131</c:v>
                      </c:pt>
                      <c:pt idx="18">
                        <c:v>90.360674695331312</c:v>
                      </c:pt>
                      <c:pt idx="19">
                        <c:v>88.946743709249617</c:v>
                      </c:pt>
                      <c:pt idx="20">
                        <c:v>87.532812723167922</c:v>
                      </c:pt>
                      <c:pt idx="21">
                        <c:v>86.118881737096103</c:v>
                      </c:pt>
                      <c:pt idx="22">
                        <c:v>84.704950751009449</c:v>
                      </c:pt>
                      <c:pt idx="23">
                        <c:v>83.29101976493763</c:v>
                      </c:pt>
                      <c:pt idx="24">
                        <c:v>81.877088778855935</c:v>
                      </c:pt>
                      <c:pt idx="25">
                        <c:v>80.463157792779185</c:v>
                      </c:pt>
                      <c:pt idx="26">
                        <c:v>79.049226806707367</c:v>
                      </c:pt>
                      <c:pt idx="27">
                        <c:v>77.635295820625657</c:v>
                      </c:pt>
                      <c:pt idx="28">
                        <c:v>76.221364834553839</c:v>
                      </c:pt>
                      <c:pt idx="29">
                        <c:v>74.807433848467184</c:v>
                      </c:pt>
                      <c:pt idx="30">
                        <c:v>73.39350286239538</c:v>
                      </c:pt>
                      <c:pt idx="31">
                        <c:v>71.979571876313685</c:v>
                      </c:pt>
                      <c:pt idx="32">
                        <c:v>70.565640890236921</c:v>
                      </c:pt>
                      <c:pt idx="33">
                        <c:v>69.151709904155226</c:v>
                      </c:pt>
                      <c:pt idx="34">
                        <c:v>67.737778918078462</c:v>
                      </c:pt>
                      <c:pt idx="35">
                        <c:v>66.323847931996752</c:v>
                      </c:pt>
                      <c:pt idx="36">
                        <c:v>64.909916945929865</c:v>
                      </c:pt>
                      <c:pt idx="37">
                        <c:v>63.495985959853101</c:v>
                      </c:pt>
                      <c:pt idx="38">
                        <c:v>62.082054973771413</c:v>
                      </c:pt>
                      <c:pt idx="39">
                        <c:v>60.668123987699595</c:v>
                      </c:pt>
                      <c:pt idx="40">
                        <c:v>59.254193001612954</c:v>
                      </c:pt>
                      <c:pt idx="41">
                        <c:v>57.840262015536197</c:v>
                      </c:pt>
                      <c:pt idx="42">
                        <c:v>56.42633102945944</c:v>
                      </c:pt>
                      <c:pt idx="43">
                        <c:v>55.012400043377738</c:v>
                      </c:pt>
                      <c:pt idx="44">
                        <c:v>53.59846905729605</c:v>
                      </c:pt>
                      <c:pt idx="45">
                        <c:v>52.184538071224225</c:v>
                      </c:pt>
                      <c:pt idx="46">
                        <c:v>50.770607085147446</c:v>
                      </c:pt>
                      <c:pt idx="47">
                        <c:v>49.356676099070697</c:v>
                      </c:pt>
                      <c:pt idx="48">
                        <c:v>47.94274511299394</c:v>
                      </c:pt>
                      <c:pt idx="49">
                        <c:v>46.528814126917176</c:v>
                      </c:pt>
                      <c:pt idx="50">
                        <c:v>45.114883140835474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495-4A62-9571-892853E3761F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グラフ!$AL$5</c15:sqref>
                        </c15:formulaRef>
                      </c:ext>
                    </c:extLst>
                    <c:strCache>
                      <c:ptCount val="1"/>
                      <c:pt idx="0">
                        <c:v>outer応力:Δ-20℃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グラフ!$AL$6:$AL$56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109.26462310782054</c:v>
                      </c:pt>
                      <c:pt idx="1">
                        <c:v>107.85069212174872</c:v>
                      </c:pt>
                      <c:pt idx="2">
                        <c:v>106.436761135667</c:v>
                      </c:pt>
                      <c:pt idx="3">
                        <c:v>105.02283014958532</c:v>
                      </c:pt>
                      <c:pt idx="4">
                        <c:v>103.60889916350857</c:v>
                      </c:pt>
                      <c:pt idx="5">
                        <c:v>102.19496817742686</c:v>
                      </c:pt>
                      <c:pt idx="6">
                        <c:v>100.78103719135504</c:v>
                      </c:pt>
                      <c:pt idx="7">
                        <c:v>99.367106205273345</c:v>
                      </c:pt>
                      <c:pt idx="8">
                        <c:v>97.953175219196567</c:v>
                      </c:pt>
                      <c:pt idx="9">
                        <c:v>96.539244233124748</c:v>
                      </c:pt>
                      <c:pt idx="10">
                        <c:v>95.125313247038136</c:v>
                      </c:pt>
                      <c:pt idx="11">
                        <c:v>93.711382260966289</c:v>
                      </c:pt>
                      <c:pt idx="12">
                        <c:v>92.297451274884608</c:v>
                      </c:pt>
                      <c:pt idx="13">
                        <c:v>90.883520288807844</c:v>
                      </c:pt>
                      <c:pt idx="14">
                        <c:v>89.469589302731066</c:v>
                      </c:pt>
                      <c:pt idx="15">
                        <c:v>88.055658316654302</c:v>
                      </c:pt>
                      <c:pt idx="16">
                        <c:v>86.641727330577552</c:v>
                      </c:pt>
                      <c:pt idx="17">
                        <c:v>85.227796344495857</c:v>
                      </c:pt>
                      <c:pt idx="18">
                        <c:v>83.813865358419093</c:v>
                      </c:pt>
                      <c:pt idx="19">
                        <c:v>82.399934372342344</c:v>
                      </c:pt>
                      <c:pt idx="20">
                        <c:v>80.986003386255717</c:v>
                      </c:pt>
                      <c:pt idx="21">
                        <c:v>79.57207240018387</c:v>
                      </c:pt>
                      <c:pt idx="22">
                        <c:v>78.158141414102175</c:v>
                      </c:pt>
                      <c:pt idx="23">
                        <c:v>76.744210428025411</c:v>
                      </c:pt>
                      <c:pt idx="24">
                        <c:v>75.330279441948662</c:v>
                      </c:pt>
                      <c:pt idx="25">
                        <c:v>73.916348455876843</c:v>
                      </c:pt>
                      <c:pt idx="26">
                        <c:v>72.502417469800065</c:v>
                      </c:pt>
                      <c:pt idx="27">
                        <c:v>71.088486483713439</c:v>
                      </c:pt>
                      <c:pt idx="28">
                        <c:v>69.67455549764162</c:v>
                      </c:pt>
                      <c:pt idx="29">
                        <c:v>68.260624511559925</c:v>
                      </c:pt>
                      <c:pt idx="30">
                        <c:v>66.846693525483175</c:v>
                      </c:pt>
                      <c:pt idx="31">
                        <c:v>65.432762539401466</c:v>
                      </c:pt>
                      <c:pt idx="32">
                        <c:v>64.018831553329633</c:v>
                      </c:pt>
                      <c:pt idx="33">
                        <c:v>62.604900567243007</c:v>
                      </c:pt>
                      <c:pt idx="34">
                        <c:v>61.190969581176105</c:v>
                      </c:pt>
                      <c:pt idx="35">
                        <c:v>59.777038595094417</c:v>
                      </c:pt>
                      <c:pt idx="36">
                        <c:v>58.363107609017661</c:v>
                      </c:pt>
                      <c:pt idx="37">
                        <c:v>56.949176622945828</c:v>
                      </c:pt>
                      <c:pt idx="38">
                        <c:v>55.535245636859202</c:v>
                      </c:pt>
                      <c:pt idx="39">
                        <c:v>54.121314650787376</c:v>
                      </c:pt>
                      <c:pt idx="40">
                        <c:v>52.707383664705681</c:v>
                      </c:pt>
                      <c:pt idx="41">
                        <c:v>51.293452678623986</c:v>
                      </c:pt>
                      <c:pt idx="42">
                        <c:v>49.879521692547222</c:v>
                      </c:pt>
                      <c:pt idx="43">
                        <c:v>48.465590706470465</c:v>
                      </c:pt>
                      <c:pt idx="44">
                        <c:v>47.051659720393701</c:v>
                      </c:pt>
                      <c:pt idx="45">
                        <c:v>45.637728734316937</c:v>
                      </c:pt>
                      <c:pt idx="46">
                        <c:v>44.223797748235249</c:v>
                      </c:pt>
                      <c:pt idx="47">
                        <c:v>42.809866762163423</c:v>
                      </c:pt>
                      <c:pt idx="48">
                        <c:v>41.395935776081721</c:v>
                      </c:pt>
                      <c:pt idx="49">
                        <c:v>39.982004790004957</c:v>
                      </c:pt>
                      <c:pt idx="50">
                        <c:v>38.568073803928201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495-4A62-9571-892853E3761F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グラフ!$AM$5</c15:sqref>
                        </c15:formulaRef>
                      </c:ext>
                    </c:extLst>
                    <c:strCache>
                      <c:ptCount val="1"/>
                      <c:pt idx="0">
                        <c:v>outer応力:Δ-10℃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グラフ!$AM$6:$AM$56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102.71781377091325</c:v>
                      </c:pt>
                      <c:pt idx="1">
                        <c:v>101.30388278483649</c:v>
                      </c:pt>
                      <c:pt idx="2">
                        <c:v>99.889951798759725</c:v>
                      </c:pt>
                      <c:pt idx="3">
                        <c:v>98.476020812673113</c:v>
                      </c:pt>
                      <c:pt idx="4">
                        <c:v>97.06208982660128</c:v>
                      </c:pt>
                      <c:pt idx="5">
                        <c:v>95.648158840519599</c:v>
                      </c:pt>
                      <c:pt idx="6">
                        <c:v>94.234227854442821</c:v>
                      </c:pt>
                      <c:pt idx="7">
                        <c:v>92.820296868366057</c:v>
                      </c:pt>
                      <c:pt idx="8">
                        <c:v>91.406365882284376</c:v>
                      </c:pt>
                      <c:pt idx="9">
                        <c:v>89.992434896217475</c:v>
                      </c:pt>
                      <c:pt idx="10">
                        <c:v>88.578503910130848</c:v>
                      </c:pt>
                      <c:pt idx="11">
                        <c:v>87.164572924054085</c:v>
                      </c:pt>
                      <c:pt idx="12">
                        <c:v>85.750641937977321</c:v>
                      </c:pt>
                      <c:pt idx="13">
                        <c:v>84.336710951895625</c:v>
                      </c:pt>
                      <c:pt idx="14">
                        <c:v>82.922779965823793</c:v>
                      </c:pt>
                      <c:pt idx="15">
                        <c:v>81.508848979747043</c:v>
                      </c:pt>
                      <c:pt idx="16">
                        <c:v>80.094917993665348</c:v>
                      </c:pt>
                      <c:pt idx="17">
                        <c:v>78.680987007588584</c:v>
                      </c:pt>
                      <c:pt idx="18">
                        <c:v>77.267056021506889</c:v>
                      </c:pt>
                      <c:pt idx="19">
                        <c:v>75.853125035430111</c:v>
                      </c:pt>
                      <c:pt idx="20">
                        <c:v>74.439194049348416</c:v>
                      </c:pt>
                      <c:pt idx="21">
                        <c:v>73.025263063271666</c:v>
                      </c:pt>
                      <c:pt idx="22">
                        <c:v>71.611332077194902</c:v>
                      </c:pt>
                      <c:pt idx="23">
                        <c:v>70.197401091123083</c:v>
                      </c:pt>
                      <c:pt idx="24">
                        <c:v>68.783470105041388</c:v>
                      </c:pt>
                      <c:pt idx="25">
                        <c:v>67.369539118964639</c:v>
                      </c:pt>
                      <c:pt idx="26">
                        <c:v>65.955608132887861</c:v>
                      </c:pt>
                      <c:pt idx="27">
                        <c:v>64.541677146806165</c:v>
                      </c:pt>
                      <c:pt idx="28">
                        <c:v>63.127746160729409</c:v>
                      </c:pt>
                      <c:pt idx="29">
                        <c:v>61.713815174647721</c:v>
                      </c:pt>
                      <c:pt idx="30">
                        <c:v>60.299884188575888</c:v>
                      </c:pt>
                      <c:pt idx="31">
                        <c:v>58.885953202489254</c:v>
                      </c:pt>
                      <c:pt idx="32">
                        <c:v>57.472022216427291</c:v>
                      </c:pt>
                      <c:pt idx="33">
                        <c:v>56.058091230340672</c:v>
                      </c:pt>
                      <c:pt idx="34">
                        <c:v>54.644160244263901</c:v>
                      </c:pt>
                      <c:pt idx="35">
                        <c:v>53.230229258187144</c:v>
                      </c:pt>
                      <c:pt idx="36">
                        <c:v>51.816298272105449</c:v>
                      </c:pt>
                      <c:pt idx="37">
                        <c:v>50.402367286033609</c:v>
                      </c:pt>
                      <c:pt idx="38">
                        <c:v>48.988436299951928</c:v>
                      </c:pt>
                      <c:pt idx="39">
                        <c:v>47.574505313875164</c:v>
                      </c:pt>
                      <c:pt idx="40">
                        <c:v>46.160574327793462</c:v>
                      </c:pt>
                      <c:pt idx="41">
                        <c:v>44.746643341716712</c:v>
                      </c:pt>
                      <c:pt idx="42">
                        <c:v>43.33271235564488</c:v>
                      </c:pt>
                      <c:pt idx="43">
                        <c:v>41.918781369563185</c:v>
                      </c:pt>
                      <c:pt idx="44">
                        <c:v>40.504850383481489</c:v>
                      </c:pt>
                      <c:pt idx="45">
                        <c:v>39.090919397409664</c:v>
                      </c:pt>
                      <c:pt idx="46">
                        <c:v>37.67698841132303</c:v>
                      </c:pt>
                      <c:pt idx="47">
                        <c:v>36.263057425251205</c:v>
                      </c:pt>
                      <c:pt idx="48">
                        <c:v>34.849126439174448</c:v>
                      </c:pt>
                      <c:pt idx="49">
                        <c:v>33.435195453092746</c:v>
                      </c:pt>
                      <c:pt idx="50">
                        <c:v>32.021264467015982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495-4A62-9571-892853E3761F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グラフ!$AN$5</c15:sqref>
                        </c15:formulaRef>
                      </c:ext>
                    </c:extLst>
                    <c:strCache>
                      <c:ptCount val="1"/>
                      <c:pt idx="0">
                        <c:v>outer応力:Δ0℃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グラフ!$AN$6:$AN$56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96.171004434005965</c:v>
                      </c:pt>
                      <c:pt idx="1">
                        <c:v>94.757073447924284</c:v>
                      </c:pt>
                      <c:pt idx="2">
                        <c:v>93.343142461852452</c:v>
                      </c:pt>
                      <c:pt idx="3">
                        <c:v>91.92921147576584</c:v>
                      </c:pt>
                      <c:pt idx="4">
                        <c:v>90.515280489689061</c:v>
                      </c:pt>
                      <c:pt idx="5">
                        <c:v>89.101349503612283</c:v>
                      </c:pt>
                      <c:pt idx="6">
                        <c:v>87.687418517530617</c:v>
                      </c:pt>
                      <c:pt idx="7">
                        <c:v>86.273487531458784</c:v>
                      </c:pt>
                      <c:pt idx="8">
                        <c:v>84.859556545377075</c:v>
                      </c:pt>
                      <c:pt idx="9">
                        <c:v>83.44562555930527</c:v>
                      </c:pt>
                      <c:pt idx="10">
                        <c:v>82.031694573223561</c:v>
                      </c:pt>
                      <c:pt idx="11">
                        <c:v>80.617763587141852</c:v>
                      </c:pt>
                      <c:pt idx="12">
                        <c:v>79.203832601070047</c:v>
                      </c:pt>
                      <c:pt idx="13">
                        <c:v>77.789901614988338</c:v>
                      </c:pt>
                      <c:pt idx="14">
                        <c:v>76.375970628911588</c:v>
                      </c:pt>
                      <c:pt idx="15">
                        <c:v>74.962039642839756</c:v>
                      </c:pt>
                      <c:pt idx="16">
                        <c:v>73.548108656753129</c:v>
                      </c:pt>
                      <c:pt idx="17">
                        <c:v>72.134177670676365</c:v>
                      </c:pt>
                      <c:pt idx="18">
                        <c:v>70.720246684599601</c:v>
                      </c:pt>
                      <c:pt idx="19">
                        <c:v>69.306315698517906</c:v>
                      </c:pt>
                      <c:pt idx="20">
                        <c:v>67.892384712441157</c:v>
                      </c:pt>
                      <c:pt idx="21">
                        <c:v>66.478453726369324</c:v>
                      </c:pt>
                      <c:pt idx="22">
                        <c:v>65.064522740287643</c:v>
                      </c:pt>
                      <c:pt idx="23">
                        <c:v>63.650591754210872</c:v>
                      </c:pt>
                      <c:pt idx="24">
                        <c:v>62.236660768129163</c:v>
                      </c:pt>
                      <c:pt idx="25">
                        <c:v>60.822729782057344</c:v>
                      </c:pt>
                      <c:pt idx="26">
                        <c:v>59.408798795975642</c:v>
                      </c:pt>
                      <c:pt idx="27">
                        <c:v>57.994867809893954</c:v>
                      </c:pt>
                      <c:pt idx="28">
                        <c:v>56.580936823822128</c:v>
                      </c:pt>
                      <c:pt idx="29">
                        <c:v>55.167005837735495</c:v>
                      </c:pt>
                      <c:pt idx="30">
                        <c:v>53.753074851673539</c:v>
                      </c:pt>
                      <c:pt idx="31">
                        <c:v>52.339143865586905</c:v>
                      </c:pt>
                      <c:pt idx="32">
                        <c:v>50.92521287951508</c:v>
                      </c:pt>
                      <c:pt idx="33">
                        <c:v>49.511281893433392</c:v>
                      </c:pt>
                      <c:pt idx="34">
                        <c:v>48.097350907351689</c:v>
                      </c:pt>
                      <c:pt idx="35">
                        <c:v>46.683419921274925</c:v>
                      </c:pt>
                      <c:pt idx="36">
                        <c:v>45.269488935198169</c:v>
                      </c:pt>
                      <c:pt idx="37">
                        <c:v>43.855557949121405</c:v>
                      </c:pt>
                      <c:pt idx="38">
                        <c:v>42.44162696303971</c:v>
                      </c:pt>
                      <c:pt idx="39">
                        <c:v>41.027695976967884</c:v>
                      </c:pt>
                      <c:pt idx="40">
                        <c:v>39.61376499089112</c:v>
                      </c:pt>
                      <c:pt idx="41">
                        <c:v>38.199834004809425</c:v>
                      </c:pt>
                      <c:pt idx="42">
                        <c:v>36.785903018732668</c:v>
                      </c:pt>
                      <c:pt idx="43">
                        <c:v>35.371972032655904</c:v>
                      </c:pt>
                      <c:pt idx="44">
                        <c:v>33.958041046569278</c:v>
                      </c:pt>
                      <c:pt idx="45">
                        <c:v>32.544110060497445</c:v>
                      </c:pt>
                      <c:pt idx="46">
                        <c:v>31.13017907441575</c:v>
                      </c:pt>
                      <c:pt idx="47">
                        <c:v>29.716248088338993</c:v>
                      </c:pt>
                      <c:pt idx="48">
                        <c:v>28.302317102262229</c:v>
                      </c:pt>
                      <c:pt idx="49">
                        <c:v>26.888386116185469</c:v>
                      </c:pt>
                      <c:pt idx="50">
                        <c:v>25.47445513011364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495-4A62-9571-892853E3761F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グラフ!$AO$5</c15:sqref>
                        </c15:formulaRef>
                      </c:ext>
                    </c:extLst>
                    <c:strCache>
                      <c:ptCount val="1"/>
                      <c:pt idx="0">
                        <c:v>outer応力:Δ+10℃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グラフ!$AO$6:$AO$56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89.624195097098706</c:v>
                      </c:pt>
                      <c:pt idx="1">
                        <c:v>88.210264111016997</c:v>
                      </c:pt>
                      <c:pt idx="2">
                        <c:v>86.796333124940247</c:v>
                      </c:pt>
                      <c:pt idx="3">
                        <c:v>85.382402138858538</c:v>
                      </c:pt>
                      <c:pt idx="4">
                        <c:v>83.968471152776857</c:v>
                      </c:pt>
                      <c:pt idx="5">
                        <c:v>82.554540166705024</c:v>
                      </c:pt>
                      <c:pt idx="6">
                        <c:v>81.140609180623329</c:v>
                      </c:pt>
                      <c:pt idx="7">
                        <c:v>79.726678194546565</c:v>
                      </c:pt>
                      <c:pt idx="8">
                        <c:v>78.312747208469816</c:v>
                      </c:pt>
                      <c:pt idx="9">
                        <c:v>76.898816222393052</c:v>
                      </c:pt>
                      <c:pt idx="10">
                        <c:v>75.484885236316288</c:v>
                      </c:pt>
                      <c:pt idx="11">
                        <c:v>74.070954250234593</c:v>
                      </c:pt>
                      <c:pt idx="12">
                        <c:v>72.657023264157829</c:v>
                      </c:pt>
                      <c:pt idx="13">
                        <c:v>71.243092278081079</c:v>
                      </c:pt>
                      <c:pt idx="14">
                        <c:v>69.82916129199937</c:v>
                      </c:pt>
                      <c:pt idx="15">
                        <c:v>68.415230305927551</c:v>
                      </c:pt>
                      <c:pt idx="16">
                        <c:v>67.001299319845856</c:v>
                      </c:pt>
                      <c:pt idx="17">
                        <c:v>65.587368333764147</c:v>
                      </c:pt>
                      <c:pt idx="18">
                        <c:v>64.173437347692328</c:v>
                      </c:pt>
                      <c:pt idx="19">
                        <c:v>62.759506361615564</c:v>
                      </c:pt>
                      <c:pt idx="20">
                        <c:v>61.345575375533876</c:v>
                      </c:pt>
                      <c:pt idx="21">
                        <c:v>59.931644389457105</c:v>
                      </c:pt>
                      <c:pt idx="22">
                        <c:v>58.517713403375417</c:v>
                      </c:pt>
                      <c:pt idx="23">
                        <c:v>57.103782417303592</c:v>
                      </c:pt>
                      <c:pt idx="24">
                        <c:v>55.689851431216951</c:v>
                      </c:pt>
                      <c:pt idx="25">
                        <c:v>54.275920445145125</c:v>
                      </c:pt>
                      <c:pt idx="26">
                        <c:v>52.861989459068369</c:v>
                      </c:pt>
                      <c:pt idx="27">
                        <c:v>51.448058472981735</c:v>
                      </c:pt>
                      <c:pt idx="28">
                        <c:v>50.034127486919786</c:v>
                      </c:pt>
                      <c:pt idx="29">
                        <c:v>48.620196500833153</c:v>
                      </c:pt>
                      <c:pt idx="30">
                        <c:v>47.206265514761327</c:v>
                      </c:pt>
                      <c:pt idx="31">
                        <c:v>45.792334528679625</c:v>
                      </c:pt>
                      <c:pt idx="32">
                        <c:v>44.378403542602868</c:v>
                      </c:pt>
                      <c:pt idx="33">
                        <c:v>42.96447255652118</c:v>
                      </c:pt>
                      <c:pt idx="34">
                        <c:v>41.550541570444409</c:v>
                      </c:pt>
                      <c:pt idx="35">
                        <c:v>40.136610584362714</c:v>
                      </c:pt>
                      <c:pt idx="36">
                        <c:v>38.722679598285964</c:v>
                      </c:pt>
                      <c:pt idx="37">
                        <c:v>37.308748612214131</c:v>
                      </c:pt>
                      <c:pt idx="38">
                        <c:v>35.894817626137367</c:v>
                      </c:pt>
                      <c:pt idx="39">
                        <c:v>34.480886640060604</c:v>
                      </c:pt>
                      <c:pt idx="40">
                        <c:v>33.066955653978908</c:v>
                      </c:pt>
                      <c:pt idx="41">
                        <c:v>31.653024667902145</c:v>
                      </c:pt>
                      <c:pt idx="42">
                        <c:v>30.239093681820453</c:v>
                      </c:pt>
                      <c:pt idx="43">
                        <c:v>28.825162695743693</c:v>
                      </c:pt>
                      <c:pt idx="44">
                        <c:v>27.411231709661998</c:v>
                      </c:pt>
                      <c:pt idx="45">
                        <c:v>25.997300723585237</c:v>
                      </c:pt>
                      <c:pt idx="46">
                        <c:v>24.583369737503542</c:v>
                      </c:pt>
                      <c:pt idx="47">
                        <c:v>23.169438751431716</c:v>
                      </c:pt>
                      <c:pt idx="48">
                        <c:v>21.755507765359891</c:v>
                      </c:pt>
                      <c:pt idx="49">
                        <c:v>20.341576779278192</c:v>
                      </c:pt>
                      <c:pt idx="50">
                        <c:v>18.927645793201428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495-4A62-9571-892853E3761F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グラフ!$AP$5</c15:sqref>
                        </c15:formulaRef>
                      </c:ext>
                    </c:extLst>
                    <c:strCache>
                      <c:ptCount val="1"/>
                      <c:pt idx="0">
                        <c:v>outer応力:Δ+20℃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グラフ!$AP$6:$AP$56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83.077385760186488</c:v>
                      </c:pt>
                      <c:pt idx="1">
                        <c:v>81.663454774109738</c:v>
                      </c:pt>
                      <c:pt idx="2">
                        <c:v>80.249523788028029</c:v>
                      </c:pt>
                      <c:pt idx="3">
                        <c:v>78.835592801951265</c:v>
                      </c:pt>
                      <c:pt idx="4">
                        <c:v>77.42166181586957</c:v>
                      </c:pt>
                      <c:pt idx="5">
                        <c:v>76.00773082979282</c:v>
                      </c:pt>
                      <c:pt idx="6">
                        <c:v>74.593799843716056</c:v>
                      </c:pt>
                      <c:pt idx="7">
                        <c:v>73.179868857634361</c:v>
                      </c:pt>
                      <c:pt idx="8">
                        <c:v>71.765937871562528</c:v>
                      </c:pt>
                      <c:pt idx="9">
                        <c:v>70.352006885485764</c:v>
                      </c:pt>
                      <c:pt idx="10">
                        <c:v>68.938075899404083</c:v>
                      </c:pt>
                      <c:pt idx="11">
                        <c:v>67.524144913327305</c:v>
                      </c:pt>
                      <c:pt idx="12">
                        <c:v>66.110213927245624</c:v>
                      </c:pt>
                      <c:pt idx="13">
                        <c:v>64.69628294116886</c:v>
                      </c:pt>
                      <c:pt idx="14">
                        <c:v>63.282351955092103</c:v>
                      </c:pt>
                      <c:pt idx="15">
                        <c:v>61.868420969015339</c:v>
                      </c:pt>
                      <c:pt idx="16">
                        <c:v>60.454489982938568</c:v>
                      </c:pt>
                      <c:pt idx="17">
                        <c:v>59.040558996861805</c:v>
                      </c:pt>
                      <c:pt idx="18">
                        <c:v>57.626628010785055</c:v>
                      </c:pt>
                      <c:pt idx="19">
                        <c:v>56.212697024703353</c:v>
                      </c:pt>
                      <c:pt idx="20">
                        <c:v>54.798766038621658</c:v>
                      </c:pt>
                      <c:pt idx="21">
                        <c:v>53.384835052549832</c:v>
                      </c:pt>
                      <c:pt idx="22">
                        <c:v>51.970904066463198</c:v>
                      </c:pt>
                      <c:pt idx="23">
                        <c:v>50.556973080391373</c:v>
                      </c:pt>
                      <c:pt idx="24">
                        <c:v>49.143042094309678</c:v>
                      </c:pt>
                      <c:pt idx="25">
                        <c:v>47.729111108232921</c:v>
                      </c:pt>
                      <c:pt idx="26">
                        <c:v>46.315180122166026</c:v>
                      </c:pt>
                      <c:pt idx="27">
                        <c:v>44.9012491360794</c:v>
                      </c:pt>
                      <c:pt idx="28">
                        <c:v>43.487318150007567</c:v>
                      </c:pt>
                      <c:pt idx="29">
                        <c:v>42.073387163925879</c:v>
                      </c:pt>
                      <c:pt idx="30">
                        <c:v>40.659456177849108</c:v>
                      </c:pt>
                      <c:pt idx="31">
                        <c:v>39.24552519176742</c:v>
                      </c:pt>
                      <c:pt idx="32">
                        <c:v>37.831594205695588</c:v>
                      </c:pt>
                      <c:pt idx="33">
                        <c:v>36.417663219608961</c:v>
                      </c:pt>
                      <c:pt idx="34">
                        <c:v>35.003732233532197</c:v>
                      </c:pt>
                      <c:pt idx="35">
                        <c:v>33.589801247455441</c:v>
                      </c:pt>
                      <c:pt idx="36">
                        <c:v>32.175870261383608</c:v>
                      </c:pt>
                      <c:pt idx="37">
                        <c:v>30.761939275306847</c:v>
                      </c:pt>
                      <c:pt idx="38">
                        <c:v>29.348008289225156</c:v>
                      </c:pt>
                      <c:pt idx="39">
                        <c:v>27.934077303153327</c:v>
                      </c:pt>
                      <c:pt idx="40">
                        <c:v>26.5201463170667</c:v>
                      </c:pt>
                      <c:pt idx="41">
                        <c:v>25.106215330989937</c:v>
                      </c:pt>
                      <c:pt idx="42">
                        <c:v>23.692284344913176</c:v>
                      </c:pt>
                      <c:pt idx="43">
                        <c:v>22.278353358831481</c:v>
                      </c:pt>
                      <c:pt idx="44">
                        <c:v>20.864422372749786</c:v>
                      </c:pt>
                      <c:pt idx="45">
                        <c:v>19.450491386677957</c:v>
                      </c:pt>
                      <c:pt idx="46">
                        <c:v>18.036560400601196</c:v>
                      </c:pt>
                      <c:pt idx="47">
                        <c:v>16.622629414524436</c:v>
                      </c:pt>
                      <c:pt idx="48">
                        <c:v>15.208698428447672</c:v>
                      </c:pt>
                      <c:pt idx="49">
                        <c:v>13.79476744237091</c:v>
                      </c:pt>
                      <c:pt idx="50">
                        <c:v>12.380836456289217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495-4A62-9571-892853E3761F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グラフ!$AQ$5</c15:sqref>
                        </c15:formulaRef>
                      </c:ext>
                    </c:extLst>
                    <c:strCache>
                      <c:ptCount val="1"/>
                      <c:pt idx="0">
                        <c:v>outer応力:Δ+30℃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グラフ!$AQ$6:$AQ$56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76.530576423274269</c:v>
                      </c:pt>
                      <c:pt idx="1">
                        <c:v>75.116645437202436</c:v>
                      </c:pt>
                      <c:pt idx="2">
                        <c:v>73.702714451120741</c:v>
                      </c:pt>
                      <c:pt idx="3">
                        <c:v>72.28878346503906</c:v>
                      </c:pt>
                      <c:pt idx="4">
                        <c:v>70.874852478962296</c:v>
                      </c:pt>
                      <c:pt idx="5">
                        <c:v>69.460921492880601</c:v>
                      </c:pt>
                      <c:pt idx="6">
                        <c:v>68.046990506808783</c:v>
                      </c:pt>
                      <c:pt idx="7">
                        <c:v>66.633059520727073</c:v>
                      </c:pt>
                      <c:pt idx="8">
                        <c:v>65.219128534650309</c:v>
                      </c:pt>
                      <c:pt idx="9">
                        <c:v>63.805197548578491</c:v>
                      </c:pt>
                      <c:pt idx="10">
                        <c:v>62.391266562491857</c:v>
                      </c:pt>
                      <c:pt idx="11">
                        <c:v>60.977335576415101</c:v>
                      </c:pt>
                      <c:pt idx="12">
                        <c:v>59.563404590338344</c:v>
                      </c:pt>
                      <c:pt idx="13">
                        <c:v>58.149473604256642</c:v>
                      </c:pt>
                      <c:pt idx="14">
                        <c:v>56.735542618184816</c:v>
                      </c:pt>
                      <c:pt idx="15">
                        <c:v>55.32161163211299</c:v>
                      </c:pt>
                      <c:pt idx="16">
                        <c:v>53.907680646031288</c:v>
                      </c:pt>
                      <c:pt idx="17">
                        <c:v>52.4937496599496</c:v>
                      </c:pt>
                      <c:pt idx="18">
                        <c:v>51.079818673872836</c:v>
                      </c:pt>
                      <c:pt idx="19">
                        <c:v>49.665887687796072</c:v>
                      </c:pt>
                      <c:pt idx="20">
                        <c:v>48.251956701709453</c:v>
                      </c:pt>
                      <c:pt idx="21">
                        <c:v>46.838025715637613</c:v>
                      </c:pt>
                      <c:pt idx="22">
                        <c:v>45.424094729555925</c:v>
                      </c:pt>
                      <c:pt idx="23">
                        <c:v>44.010163743479168</c:v>
                      </c:pt>
                      <c:pt idx="24">
                        <c:v>42.596232757407343</c:v>
                      </c:pt>
                      <c:pt idx="25">
                        <c:v>41.182301771330565</c:v>
                      </c:pt>
                      <c:pt idx="26">
                        <c:v>39.768370785253808</c:v>
                      </c:pt>
                      <c:pt idx="27">
                        <c:v>38.354439799172127</c:v>
                      </c:pt>
                      <c:pt idx="28">
                        <c:v>36.940508813095349</c:v>
                      </c:pt>
                      <c:pt idx="29">
                        <c:v>35.526577827013661</c:v>
                      </c:pt>
                      <c:pt idx="30">
                        <c:v>34.112646840941835</c:v>
                      </c:pt>
                      <c:pt idx="31">
                        <c:v>32.698715854855202</c:v>
                      </c:pt>
                      <c:pt idx="32">
                        <c:v>31.284784868783376</c:v>
                      </c:pt>
                      <c:pt idx="33">
                        <c:v>29.870853882701681</c:v>
                      </c:pt>
                      <c:pt idx="34">
                        <c:v>28.456922896629852</c:v>
                      </c:pt>
                      <c:pt idx="35">
                        <c:v>27.04299191054816</c:v>
                      </c:pt>
                      <c:pt idx="36">
                        <c:v>25.629060924471396</c:v>
                      </c:pt>
                      <c:pt idx="37">
                        <c:v>24.215129938399571</c:v>
                      </c:pt>
                      <c:pt idx="38">
                        <c:v>22.801198952312941</c:v>
                      </c:pt>
                      <c:pt idx="39">
                        <c:v>21.387267966241115</c:v>
                      </c:pt>
                      <c:pt idx="40">
                        <c:v>19.97333698015942</c:v>
                      </c:pt>
                      <c:pt idx="41">
                        <c:v>18.559405994077729</c:v>
                      </c:pt>
                      <c:pt idx="42">
                        <c:v>17.145475008000961</c:v>
                      </c:pt>
                      <c:pt idx="43">
                        <c:v>15.731544021924201</c:v>
                      </c:pt>
                      <c:pt idx="44">
                        <c:v>14.317613035847438</c:v>
                      </c:pt>
                      <c:pt idx="45">
                        <c:v>12.90368204977068</c:v>
                      </c:pt>
                      <c:pt idx="46">
                        <c:v>11.489751063688983</c:v>
                      </c:pt>
                      <c:pt idx="47">
                        <c:v>10.075820077617157</c:v>
                      </c:pt>
                      <c:pt idx="48">
                        <c:v>8.6618890915354623</c:v>
                      </c:pt>
                      <c:pt idx="49">
                        <c:v>7.2479581054587001</c:v>
                      </c:pt>
                      <c:pt idx="50">
                        <c:v>5.8340271193819389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87C-403A-A721-D0AAAC5FC3C2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グラフ!$AR$5</c15:sqref>
                        </c15:formulaRef>
                      </c:ext>
                    </c:extLst>
                    <c:strCache>
                      <c:ptCount val="1"/>
                      <c:pt idx="0">
                        <c:v>outer降伏点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グラフ!$AR$6:$AR$56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150</c:v>
                      </c:pt>
                      <c:pt idx="1">
                        <c:v>150</c:v>
                      </c:pt>
                      <c:pt idx="2">
                        <c:v>150</c:v>
                      </c:pt>
                      <c:pt idx="3">
                        <c:v>150</c:v>
                      </c:pt>
                      <c:pt idx="4">
                        <c:v>150</c:v>
                      </c:pt>
                      <c:pt idx="5">
                        <c:v>150</c:v>
                      </c:pt>
                      <c:pt idx="6">
                        <c:v>150</c:v>
                      </c:pt>
                      <c:pt idx="7">
                        <c:v>150</c:v>
                      </c:pt>
                      <c:pt idx="8">
                        <c:v>150</c:v>
                      </c:pt>
                      <c:pt idx="9">
                        <c:v>150</c:v>
                      </c:pt>
                      <c:pt idx="10">
                        <c:v>150</c:v>
                      </c:pt>
                      <c:pt idx="11">
                        <c:v>150</c:v>
                      </c:pt>
                      <c:pt idx="12">
                        <c:v>150</c:v>
                      </c:pt>
                      <c:pt idx="13">
                        <c:v>150</c:v>
                      </c:pt>
                      <c:pt idx="14">
                        <c:v>150</c:v>
                      </c:pt>
                      <c:pt idx="15">
                        <c:v>150</c:v>
                      </c:pt>
                      <c:pt idx="16">
                        <c:v>150</c:v>
                      </c:pt>
                      <c:pt idx="17">
                        <c:v>150</c:v>
                      </c:pt>
                      <c:pt idx="18">
                        <c:v>150</c:v>
                      </c:pt>
                      <c:pt idx="19">
                        <c:v>150</c:v>
                      </c:pt>
                      <c:pt idx="20">
                        <c:v>150</c:v>
                      </c:pt>
                      <c:pt idx="21">
                        <c:v>150</c:v>
                      </c:pt>
                      <c:pt idx="22">
                        <c:v>150</c:v>
                      </c:pt>
                      <c:pt idx="23">
                        <c:v>150</c:v>
                      </c:pt>
                      <c:pt idx="24">
                        <c:v>150</c:v>
                      </c:pt>
                      <c:pt idx="25">
                        <c:v>150</c:v>
                      </c:pt>
                      <c:pt idx="26">
                        <c:v>150</c:v>
                      </c:pt>
                      <c:pt idx="27">
                        <c:v>150</c:v>
                      </c:pt>
                      <c:pt idx="28">
                        <c:v>150</c:v>
                      </c:pt>
                      <c:pt idx="29">
                        <c:v>150</c:v>
                      </c:pt>
                      <c:pt idx="30">
                        <c:v>150</c:v>
                      </c:pt>
                      <c:pt idx="31">
                        <c:v>150</c:v>
                      </c:pt>
                      <c:pt idx="32">
                        <c:v>150</c:v>
                      </c:pt>
                      <c:pt idx="33">
                        <c:v>150</c:v>
                      </c:pt>
                      <c:pt idx="34">
                        <c:v>150</c:v>
                      </c:pt>
                      <c:pt idx="35">
                        <c:v>150</c:v>
                      </c:pt>
                      <c:pt idx="36">
                        <c:v>150</c:v>
                      </c:pt>
                      <c:pt idx="37">
                        <c:v>150</c:v>
                      </c:pt>
                      <c:pt idx="38">
                        <c:v>150</c:v>
                      </c:pt>
                      <c:pt idx="39">
                        <c:v>150</c:v>
                      </c:pt>
                      <c:pt idx="40">
                        <c:v>150</c:v>
                      </c:pt>
                      <c:pt idx="41">
                        <c:v>150</c:v>
                      </c:pt>
                      <c:pt idx="42">
                        <c:v>150</c:v>
                      </c:pt>
                      <c:pt idx="43">
                        <c:v>150</c:v>
                      </c:pt>
                      <c:pt idx="44">
                        <c:v>150</c:v>
                      </c:pt>
                      <c:pt idx="45">
                        <c:v>150</c:v>
                      </c:pt>
                      <c:pt idx="46">
                        <c:v>150</c:v>
                      </c:pt>
                      <c:pt idx="47">
                        <c:v>150</c:v>
                      </c:pt>
                      <c:pt idx="48">
                        <c:v>150</c:v>
                      </c:pt>
                      <c:pt idx="49">
                        <c:v>150</c:v>
                      </c:pt>
                      <c:pt idx="50">
                        <c:v>150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87C-403A-A721-D0AAAC5FC3C2}"/>
                  </c:ext>
                </c:extLst>
              </c15:ser>
            </c15:filteredScatterSeries>
          </c:ext>
        </c:extLst>
      </c:scatterChart>
      <c:valAx>
        <c:axId val="1878419104"/>
        <c:scaling>
          <c:orientation val="minMax"/>
          <c:max val="20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グラフ!$N$5</c:f>
              <c:strCache>
                <c:ptCount val="1"/>
                <c:pt idx="0">
                  <c:v>inner温度[℃]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8401216"/>
        <c:crosses val="autoZero"/>
        <c:crossBetween val="midCat"/>
      </c:valAx>
      <c:valAx>
        <c:axId val="18784012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グラフ!$AC$4</c:f>
              <c:strCache>
                <c:ptCount val="1"/>
                <c:pt idx="0">
                  <c:v>inner応力[MPa]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8419104"/>
        <c:crossesAt val="-100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温度</a:t>
            </a:r>
            <a:r>
              <a:rPr lang="en-US" altLang="ja-JP"/>
              <a:t>vs</a:t>
            </a:r>
            <a:r>
              <a:rPr lang="ja-JP" altLang="en-US"/>
              <a:t>応力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7"/>
          <c:order val="7"/>
          <c:tx>
            <c:strRef>
              <c:f>グラフ!$V$5</c:f>
              <c:strCache>
                <c:ptCount val="1"/>
                <c:pt idx="0">
                  <c:v>半径方向応力:Δ-30℃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グラフ!$V$6:$V$56</c:f>
              <c:numCache>
                <c:formatCode>0.0</c:formatCode>
                <c:ptCount val="51"/>
                <c:pt idx="0">
                  <c:v>59.163797517995462</c:v>
                </c:pt>
                <c:pt idx="1">
                  <c:v>58.441472227658714</c:v>
                </c:pt>
                <c:pt idx="2">
                  <c:v>57.719146937324474</c:v>
                </c:pt>
                <c:pt idx="3">
                  <c:v>56.996821646990234</c:v>
                </c:pt>
                <c:pt idx="4">
                  <c:v>56.274496356653486</c:v>
                </c:pt>
                <c:pt idx="5">
                  <c:v>55.552171066319254</c:v>
                </c:pt>
                <c:pt idx="6">
                  <c:v>54.829845775985014</c:v>
                </c:pt>
                <c:pt idx="7">
                  <c:v>54.107520485648266</c:v>
                </c:pt>
                <c:pt idx="8">
                  <c:v>53.385195195316548</c:v>
                </c:pt>
                <c:pt idx="9">
                  <c:v>52.662869904982308</c:v>
                </c:pt>
                <c:pt idx="10">
                  <c:v>51.940544614645553</c:v>
                </c:pt>
                <c:pt idx="11">
                  <c:v>51.21821932431132</c:v>
                </c:pt>
                <c:pt idx="12">
                  <c:v>50.495894033974572</c:v>
                </c:pt>
                <c:pt idx="13">
                  <c:v>49.773568743642855</c:v>
                </c:pt>
                <c:pt idx="14">
                  <c:v>49.0512434533061</c:v>
                </c:pt>
                <c:pt idx="15">
                  <c:v>48.328918162974389</c:v>
                </c:pt>
                <c:pt idx="16">
                  <c:v>47.606592872637627</c:v>
                </c:pt>
                <c:pt idx="17">
                  <c:v>46.884267582300872</c:v>
                </c:pt>
                <c:pt idx="18">
                  <c:v>46.161942291969162</c:v>
                </c:pt>
                <c:pt idx="19">
                  <c:v>45.439617001632406</c:v>
                </c:pt>
                <c:pt idx="20">
                  <c:v>44.717291711295651</c:v>
                </c:pt>
                <c:pt idx="21">
                  <c:v>43.994966420963941</c:v>
                </c:pt>
                <c:pt idx="22">
                  <c:v>43.272641130624656</c:v>
                </c:pt>
                <c:pt idx="23">
                  <c:v>42.550315840292946</c:v>
                </c:pt>
                <c:pt idx="24">
                  <c:v>41.827990549956191</c:v>
                </c:pt>
                <c:pt idx="25">
                  <c:v>41.105665259621958</c:v>
                </c:pt>
                <c:pt idx="26">
                  <c:v>40.383339969290247</c:v>
                </c:pt>
                <c:pt idx="27">
                  <c:v>39.661014678953492</c:v>
                </c:pt>
                <c:pt idx="28">
                  <c:v>38.938689388621775</c:v>
                </c:pt>
                <c:pt idx="29">
                  <c:v>38.216364098282497</c:v>
                </c:pt>
                <c:pt idx="30">
                  <c:v>37.494038807950787</c:v>
                </c:pt>
                <c:pt idx="31">
                  <c:v>36.771713517614032</c:v>
                </c:pt>
                <c:pt idx="32">
                  <c:v>36.049388227279799</c:v>
                </c:pt>
                <c:pt idx="33">
                  <c:v>35.327062936943044</c:v>
                </c:pt>
                <c:pt idx="34">
                  <c:v>34.604737646608804</c:v>
                </c:pt>
                <c:pt idx="35">
                  <c:v>33.882412356272049</c:v>
                </c:pt>
                <c:pt idx="36">
                  <c:v>33.160087065942854</c:v>
                </c:pt>
                <c:pt idx="37">
                  <c:v>32.437761775608621</c:v>
                </c:pt>
                <c:pt idx="38">
                  <c:v>31.715436485271869</c:v>
                </c:pt>
                <c:pt idx="39">
                  <c:v>30.993111194940155</c:v>
                </c:pt>
                <c:pt idx="40">
                  <c:v>30.270785904600878</c:v>
                </c:pt>
                <c:pt idx="41">
                  <c:v>29.548460614266645</c:v>
                </c:pt>
                <c:pt idx="42">
                  <c:v>28.826135323932409</c:v>
                </c:pt>
                <c:pt idx="43">
                  <c:v>28.103810033595654</c:v>
                </c:pt>
                <c:pt idx="44">
                  <c:v>27.381484743258902</c:v>
                </c:pt>
                <c:pt idx="45">
                  <c:v>26.659159452927188</c:v>
                </c:pt>
                <c:pt idx="46">
                  <c:v>25.936834162592948</c:v>
                </c:pt>
                <c:pt idx="47">
                  <c:v>25.214508872258715</c:v>
                </c:pt>
                <c:pt idx="48">
                  <c:v>24.492183581924483</c:v>
                </c:pt>
                <c:pt idx="49">
                  <c:v>23.76985829159025</c:v>
                </c:pt>
                <c:pt idx="50">
                  <c:v>23.047533001253491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F10B-40E1-A458-CF55F8F74358}"/>
            </c:ext>
          </c:extLst>
        </c:ser>
        <c:ser>
          <c:idx val="8"/>
          <c:order val="8"/>
          <c:tx>
            <c:strRef>
              <c:f>グラフ!$W$5</c:f>
              <c:strCache>
                <c:ptCount val="1"/>
                <c:pt idx="0">
                  <c:v>半径方向応力:Δ-20℃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グラフ!$W$6:$W$56</c:f>
              <c:numCache>
                <c:formatCode>0.0</c:formatCode>
                <c:ptCount val="51"/>
                <c:pt idx="0">
                  <c:v>55.819273632731907</c:v>
                </c:pt>
                <c:pt idx="1">
                  <c:v>55.096948342400189</c:v>
                </c:pt>
                <c:pt idx="2">
                  <c:v>54.374623052063427</c:v>
                </c:pt>
                <c:pt idx="3">
                  <c:v>53.652297761726679</c:v>
                </c:pt>
                <c:pt idx="4">
                  <c:v>52.929972471392446</c:v>
                </c:pt>
                <c:pt idx="5">
                  <c:v>52.207647181055691</c:v>
                </c:pt>
                <c:pt idx="6">
                  <c:v>51.485321890723974</c:v>
                </c:pt>
                <c:pt idx="7">
                  <c:v>50.762996600387218</c:v>
                </c:pt>
                <c:pt idx="8">
                  <c:v>50.040671310052979</c:v>
                </c:pt>
                <c:pt idx="9">
                  <c:v>49.318346019721268</c:v>
                </c:pt>
                <c:pt idx="10">
                  <c:v>48.596020729381998</c:v>
                </c:pt>
                <c:pt idx="11">
                  <c:v>47.87369543905028</c:v>
                </c:pt>
                <c:pt idx="12">
                  <c:v>47.151370148713525</c:v>
                </c:pt>
                <c:pt idx="13">
                  <c:v>46.429044858379292</c:v>
                </c:pt>
                <c:pt idx="14">
                  <c:v>45.706719568045052</c:v>
                </c:pt>
                <c:pt idx="15">
                  <c:v>44.98439427771082</c:v>
                </c:pt>
                <c:pt idx="16">
                  <c:v>44.262068987376587</c:v>
                </c:pt>
                <c:pt idx="17">
                  <c:v>43.539743697039832</c:v>
                </c:pt>
                <c:pt idx="18">
                  <c:v>42.817418406705599</c:v>
                </c:pt>
                <c:pt idx="19">
                  <c:v>42.095093116371366</c:v>
                </c:pt>
                <c:pt idx="20">
                  <c:v>41.372767826032089</c:v>
                </c:pt>
                <c:pt idx="21">
                  <c:v>40.650442535700371</c:v>
                </c:pt>
                <c:pt idx="22">
                  <c:v>39.928117245363616</c:v>
                </c:pt>
                <c:pt idx="23">
                  <c:v>39.205791955029383</c:v>
                </c:pt>
                <c:pt idx="24">
                  <c:v>38.48346666469515</c:v>
                </c:pt>
                <c:pt idx="25">
                  <c:v>37.76114137436344</c:v>
                </c:pt>
                <c:pt idx="26">
                  <c:v>37.0388160840292</c:v>
                </c:pt>
                <c:pt idx="27">
                  <c:v>36.316490793689923</c:v>
                </c:pt>
                <c:pt idx="28">
                  <c:v>35.594165503358212</c:v>
                </c:pt>
                <c:pt idx="29">
                  <c:v>34.871840213021457</c:v>
                </c:pt>
                <c:pt idx="30">
                  <c:v>34.149514922687224</c:v>
                </c:pt>
                <c:pt idx="31">
                  <c:v>33.427189632350469</c:v>
                </c:pt>
                <c:pt idx="32">
                  <c:v>32.704864342018752</c:v>
                </c:pt>
                <c:pt idx="33">
                  <c:v>31.982539051679474</c:v>
                </c:pt>
                <c:pt idx="34">
                  <c:v>31.260213761350279</c:v>
                </c:pt>
                <c:pt idx="35">
                  <c:v>30.537888471013527</c:v>
                </c:pt>
                <c:pt idx="36">
                  <c:v>29.815563180679295</c:v>
                </c:pt>
                <c:pt idx="37">
                  <c:v>29.093237890347581</c:v>
                </c:pt>
                <c:pt idx="38">
                  <c:v>28.370912600008303</c:v>
                </c:pt>
                <c:pt idx="39">
                  <c:v>27.648587309676589</c:v>
                </c:pt>
                <c:pt idx="40">
                  <c:v>26.926262019339838</c:v>
                </c:pt>
                <c:pt idx="41">
                  <c:v>26.203936729003079</c:v>
                </c:pt>
                <c:pt idx="42">
                  <c:v>25.481611438668846</c:v>
                </c:pt>
                <c:pt idx="43">
                  <c:v>24.759286148334613</c:v>
                </c:pt>
                <c:pt idx="44">
                  <c:v>24.036960858000377</c:v>
                </c:pt>
                <c:pt idx="45">
                  <c:v>23.314635567666141</c:v>
                </c:pt>
                <c:pt idx="46">
                  <c:v>22.592310277329389</c:v>
                </c:pt>
                <c:pt idx="47">
                  <c:v>21.869984986997675</c:v>
                </c:pt>
                <c:pt idx="48">
                  <c:v>21.147659696660916</c:v>
                </c:pt>
                <c:pt idx="49">
                  <c:v>20.425334406326684</c:v>
                </c:pt>
                <c:pt idx="50">
                  <c:v>19.703009115992451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F10B-40E1-A458-CF55F8F74358}"/>
            </c:ext>
          </c:extLst>
        </c:ser>
        <c:ser>
          <c:idx val="9"/>
          <c:order val="9"/>
          <c:tx>
            <c:strRef>
              <c:f>グラフ!$X$5</c:f>
              <c:strCache>
                <c:ptCount val="1"/>
                <c:pt idx="0">
                  <c:v>半径方向応力:Δ-10℃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グラフ!$X$6:$X$56</c:f>
              <c:numCache>
                <c:formatCode>0.0</c:formatCode>
                <c:ptCount val="51"/>
                <c:pt idx="0">
                  <c:v>52.474749747470852</c:v>
                </c:pt>
                <c:pt idx="1">
                  <c:v>51.75242445713662</c:v>
                </c:pt>
                <c:pt idx="2">
                  <c:v>51.030099166802387</c:v>
                </c:pt>
                <c:pt idx="3">
                  <c:v>50.307773876463116</c:v>
                </c:pt>
                <c:pt idx="4">
                  <c:v>49.585448586131399</c:v>
                </c:pt>
                <c:pt idx="5">
                  <c:v>48.863123295794651</c:v>
                </c:pt>
                <c:pt idx="6">
                  <c:v>48.140798005460404</c:v>
                </c:pt>
                <c:pt idx="7">
                  <c:v>47.418472715126171</c:v>
                </c:pt>
                <c:pt idx="8">
                  <c:v>46.696147424789423</c:v>
                </c:pt>
                <c:pt idx="9">
                  <c:v>45.973822134460228</c:v>
                </c:pt>
                <c:pt idx="10">
                  <c:v>45.25149684412095</c:v>
                </c:pt>
                <c:pt idx="11">
                  <c:v>44.529171553786718</c:v>
                </c:pt>
                <c:pt idx="12">
                  <c:v>43.806846263452485</c:v>
                </c:pt>
                <c:pt idx="13">
                  <c:v>43.084520973115723</c:v>
                </c:pt>
                <c:pt idx="14">
                  <c:v>42.362195682784012</c:v>
                </c:pt>
                <c:pt idx="15">
                  <c:v>41.63987039244978</c:v>
                </c:pt>
                <c:pt idx="16">
                  <c:v>40.917545102113024</c:v>
                </c:pt>
                <c:pt idx="17">
                  <c:v>40.195219811778792</c:v>
                </c:pt>
                <c:pt idx="18">
                  <c:v>39.472894521442036</c:v>
                </c:pt>
                <c:pt idx="19">
                  <c:v>38.750569231107796</c:v>
                </c:pt>
                <c:pt idx="20">
                  <c:v>38.028243940771041</c:v>
                </c:pt>
                <c:pt idx="21">
                  <c:v>37.305918650436809</c:v>
                </c:pt>
                <c:pt idx="22">
                  <c:v>36.583593360102576</c:v>
                </c:pt>
                <c:pt idx="23">
                  <c:v>35.861268069770865</c:v>
                </c:pt>
                <c:pt idx="24">
                  <c:v>35.13894277943411</c:v>
                </c:pt>
                <c:pt idx="25">
                  <c:v>34.416617489099878</c:v>
                </c:pt>
                <c:pt idx="26">
                  <c:v>33.694292198765638</c:v>
                </c:pt>
                <c:pt idx="27">
                  <c:v>32.971966908428882</c:v>
                </c:pt>
                <c:pt idx="28">
                  <c:v>32.24964161809465</c:v>
                </c:pt>
                <c:pt idx="29">
                  <c:v>31.527316327757894</c:v>
                </c:pt>
                <c:pt idx="30">
                  <c:v>30.804991037426181</c:v>
                </c:pt>
                <c:pt idx="31">
                  <c:v>30.082665747086903</c:v>
                </c:pt>
                <c:pt idx="32">
                  <c:v>29.36034045676023</c:v>
                </c:pt>
                <c:pt idx="33">
                  <c:v>28.638015166420956</c:v>
                </c:pt>
                <c:pt idx="34">
                  <c:v>27.91568987608672</c:v>
                </c:pt>
                <c:pt idx="35">
                  <c:v>27.193364585752487</c:v>
                </c:pt>
                <c:pt idx="36">
                  <c:v>26.471039295415732</c:v>
                </c:pt>
                <c:pt idx="37">
                  <c:v>25.748714005084015</c:v>
                </c:pt>
                <c:pt idx="38">
                  <c:v>25.026388714747263</c:v>
                </c:pt>
                <c:pt idx="39">
                  <c:v>24.304063424413027</c:v>
                </c:pt>
                <c:pt idx="40">
                  <c:v>23.581738134076272</c:v>
                </c:pt>
                <c:pt idx="41">
                  <c:v>22.859412843742039</c:v>
                </c:pt>
                <c:pt idx="42">
                  <c:v>22.137087553410325</c:v>
                </c:pt>
                <c:pt idx="43">
                  <c:v>21.41476226307357</c:v>
                </c:pt>
                <c:pt idx="44">
                  <c:v>20.692436972736814</c:v>
                </c:pt>
                <c:pt idx="45">
                  <c:v>19.970111682405101</c:v>
                </c:pt>
                <c:pt idx="46">
                  <c:v>19.247786392065823</c:v>
                </c:pt>
                <c:pt idx="47">
                  <c:v>18.525461101734109</c:v>
                </c:pt>
                <c:pt idx="48">
                  <c:v>17.803135811399876</c:v>
                </c:pt>
                <c:pt idx="49">
                  <c:v>17.080810521063121</c:v>
                </c:pt>
                <c:pt idx="50">
                  <c:v>16.358485230728885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10B-40E1-A458-CF55F8F74358}"/>
            </c:ext>
          </c:extLst>
        </c:ser>
        <c:ser>
          <c:idx val="10"/>
          <c:order val="10"/>
          <c:tx>
            <c:strRef>
              <c:f>グラフ!$Y$5</c:f>
              <c:strCache>
                <c:ptCount val="1"/>
                <c:pt idx="0">
                  <c:v>半径方向応力:Δ0℃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グラフ!$Y$6:$Y$56</c:f>
              <c:numCache>
                <c:formatCode>0.0</c:formatCode>
                <c:ptCount val="51"/>
                <c:pt idx="0">
                  <c:v>49.130225862209812</c:v>
                </c:pt>
                <c:pt idx="1">
                  <c:v>48.407900571873057</c:v>
                </c:pt>
                <c:pt idx="2">
                  <c:v>47.685575281541347</c:v>
                </c:pt>
                <c:pt idx="3">
                  <c:v>46.963249991202076</c:v>
                </c:pt>
                <c:pt idx="4">
                  <c:v>46.240924700867829</c:v>
                </c:pt>
                <c:pt idx="5">
                  <c:v>45.518599410533596</c:v>
                </c:pt>
                <c:pt idx="6">
                  <c:v>44.796274120196848</c:v>
                </c:pt>
                <c:pt idx="7">
                  <c:v>44.073948829865131</c:v>
                </c:pt>
                <c:pt idx="8">
                  <c:v>43.351623539528376</c:v>
                </c:pt>
                <c:pt idx="9">
                  <c:v>42.629298249196665</c:v>
                </c:pt>
                <c:pt idx="10">
                  <c:v>41.90697295885991</c:v>
                </c:pt>
                <c:pt idx="11">
                  <c:v>41.184647668523148</c:v>
                </c:pt>
                <c:pt idx="12">
                  <c:v>40.462322378191438</c:v>
                </c:pt>
                <c:pt idx="13">
                  <c:v>39.739997087854682</c:v>
                </c:pt>
                <c:pt idx="14">
                  <c:v>39.01767179752045</c:v>
                </c:pt>
                <c:pt idx="15">
                  <c:v>38.295346507188739</c:v>
                </c:pt>
                <c:pt idx="16">
                  <c:v>37.573021216849462</c:v>
                </c:pt>
                <c:pt idx="17">
                  <c:v>36.850695926515222</c:v>
                </c:pt>
                <c:pt idx="18">
                  <c:v>36.128370636180989</c:v>
                </c:pt>
                <c:pt idx="19">
                  <c:v>35.406045345844234</c:v>
                </c:pt>
                <c:pt idx="20">
                  <c:v>34.683720055510001</c:v>
                </c:pt>
                <c:pt idx="21">
                  <c:v>33.961394765178291</c:v>
                </c:pt>
                <c:pt idx="22">
                  <c:v>33.239069474841536</c:v>
                </c:pt>
                <c:pt idx="23">
                  <c:v>32.516744184507303</c:v>
                </c:pt>
                <c:pt idx="24">
                  <c:v>31.794418894170541</c:v>
                </c:pt>
                <c:pt idx="25">
                  <c:v>31.07209360383883</c:v>
                </c:pt>
                <c:pt idx="26">
                  <c:v>30.349768313502071</c:v>
                </c:pt>
                <c:pt idx="27">
                  <c:v>29.62744302316532</c:v>
                </c:pt>
                <c:pt idx="28">
                  <c:v>28.905117732833606</c:v>
                </c:pt>
                <c:pt idx="29">
                  <c:v>28.182792442494328</c:v>
                </c:pt>
                <c:pt idx="30">
                  <c:v>27.460467152167656</c:v>
                </c:pt>
                <c:pt idx="31">
                  <c:v>26.738141861828382</c:v>
                </c:pt>
                <c:pt idx="32">
                  <c:v>26.015816571496668</c:v>
                </c:pt>
                <c:pt idx="33">
                  <c:v>25.293491281159913</c:v>
                </c:pt>
                <c:pt idx="34">
                  <c:v>24.571165990823157</c:v>
                </c:pt>
                <c:pt idx="35">
                  <c:v>23.848840700488921</c:v>
                </c:pt>
                <c:pt idx="36">
                  <c:v>23.126515410154688</c:v>
                </c:pt>
                <c:pt idx="37">
                  <c:v>22.404190119820452</c:v>
                </c:pt>
                <c:pt idx="38">
                  <c:v>21.681864829483697</c:v>
                </c:pt>
                <c:pt idx="39">
                  <c:v>20.959539539151983</c:v>
                </c:pt>
                <c:pt idx="40">
                  <c:v>20.23721424881775</c:v>
                </c:pt>
                <c:pt idx="41">
                  <c:v>19.514888958480995</c:v>
                </c:pt>
                <c:pt idx="42">
                  <c:v>18.792563668146759</c:v>
                </c:pt>
                <c:pt idx="43">
                  <c:v>18.070238377812526</c:v>
                </c:pt>
                <c:pt idx="44">
                  <c:v>17.347913087473252</c:v>
                </c:pt>
                <c:pt idx="45">
                  <c:v>16.625587797141534</c:v>
                </c:pt>
                <c:pt idx="46">
                  <c:v>15.903262506804781</c:v>
                </c:pt>
                <c:pt idx="47">
                  <c:v>15.180937216470547</c:v>
                </c:pt>
                <c:pt idx="48">
                  <c:v>14.458611926136312</c:v>
                </c:pt>
                <c:pt idx="49">
                  <c:v>13.736286635802077</c:v>
                </c:pt>
                <c:pt idx="50">
                  <c:v>13.013961345470364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10B-40E1-A458-CF55F8F74358}"/>
            </c:ext>
          </c:extLst>
        </c:ser>
        <c:ser>
          <c:idx val="11"/>
          <c:order val="11"/>
          <c:tx>
            <c:strRef>
              <c:f>グラフ!$Z$5</c:f>
              <c:strCache>
                <c:ptCount val="1"/>
                <c:pt idx="0">
                  <c:v>半径方向応力:Δ+10℃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グラフ!$Z$6:$Z$56</c:f>
              <c:numCache>
                <c:formatCode>0.0</c:formatCode>
                <c:ptCount val="51"/>
                <c:pt idx="0">
                  <c:v>45.785701976948772</c:v>
                </c:pt>
                <c:pt idx="1">
                  <c:v>45.063376686612017</c:v>
                </c:pt>
                <c:pt idx="2">
                  <c:v>44.341051396277784</c:v>
                </c:pt>
                <c:pt idx="3">
                  <c:v>43.618726105941022</c:v>
                </c:pt>
                <c:pt idx="4">
                  <c:v>42.896400815604274</c:v>
                </c:pt>
                <c:pt idx="5">
                  <c:v>42.174075525272556</c:v>
                </c:pt>
                <c:pt idx="6">
                  <c:v>41.451750234935801</c:v>
                </c:pt>
                <c:pt idx="7">
                  <c:v>40.729424944601568</c:v>
                </c:pt>
                <c:pt idx="8">
                  <c:v>40.007099654267336</c:v>
                </c:pt>
                <c:pt idx="9">
                  <c:v>39.284774363933103</c:v>
                </c:pt>
                <c:pt idx="10">
                  <c:v>38.562449073598863</c:v>
                </c:pt>
                <c:pt idx="11">
                  <c:v>37.840123783262108</c:v>
                </c:pt>
                <c:pt idx="12">
                  <c:v>37.117798492927875</c:v>
                </c:pt>
                <c:pt idx="13">
                  <c:v>36.395473202593642</c:v>
                </c:pt>
                <c:pt idx="14">
                  <c:v>35.673147912256887</c:v>
                </c:pt>
                <c:pt idx="15">
                  <c:v>34.950822621925177</c:v>
                </c:pt>
                <c:pt idx="16">
                  <c:v>34.228497331588414</c:v>
                </c:pt>
                <c:pt idx="17">
                  <c:v>33.506172041251659</c:v>
                </c:pt>
                <c:pt idx="18">
                  <c:v>32.783846750919949</c:v>
                </c:pt>
                <c:pt idx="19">
                  <c:v>32.061521460585716</c:v>
                </c:pt>
                <c:pt idx="20">
                  <c:v>31.339196170248961</c:v>
                </c:pt>
                <c:pt idx="21">
                  <c:v>30.616870879914721</c:v>
                </c:pt>
                <c:pt idx="22">
                  <c:v>29.894545589577969</c:v>
                </c:pt>
                <c:pt idx="23">
                  <c:v>29.172220299246256</c:v>
                </c:pt>
                <c:pt idx="24">
                  <c:v>28.449895008906978</c:v>
                </c:pt>
                <c:pt idx="25">
                  <c:v>27.727569718575264</c:v>
                </c:pt>
                <c:pt idx="26">
                  <c:v>27.005244428241031</c:v>
                </c:pt>
                <c:pt idx="27">
                  <c:v>26.282919137901754</c:v>
                </c:pt>
                <c:pt idx="28">
                  <c:v>25.560593847575085</c:v>
                </c:pt>
                <c:pt idx="29">
                  <c:v>24.838268557235807</c:v>
                </c:pt>
                <c:pt idx="30">
                  <c:v>24.115943266904093</c:v>
                </c:pt>
                <c:pt idx="31">
                  <c:v>23.393617976567338</c:v>
                </c:pt>
                <c:pt idx="32">
                  <c:v>22.671292686233102</c:v>
                </c:pt>
                <c:pt idx="33">
                  <c:v>21.94896739589635</c:v>
                </c:pt>
                <c:pt idx="34">
                  <c:v>21.226642105562114</c:v>
                </c:pt>
                <c:pt idx="35">
                  <c:v>20.504316815225359</c:v>
                </c:pt>
                <c:pt idx="36">
                  <c:v>19.781991524891126</c:v>
                </c:pt>
                <c:pt idx="37">
                  <c:v>19.059666234559412</c:v>
                </c:pt>
                <c:pt idx="38">
                  <c:v>18.337340944225176</c:v>
                </c:pt>
                <c:pt idx="39">
                  <c:v>17.615015653890939</c:v>
                </c:pt>
                <c:pt idx="40">
                  <c:v>16.892690363554188</c:v>
                </c:pt>
                <c:pt idx="41">
                  <c:v>16.170365073219951</c:v>
                </c:pt>
                <c:pt idx="42">
                  <c:v>15.448039782883196</c:v>
                </c:pt>
                <c:pt idx="43">
                  <c:v>14.725714492548962</c:v>
                </c:pt>
                <c:pt idx="44">
                  <c:v>14.003389202212206</c:v>
                </c:pt>
                <c:pt idx="45">
                  <c:v>13.281063911877974</c:v>
                </c:pt>
                <c:pt idx="46">
                  <c:v>12.558738621541218</c:v>
                </c:pt>
                <c:pt idx="47">
                  <c:v>11.836413331209505</c:v>
                </c:pt>
                <c:pt idx="48">
                  <c:v>11.114088040877791</c:v>
                </c:pt>
                <c:pt idx="49">
                  <c:v>10.391762750541035</c:v>
                </c:pt>
                <c:pt idx="50">
                  <c:v>9.6694374602067992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10B-40E1-A458-CF55F8F74358}"/>
            </c:ext>
          </c:extLst>
        </c:ser>
        <c:ser>
          <c:idx val="12"/>
          <c:order val="12"/>
          <c:tx>
            <c:strRef>
              <c:f>グラフ!$AA$5</c:f>
              <c:strCache>
                <c:ptCount val="1"/>
                <c:pt idx="0">
                  <c:v>半径方向応力:Δ+20℃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グラフ!$AA$6:$AA$56</c:f>
              <c:numCache>
                <c:formatCode>0.0</c:formatCode>
                <c:ptCount val="51"/>
                <c:pt idx="0">
                  <c:v>42.441178091685209</c:v>
                </c:pt>
                <c:pt idx="1">
                  <c:v>41.718852801350977</c:v>
                </c:pt>
                <c:pt idx="2">
                  <c:v>40.996527511014214</c:v>
                </c:pt>
                <c:pt idx="3">
                  <c:v>40.274202220679982</c:v>
                </c:pt>
                <c:pt idx="4">
                  <c:v>39.551876930343226</c:v>
                </c:pt>
                <c:pt idx="5">
                  <c:v>38.829551640008994</c:v>
                </c:pt>
                <c:pt idx="6">
                  <c:v>38.107226349674761</c:v>
                </c:pt>
                <c:pt idx="7">
                  <c:v>37.384901059338006</c:v>
                </c:pt>
                <c:pt idx="8">
                  <c:v>36.662575769006295</c:v>
                </c:pt>
                <c:pt idx="9">
                  <c:v>35.940250478672056</c:v>
                </c:pt>
                <c:pt idx="10">
                  <c:v>35.2179251883353</c:v>
                </c:pt>
                <c:pt idx="11">
                  <c:v>34.495599898001068</c:v>
                </c:pt>
                <c:pt idx="12">
                  <c:v>33.773274607664312</c:v>
                </c:pt>
                <c:pt idx="13">
                  <c:v>33.05094931733008</c:v>
                </c:pt>
                <c:pt idx="14">
                  <c:v>32.328624026995847</c:v>
                </c:pt>
                <c:pt idx="15">
                  <c:v>31.606298736661607</c:v>
                </c:pt>
                <c:pt idx="16">
                  <c:v>30.883973446327374</c:v>
                </c:pt>
                <c:pt idx="17">
                  <c:v>30.161648155993138</c:v>
                </c:pt>
                <c:pt idx="18">
                  <c:v>29.439322865658905</c:v>
                </c:pt>
                <c:pt idx="19">
                  <c:v>28.71699757532215</c:v>
                </c:pt>
                <c:pt idx="20">
                  <c:v>27.994672284985395</c:v>
                </c:pt>
                <c:pt idx="21">
                  <c:v>27.272346994653681</c:v>
                </c:pt>
                <c:pt idx="22">
                  <c:v>26.550021704314403</c:v>
                </c:pt>
                <c:pt idx="23">
                  <c:v>25.827696413982689</c:v>
                </c:pt>
                <c:pt idx="24">
                  <c:v>25.105371123645938</c:v>
                </c:pt>
                <c:pt idx="25">
                  <c:v>24.383045833311705</c:v>
                </c:pt>
                <c:pt idx="26">
                  <c:v>23.66072054298251</c:v>
                </c:pt>
                <c:pt idx="27">
                  <c:v>22.938395252643232</c:v>
                </c:pt>
                <c:pt idx="28">
                  <c:v>22.216069962311519</c:v>
                </c:pt>
                <c:pt idx="29">
                  <c:v>21.493744671974767</c:v>
                </c:pt>
                <c:pt idx="30">
                  <c:v>20.771419381640527</c:v>
                </c:pt>
                <c:pt idx="31">
                  <c:v>20.049094091303775</c:v>
                </c:pt>
                <c:pt idx="32">
                  <c:v>19.326768800972062</c:v>
                </c:pt>
                <c:pt idx="33">
                  <c:v>18.604443510632784</c:v>
                </c:pt>
                <c:pt idx="34">
                  <c:v>17.882118220298551</c:v>
                </c:pt>
                <c:pt idx="35">
                  <c:v>17.159792929964318</c:v>
                </c:pt>
                <c:pt idx="36">
                  <c:v>16.437467639632601</c:v>
                </c:pt>
                <c:pt idx="37">
                  <c:v>15.715142349298366</c:v>
                </c:pt>
                <c:pt idx="38">
                  <c:v>14.992817058961613</c:v>
                </c:pt>
                <c:pt idx="39">
                  <c:v>14.270491768629897</c:v>
                </c:pt>
                <c:pt idx="40">
                  <c:v>13.548166478290623</c:v>
                </c:pt>
                <c:pt idx="41">
                  <c:v>12.825841187956389</c:v>
                </c:pt>
                <c:pt idx="42">
                  <c:v>12.103515897622154</c:v>
                </c:pt>
                <c:pt idx="43">
                  <c:v>11.381190607285399</c:v>
                </c:pt>
                <c:pt idx="44">
                  <c:v>10.658865316948644</c:v>
                </c:pt>
                <c:pt idx="45">
                  <c:v>9.9365400266169299</c:v>
                </c:pt>
                <c:pt idx="46">
                  <c:v>9.2142147362826954</c:v>
                </c:pt>
                <c:pt idx="47">
                  <c:v>8.4918894459484608</c:v>
                </c:pt>
                <c:pt idx="48">
                  <c:v>7.7695641556142254</c:v>
                </c:pt>
                <c:pt idx="49">
                  <c:v>7.0472388652799909</c:v>
                </c:pt>
                <c:pt idx="50">
                  <c:v>6.3249135749432366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10B-40E1-A458-CF55F8F74358}"/>
            </c:ext>
          </c:extLst>
        </c:ser>
        <c:ser>
          <c:idx val="13"/>
          <c:order val="13"/>
          <c:tx>
            <c:strRef>
              <c:f>グラフ!$AB$5</c:f>
              <c:strCache>
                <c:ptCount val="1"/>
                <c:pt idx="0">
                  <c:v>半径方向応力:Δ+30℃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グラフ!$AB$6:$AB$56</c:f>
              <c:numCache>
                <c:formatCode>0.0</c:formatCode>
                <c:ptCount val="51"/>
                <c:pt idx="0">
                  <c:v>39.09665420642164</c:v>
                </c:pt>
                <c:pt idx="1">
                  <c:v>38.374328916089929</c:v>
                </c:pt>
                <c:pt idx="2">
                  <c:v>37.652003625753174</c:v>
                </c:pt>
                <c:pt idx="3">
                  <c:v>36.929678335416419</c:v>
                </c:pt>
                <c:pt idx="4">
                  <c:v>36.207353045082186</c:v>
                </c:pt>
                <c:pt idx="5">
                  <c:v>35.485027754745431</c:v>
                </c:pt>
                <c:pt idx="6">
                  <c:v>34.762702464413721</c:v>
                </c:pt>
                <c:pt idx="7">
                  <c:v>34.040377174076959</c:v>
                </c:pt>
                <c:pt idx="8">
                  <c:v>33.318051883742726</c:v>
                </c:pt>
                <c:pt idx="9">
                  <c:v>32.595726593411015</c:v>
                </c:pt>
                <c:pt idx="10">
                  <c:v>31.873401303071738</c:v>
                </c:pt>
                <c:pt idx="11">
                  <c:v>31.151076012737505</c:v>
                </c:pt>
                <c:pt idx="12">
                  <c:v>30.428750722403269</c:v>
                </c:pt>
                <c:pt idx="13">
                  <c:v>29.706425432066514</c:v>
                </c:pt>
                <c:pt idx="14">
                  <c:v>28.9841001417348</c:v>
                </c:pt>
                <c:pt idx="15">
                  <c:v>28.261774851403086</c:v>
                </c:pt>
                <c:pt idx="16">
                  <c:v>27.539449561066331</c:v>
                </c:pt>
                <c:pt idx="17">
                  <c:v>26.817124270729575</c:v>
                </c:pt>
                <c:pt idx="18">
                  <c:v>26.094798980395339</c:v>
                </c:pt>
                <c:pt idx="19">
                  <c:v>25.372473690061106</c:v>
                </c:pt>
                <c:pt idx="20">
                  <c:v>24.650148399721832</c:v>
                </c:pt>
                <c:pt idx="21">
                  <c:v>23.927823109390115</c:v>
                </c:pt>
                <c:pt idx="22">
                  <c:v>23.205497819053363</c:v>
                </c:pt>
                <c:pt idx="23">
                  <c:v>22.48317252871913</c:v>
                </c:pt>
                <c:pt idx="24">
                  <c:v>21.760847238387417</c:v>
                </c:pt>
                <c:pt idx="25">
                  <c:v>21.038521948053177</c:v>
                </c:pt>
                <c:pt idx="26">
                  <c:v>20.316196657718944</c:v>
                </c:pt>
                <c:pt idx="27">
                  <c:v>19.593871367382192</c:v>
                </c:pt>
                <c:pt idx="28">
                  <c:v>18.871546077047952</c:v>
                </c:pt>
                <c:pt idx="29">
                  <c:v>18.149220786711201</c:v>
                </c:pt>
                <c:pt idx="30">
                  <c:v>17.426895496379487</c:v>
                </c:pt>
                <c:pt idx="31">
                  <c:v>16.704570206040209</c:v>
                </c:pt>
                <c:pt idx="32">
                  <c:v>15.982244915708495</c:v>
                </c:pt>
                <c:pt idx="33">
                  <c:v>15.259919625371742</c:v>
                </c:pt>
                <c:pt idx="34">
                  <c:v>14.537594335040026</c:v>
                </c:pt>
                <c:pt idx="35">
                  <c:v>13.815269044703273</c:v>
                </c:pt>
                <c:pt idx="36">
                  <c:v>13.092943754369038</c:v>
                </c:pt>
                <c:pt idx="37">
                  <c:v>12.370618464037324</c:v>
                </c:pt>
                <c:pt idx="38">
                  <c:v>11.648293173698049</c:v>
                </c:pt>
                <c:pt idx="39">
                  <c:v>10.925967883366335</c:v>
                </c:pt>
                <c:pt idx="40">
                  <c:v>10.20364259302958</c:v>
                </c:pt>
                <c:pt idx="41">
                  <c:v>9.4813173026928261</c:v>
                </c:pt>
                <c:pt idx="42">
                  <c:v>8.7589920123585898</c:v>
                </c:pt>
                <c:pt idx="43">
                  <c:v>8.0366667220243553</c:v>
                </c:pt>
                <c:pt idx="44">
                  <c:v>7.3143414316901207</c:v>
                </c:pt>
                <c:pt idx="45">
                  <c:v>6.5920161413558871</c:v>
                </c:pt>
                <c:pt idx="46">
                  <c:v>5.8696908510191319</c:v>
                </c:pt>
                <c:pt idx="47">
                  <c:v>5.147365560687418</c:v>
                </c:pt>
                <c:pt idx="48">
                  <c:v>4.4250402703506628</c:v>
                </c:pt>
                <c:pt idx="49">
                  <c:v>3.7027149800164283</c:v>
                </c:pt>
                <c:pt idx="50">
                  <c:v>2.9803896896821938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10B-40E1-A458-CF55F8F74358}"/>
            </c:ext>
          </c:extLst>
        </c:ser>
        <c:ser>
          <c:idx val="21"/>
          <c:order val="21"/>
          <c:tx>
            <c:strRef>
              <c:f>グラフ!$AJ$5</c:f>
              <c:strCache>
                <c:ptCount val="1"/>
                <c:pt idx="0">
                  <c:v>inner降伏点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グラフ!$AJ$6:$AJ$56</c:f>
              <c:numCache>
                <c:formatCode>0.0</c:formatCode>
                <c:ptCount val="51"/>
                <c:pt idx="0">
                  <c:v>345</c:v>
                </c:pt>
                <c:pt idx="1">
                  <c:v>345</c:v>
                </c:pt>
                <c:pt idx="2">
                  <c:v>345</c:v>
                </c:pt>
                <c:pt idx="3">
                  <c:v>345</c:v>
                </c:pt>
                <c:pt idx="4">
                  <c:v>345</c:v>
                </c:pt>
                <c:pt idx="5">
                  <c:v>345</c:v>
                </c:pt>
                <c:pt idx="6">
                  <c:v>345</c:v>
                </c:pt>
                <c:pt idx="7">
                  <c:v>345</c:v>
                </c:pt>
                <c:pt idx="8">
                  <c:v>345</c:v>
                </c:pt>
                <c:pt idx="9">
                  <c:v>345</c:v>
                </c:pt>
                <c:pt idx="10">
                  <c:v>345</c:v>
                </c:pt>
                <c:pt idx="11">
                  <c:v>345</c:v>
                </c:pt>
                <c:pt idx="12">
                  <c:v>345</c:v>
                </c:pt>
                <c:pt idx="13">
                  <c:v>345</c:v>
                </c:pt>
                <c:pt idx="14">
                  <c:v>345</c:v>
                </c:pt>
                <c:pt idx="15">
                  <c:v>345</c:v>
                </c:pt>
                <c:pt idx="16">
                  <c:v>345</c:v>
                </c:pt>
                <c:pt idx="17">
                  <c:v>345</c:v>
                </c:pt>
                <c:pt idx="18">
                  <c:v>345</c:v>
                </c:pt>
                <c:pt idx="19">
                  <c:v>345</c:v>
                </c:pt>
                <c:pt idx="20">
                  <c:v>345</c:v>
                </c:pt>
                <c:pt idx="21">
                  <c:v>345</c:v>
                </c:pt>
                <c:pt idx="22">
                  <c:v>345</c:v>
                </c:pt>
                <c:pt idx="23">
                  <c:v>345</c:v>
                </c:pt>
                <c:pt idx="24">
                  <c:v>345</c:v>
                </c:pt>
                <c:pt idx="25">
                  <c:v>345</c:v>
                </c:pt>
                <c:pt idx="26">
                  <c:v>345</c:v>
                </c:pt>
                <c:pt idx="27">
                  <c:v>345</c:v>
                </c:pt>
                <c:pt idx="28">
                  <c:v>345</c:v>
                </c:pt>
                <c:pt idx="29">
                  <c:v>345</c:v>
                </c:pt>
                <c:pt idx="30">
                  <c:v>345</c:v>
                </c:pt>
                <c:pt idx="31">
                  <c:v>345</c:v>
                </c:pt>
                <c:pt idx="32">
                  <c:v>345</c:v>
                </c:pt>
                <c:pt idx="33">
                  <c:v>345</c:v>
                </c:pt>
                <c:pt idx="34">
                  <c:v>345</c:v>
                </c:pt>
                <c:pt idx="35">
                  <c:v>345</c:v>
                </c:pt>
                <c:pt idx="36">
                  <c:v>345</c:v>
                </c:pt>
                <c:pt idx="37">
                  <c:v>345</c:v>
                </c:pt>
                <c:pt idx="38">
                  <c:v>345</c:v>
                </c:pt>
                <c:pt idx="39">
                  <c:v>345</c:v>
                </c:pt>
                <c:pt idx="40">
                  <c:v>345</c:v>
                </c:pt>
                <c:pt idx="41">
                  <c:v>345</c:v>
                </c:pt>
                <c:pt idx="42">
                  <c:v>345</c:v>
                </c:pt>
                <c:pt idx="43">
                  <c:v>345</c:v>
                </c:pt>
                <c:pt idx="44">
                  <c:v>345</c:v>
                </c:pt>
                <c:pt idx="45">
                  <c:v>345</c:v>
                </c:pt>
                <c:pt idx="46">
                  <c:v>345</c:v>
                </c:pt>
                <c:pt idx="47">
                  <c:v>345</c:v>
                </c:pt>
                <c:pt idx="48">
                  <c:v>345</c:v>
                </c:pt>
                <c:pt idx="49">
                  <c:v>345</c:v>
                </c:pt>
                <c:pt idx="50">
                  <c:v>345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F10B-40E1-A458-CF55F8F74358}"/>
            </c:ext>
          </c:extLst>
        </c:ser>
        <c:ser>
          <c:idx val="29"/>
          <c:order val="29"/>
          <c:tx>
            <c:strRef>
              <c:f>グラフ!$AR$5</c:f>
              <c:strCache>
                <c:ptCount val="1"/>
                <c:pt idx="0">
                  <c:v>outer降伏点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グラフ!$AR$6:$AR$56</c:f>
              <c:numCache>
                <c:formatCode>0.0</c:formatCode>
                <c:ptCount val="5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150</c:v>
                </c:pt>
                <c:pt idx="22">
                  <c:v>150</c:v>
                </c:pt>
                <c:pt idx="23">
                  <c:v>150</c:v>
                </c:pt>
                <c:pt idx="24">
                  <c:v>150</c:v>
                </c:pt>
                <c:pt idx="25">
                  <c:v>150</c:v>
                </c:pt>
                <c:pt idx="26">
                  <c:v>150</c:v>
                </c:pt>
                <c:pt idx="27">
                  <c:v>150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4B-463C-AA48-EB9AD9F03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8419104"/>
        <c:axId val="18784012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グラフ!$O$5</c15:sqref>
                        </c15:formulaRef>
                      </c:ext>
                    </c:extLst>
                    <c:strCache>
                      <c:ptCount val="1"/>
                      <c:pt idx="0">
                        <c:v>締め代：Δ-30℃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グラフ!$O$6:$O$56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0.16679667000000364</c:v>
                      </c:pt>
                      <c:pt idx="1">
                        <c:v>0.16476026499999818</c:v>
                      </c:pt>
                      <c:pt idx="2">
                        <c:v>0.16272385999999983</c:v>
                      </c:pt>
                      <c:pt idx="3">
                        <c:v>0.16068745500000148</c:v>
                      </c:pt>
                      <c:pt idx="4">
                        <c:v>0.15865104999999602</c:v>
                      </c:pt>
                      <c:pt idx="5">
                        <c:v>0.15661464499999767</c:v>
                      </c:pt>
                      <c:pt idx="6">
                        <c:v>0.15457823999999931</c:v>
                      </c:pt>
                      <c:pt idx="7">
                        <c:v>0.15254183499999385</c:v>
                      </c:pt>
                      <c:pt idx="8">
                        <c:v>0.1505054300000026</c:v>
                      </c:pt>
                      <c:pt idx="9">
                        <c:v>0.14846902500000425</c:v>
                      </c:pt>
                      <c:pt idx="10">
                        <c:v>0.14643261999999879</c:v>
                      </c:pt>
                      <c:pt idx="11">
                        <c:v>0.14439621500000044</c:v>
                      </c:pt>
                      <c:pt idx="12">
                        <c:v>0.14235980999999498</c:v>
                      </c:pt>
                      <c:pt idx="13">
                        <c:v>0.14032340500000373</c:v>
                      </c:pt>
                      <c:pt idx="14">
                        <c:v>0.13828699999999827</c:v>
                      </c:pt>
                      <c:pt idx="15">
                        <c:v>0.13625059500000702</c:v>
                      </c:pt>
                      <c:pt idx="16">
                        <c:v>0.13421419000000157</c:v>
                      </c:pt>
                      <c:pt idx="17">
                        <c:v>0.13217778499999611</c:v>
                      </c:pt>
                      <c:pt idx="18">
                        <c:v>0.13014138000000486</c:v>
                      </c:pt>
                      <c:pt idx="19">
                        <c:v>0.1281049749999994</c:v>
                      </c:pt>
                      <c:pt idx="20">
                        <c:v>0.12606856999999394</c:v>
                      </c:pt>
                      <c:pt idx="21">
                        <c:v>0.12403216500000269</c:v>
                      </c:pt>
                      <c:pt idx="22">
                        <c:v>0.12199575999999013</c:v>
                      </c:pt>
                      <c:pt idx="23">
                        <c:v>0.11995935499999888</c:v>
                      </c:pt>
                      <c:pt idx="24">
                        <c:v>0.11792294999999342</c:v>
                      </c:pt>
                      <c:pt idx="25">
                        <c:v>0.11588654499999507</c:v>
                      </c:pt>
                      <c:pt idx="26">
                        <c:v>0.11385014000000382</c:v>
                      </c:pt>
                      <c:pt idx="27">
                        <c:v>0.11181373499999836</c:v>
                      </c:pt>
                      <c:pt idx="28">
                        <c:v>0.10977733000000711</c:v>
                      </c:pt>
                      <c:pt idx="29">
                        <c:v>0.10774092499999455</c:v>
                      </c:pt>
                      <c:pt idx="30">
                        <c:v>0.1057045200000033</c:v>
                      </c:pt>
                      <c:pt idx="31">
                        <c:v>0.10366811499999784</c:v>
                      </c:pt>
                      <c:pt idx="32">
                        <c:v>0.10163170999999949</c:v>
                      </c:pt>
                      <c:pt idx="33">
                        <c:v>9.9595304999994028E-2</c:v>
                      </c:pt>
                      <c:pt idx="34">
                        <c:v>9.7558899999995674E-2</c:v>
                      </c:pt>
                      <c:pt idx="35">
                        <c:v>9.5522494999990215E-2</c:v>
                      </c:pt>
                      <c:pt idx="36">
                        <c:v>9.3486090000006072E-2</c:v>
                      </c:pt>
                      <c:pt idx="37">
                        <c:v>9.1449685000007719E-2</c:v>
                      </c:pt>
                      <c:pt idx="38">
                        <c:v>8.941328000000226E-2</c:v>
                      </c:pt>
                      <c:pt idx="39">
                        <c:v>8.7376875000011012E-2</c:v>
                      </c:pt>
                      <c:pt idx="40">
                        <c:v>8.5340469999998447E-2</c:v>
                      </c:pt>
                      <c:pt idx="41">
                        <c:v>8.3304065000000094E-2</c:v>
                      </c:pt>
                      <c:pt idx="42">
                        <c:v>8.126766000000174E-2</c:v>
                      </c:pt>
                      <c:pt idx="43">
                        <c:v>7.9231254999996281E-2</c:v>
                      </c:pt>
                      <c:pt idx="44">
                        <c:v>7.7194849999990822E-2</c:v>
                      </c:pt>
                      <c:pt idx="45">
                        <c:v>7.5158444999999574E-2</c:v>
                      </c:pt>
                      <c:pt idx="46">
                        <c:v>7.3122040000001221E-2</c:v>
                      </c:pt>
                      <c:pt idx="47">
                        <c:v>7.1085635000002867E-2</c:v>
                      </c:pt>
                      <c:pt idx="48">
                        <c:v>6.9049230000004513E-2</c:v>
                      </c:pt>
                      <c:pt idx="49">
                        <c:v>6.701282500000616E-2</c:v>
                      </c:pt>
                      <c:pt idx="50">
                        <c:v>6.4976420000000701E-2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F10B-40E1-A458-CF55F8F74358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グラフ!$P$5</c15:sqref>
                        </c15:formulaRef>
                      </c:ext>
                    </c:extLst>
                    <c:strCache>
                      <c:ptCount val="1"/>
                      <c:pt idx="0">
                        <c:v>締め代：Δ-20℃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グラフ!$P$6:$P$56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0.15736766999999929</c:v>
                      </c:pt>
                      <c:pt idx="1">
                        <c:v>0.15533126500000805</c:v>
                      </c:pt>
                      <c:pt idx="2">
                        <c:v>0.15329486000000259</c:v>
                      </c:pt>
                      <c:pt idx="3">
                        <c:v>0.15125845499999713</c:v>
                      </c:pt>
                      <c:pt idx="4">
                        <c:v>0.14922204999999877</c:v>
                      </c:pt>
                      <c:pt idx="5">
                        <c:v>0.14718564499999331</c:v>
                      </c:pt>
                      <c:pt idx="6">
                        <c:v>0.14514924000000207</c:v>
                      </c:pt>
                      <c:pt idx="7">
                        <c:v>0.14311283499999661</c:v>
                      </c:pt>
                      <c:pt idx="8">
                        <c:v>0.14107642999999825</c:v>
                      </c:pt>
                      <c:pt idx="9">
                        <c:v>0.13904002500000701</c:v>
                      </c:pt>
                      <c:pt idx="10">
                        <c:v>0.13700361999999444</c:v>
                      </c:pt>
                      <c:pt idx="11">
                        <c:v>0.13496721500000319</c:v>
                      </c:pt>
                      <c:pt idx="12">
                        <c:v>0.13293080999999773</c:v>
                      </c:pt>
                      <c:pt idx="13">
                        <c:v>0.13089440499999938</c:v>
                      </c:pt>
                      <c:pt idx="14">
                        <c:v>0.12885800000000103</c:v>
                      </c:pt>
                      <c:pt idx="15">
                        <c:v>0.12682159500000267</c:v>
                      </c:pt>
                      <c:pt idx="16">
                        <c:v>0.12478519000000432</c:v>
                      </c:pt>
                      <c:pt idx="17">
                        <c:v>0.12274878499999886</c:v>
                      </c:pt>
                      <c:pt idx="18">
                        <c:v>0.12071238000000051</c:v>
                      </c:pt>
                      <c:pt idx="19">
                        <c:v>0.11867597500000215</c:v>
                      </c:pt>
                      <c:pt idx="20">
                        <c:v>0.11663956999998959</c:v>
                      </c:pt>
                      <c:pt idx="21">
                        <c:v>0.11460316499999834</c:v>
                      </c:pt>
                      <c:pt idx="22">
                        <c:v>0.11256675999999288</c:v>
                      </c:pt>
                      <c:pt idx="23">
                        <c:v>0.11053035499999453</c:v>
                      </c:pt>
                      <c:pt idx="24">
                        <c:v>0.10849394999999618</c:v>
                      </c:pt>
                      <c:pt idx="25">
                        <c:v>0.10645754500000493</c:v>
                      </c:pt>
                      <c:pt idx="26">
                        <c:v>0.10442114000000657</c:v>
                      </c:pt>
                      <c:pt idx="27">
                        <c:v>0.10238473499999401</c:v>
                      </c:pt>
                      <c:pt idx="28">
                        <c:v>0.10034833000000276</c:v>
                      </c:pt>
                      <c:pt idx="29">
                        <c:v>9.8311924999997302E-2</c:v>
                      </c:pt>
                      <c:pt idx="30">
                        <c:v>9.6275519999998949E-2</c:v>
                      </c:pt>
                      <c:pt idx="31">
                        <c:v>9.423911499999349E-2</c:v>
                      </c:pt>
                      <c:pt idx="32">
                        <c:v>9.2202710000002241E-2</c:v>
                      </c:pt>
                      <c:pt idx="33">
                        <c:v>9.0166304999989677E-2</c:v>
                      </c:pt>
                      <c:pt idx="34">
                        <c:v>8.8129900000005534E-2</c:v>
                      </c:pt>
                      <c:pt idx="35">
                        <c:v>8.6093495000000075E-2</c:v>
                      </c:pt>
                      <c:pt idx="36">
                        <c:v>8.4057090000001722E-2</c:v>
                      </c:pt>
                      <c:pt idx="37">
                        <c:v>8.2020685000010474E-2</c:v>
                      </c:pt>
                      <c:pt idx="38">
                        <c:v>7.9984279999997909E-2</c:v>
                      </c:pt>
                      <c:pt idx="39">
                        <c:v>7.7947875000006661E-2</c:v>
                      </c:pt>
                      <c:pt idx="40">
                        <c:v>7.5911470000001202E-2</c:v>
                      </c:pt>
                      <c:pt idx="41">
                        <c:v>7.3875064999995743E-2</c:v>
                      </c:pt>
                      <c:pt idx="42">
                        <c:v>7.183865999999739E-2</c:v>
                      </c:pt>
                      <c:pt idx="43">
                        <c:v>6.9802254999999036E-2</c:v>
                      </c:pt>
                      <c:pt idx="44">
                        <c:v>6.7765850000000682E-2</c:v>
                      </c:pt>
                      <c:pt idx="45">
                        <c:v>6.5729445000002329E-2</c:v>
                      </c:pt>
                      <c:pt idx="46">
                        <c:v>6.369303999999687E-2</c:v>
                      </c:pt>
                      <c:pt idx="47">
                        <c:v>6.1656635000005622E-2</c:v>
                      </c:pt>
                      <c:pt idx="48">
                        <c:v>5.9620230000000163E-2</c:v>
                      </c:pt>
                      <c:pt idx="49">
                        <c:v>5.7583825000001809E-2</c:v>
                      </c:pt>
                      <c:pt idx="50">
                        <c:v>5.5547420000003456E-2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10B-40E1-A458-CF55F8F74358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グラフ!$Q$5</c15:sqref>
                        </c15:formulaRef>
                      </c:ext>
                    </c:extLst>
                    <c:strCache>
                      <c:ptCount val="1"/>
                      <c:pt idx="0">
                        <c:v>締め代：Δ-10℃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グラフ!$Q$6:$Q$56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0.14793867000000205</c:v>
                      </c:pt>
                      <c:pt idx="1">
                        <c:v>0.14590226500000369</c:v>
                      </c:pt>
                      <c:pt idx="2">
                        <c:v>0.14386586000000534</c:v>
                      </c:pt>
                      <c:pt idx="3">
                        <c:v>0.14182945499999278</c:v>
                      </c:pt>
                      <c:pt idx="4">
                        <c:v>0.13979305000000153</c:v>
                      </c:pt>
                      <c:pt idx="5">
                        <c:v>0.13775664499999607</c:v>
                      </c:pt>
                      <c:pt idx="6">
                        <c:v>0.13572023999999772</c:v>
                      </c:pt>
                      <c:pt idx="7">
                        <c:v>0.13368383499999936</c:v>
                      </c:pt>
                      <c:pt idx="8">
                        <c:v>0.1316474299999939</c:v>
                      </c:pt>
                      <c:pt idx="9">
                        <c:v>0.12961102500000976</c:v>
                      </c:pt>
                      <c:pt idx="10">
                        <c:v>0.1275746199999972</c:v>
                      </c:pt>
                      <c:pt idx="11">
                        <c:v>0.12553821499999884</c:v>
                      </c:pt>
                      <c:pt idx="12">
                        <c:v>0.12350181000000049</c:v>
                      </c:pt>
                      <c:pt idx="13">
                        <c:v>0.12146540499999503</c:v>
                      </c:pt>
                      <c:pt idx="14">
                        <c:v>0.11942900000000378</c:v>
                      </c:pt>
                      <c:pt idx="15">
                        <c:v>0.11739259500000543</c:v>
                      </c:pt>
                      <c:pt idx="16">
                        <c:v>0.11535618999999997</c:v>
                      </c:pt>
                      <c:pt idx="17">
                        <c:v>0.11331978500000162</c:v>
                      </c:pt>
                      <c:pt idx="18">
                        <c:v>0.11128337999999616</c:v>
                      </c:pt>
                      <c:pt idx="19">
                        <c:v>0.1092469749999978</c:v>
                      </c:pt>
                      <c:pt idx="20">
                        <c:v>0.10721056999999234</c:v>
                      </c:pt>
                      <c:pt idx="21">
                        <c:v>0.10517416499999399</c:v>
                      </c:pt>
                      <c:pt idx="22">
                        <c:v>0.10313775999999564</c:v>
                      </c:pt>
                      <c:pt idx="23">
                        <c:v>0.10110135500000439</c:v>
                      </c:pt>
                      <c:pt idx="24">
                        <c:v>9.906494999999893E-2</c:v>
                      </c:pt>
                      <c:pt idx="25">
                        <c:v>9.7028545000000577E-2</c:v>
                      </c:pt>
                      <c:pt idx="26">
                        <c:v>9.4992140000002223E-2</c:v>
                      </c:pt>
                      <c:pt idx="27">
                        <c:v>9.2955734999996764E-2</c:v>
                      </c:pt>
                      <c:pt idx="28">
                        <c:v>9.0919329999998411E-2</c:v>
                      </c:pt>
                      <c:pt idx="29">
                        <c:v>8.8882924999992952E-2</c:v>
                      </c:pt>
                      <c:pt idx="30">
                        <c:v>8.6846520000001703E-2</c:v>
                      </c:pt>
                      <c:pt idx="31">
                        <c:v>8.4810114999989139E-2</c:v>
                      </c:pt>
                      <c:pt idx="32">
                        <c:v>8.2773710000012102E-2</c:v>
                      </c:pt>
                      <c:pt idx="33">
                        <c:v>8.0737304999999537E-2</c:v>
                      </c:pt>
                      <c:pt idx="34">
                        <c:v>7.8700900000001184E-2</c:v>
                      </c:pt>
                      <c:pt idx="35">
                        <c:v>7.666449500000283E-2</c:v>
                      </c:pt>
                      <c:pt idx="36">
                        <c:v>7.4628089999997371E-2</c:v>
                      </c:pt>
                      <c:pt idx="37">
                        <c:v>7.2591685000006123E-2</c:v>
                      </c:pt>
                      <c:pt idx="38">
                        <c:v>7.0555280000000664E-2</c:v>
                      </c:pt>
                      <c:pt idx="39">
                        <c:v>6.8518875000002311E-2</c:v>
                      </c:pt>
                      <c:pt idx="40">
                        <c:v>6.6482469999996852E-2</c:v>
                      </c:pt>
                      <c:pt idx="41">
                        <c:v>6.4446064999998498E-2</c:v>
                      </c:pt>
                      <c:pt idx="42">
                        <c:v>6.240966000000725E-2</c:v>
                      </c:pt>
                      <c:pt idx="43">
                        <c:v>6.0373255000001791E-2</c:v>
                      </c:pt>
                      <c:pt idx="44">
                        <c:v>5.8336849999996332E-2</c:v>
                      </c:pt>
                      <c:pt idx="45">
                        <c:v>5.6300445000005084E-2</c:v>
                      </c:pt>
                      <c:pt idx="46">
                        <c:v>5.4264039999992519E-2</c:v>
                      </c:pt>
                      <c:pt idx="47">
                        <c:v>5.2227635000001271E-2</c:v>
                      </c:pt>
                      <c:pt idx="48">
                        <c:v>5.0191230000002918E-2</c:v>
                      </c:pt>
                      <c:pt idx="49">
                        <c:v>4.8154824999997459E-2</c:v>
                      </c:pt>
                      <c:pt idx="50">
                        <c:v>4.6118419999999105E-2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10B-40E1-A458-CF55F8F74358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グラフ!$R$5</c15:sqref>
                        </c15:formulaRef>
                      </c:ext>
                    </c:extLst>
                    <c:strCache>
                      <c:ptCount val="1"/>
                      <c:pt idx="0">
                        <c:v>締め代：Δ0℃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グラフ!$R$6:$R$56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0.1385096700000048</c:v>
                      </c:pt>
                      <c:pt idx="1">
                        <c:v>0.13647326499999934</c:v>
                      </c:pt>
                      <c:pt idx="2">
                        <c:v>0.1344368600000081</c:v>
                      </c:pt>
                      <c:pt idx="3">
                        <c:v>0.13240045499999553</c:v>
                      </c:pt>
                      <c:pt idx="4">
                        <c:v>0.13036404999999718</c:v>
                      </c:pt>
                      <c:pt idx="5">
                        <c:v>0.12832764499999882</c:v>
                      </c:pt>
                      <c:pt idx="6">
                        <c:v>0.12629123999999337</c:v>
                      </c:pt>
                      <c:pt idx="7">
                        <c:v>0.12425483500000212</c:v>
                      </c:pt>
                      <c:pt idx="8">
                        <c:v>0.12221842999999666</c:v>
                      </c:pt>
                      <c:pt idx="9">
                        <c:v>0.12018202500000541</c:v>
                      </c:pt>
                      <c:pt idx="10">
                        <c:v>0.11814561999999995</c:v>
                      </c:pt>
                      <c:pt idx="11">
                        <c:v>0.11610921499999449</c:v>
                      </c:pt>
                      <c:pt idx="12">
                        <c:v>0.11407281000000324</c:v>
                      </c:pt>
                      <c:pt idx="13">
                        <c:v>0.11203640499999779</c:v>
                      </c:pt>
                      <c:pt idx="14">
                        <c:v>0.10999999999999943</c:v>
                      </c:pt>
                      <c:pt idx="15">
                        <c:v>0.10796359500000818</c:v>
                      </c:pt>
                      <c:pt idx="16">
                        <c:v>0.10592718999999562</c:v>
                      </c:pt>
                      <c:pt idx="17">
                        <c:v>0.10389078499999727</c:v>
                      </c:pt>
                      <c:pt idx="18">
                        <c:v>0.10185437999999891</c:v>
                      </c:pt>
                      <c:pt idx="19">
                        <c:v>9.9817974999993453E-2</c:v>
                      </c:pt>
                      <c:pt idx="20">
                        <c:v>9.7781569999995099E-2</c:v>
                      </c:pt>
                      <c:pt idx="21">
                        <c:v>9.5745165000003851E-2</c:v>
                      </c:pt>
                      <c:pt idx="22">
                        <c:v>9.3708759999998392E-2</c:v>
                      </c:pt>
                      <c:pt idx="23">
                        <c:v>9.1672355000000039E-2</c:v>
                      </c:pt>
                      <c:pt idx="24">
                        <c:v>8.963594999999458E-2</c:v>
                      </c:pt>
                      <c:pt idx="25">
                        <c:v>8.7599545000003332E-2</c:v>
                      </c:pt>
                      <c:pt idx="26">
                        <c:v>8.5563139999997873E-2</c:v>
                      </c:pt>
                      <c:pt idx="27">
                        <c:v>8.3526734999992414E-2</c:v>
                      </c:pt>
                      <c:pt idx="28">
                        <c:v>8.1490330000001165E-2</c:v>
                      </c:pt>
                      <c:pt idx="29">
                        <c:v>7.9453924999988601E-2</c:v>
                      </c:pt>
                      <c:pt idx="30">
                        <c:v>7.7417520000011564E-2</c:v>
                      </c:pt>
                      <c:pt idx="31">
                        <c:v>7.5381114999998999E-2</c:v>
                      </c:pt>
                      <c:pt idx="32">
                        <c:v>7.3344710000007751E-2</c:v>
                      </c:pt>
                      <c:pt idx="33">
                        <c:v>7.1308305000002292E-2</c:v>
                      </c:pt>
                      <c:pt idx="34">
                        <c:v>6.9271899999996833E-2</c:v>
                      </c:pt>
                      <c:pt idx="35">
                        <c:v>6.723549499999848E-2</c:v>
                      </c:pt>
                      <c:pt idx="36">
                        <c:v>6.5199090000000126E-2</c:v>
                      </c:pt>
                      <c:pt idx="37">
                        <c:v>6.3162685000001773E-2</c:v>
                      </c:pt>
                      <c:pt idx="38">
                        <c:v>6.1126279999996314E-2</c:v>
                      </c:pt>
                      <c:pt idx="39">
                        <c:v>5.9089875000005065E-2</c:v>
                      </c:pt>
                      <c:pt idx="40">
                        <c:v>5.7053470000006712E-2</c:v>
                      </c:pt>
                      <c:pt idx="41">
                        <c:v>5.5017065000001253E-2</c:v>
                      </c:pt>
                      <c:pt idx="42">
                        <c:v>5.2980660000002899E-2</c:v>
                      </c:pt>
                      <c:pt idx="43">
                        <c:v>5.0944255000004546E-2</c:v>
                      </c:pt>
                      <c:pt idx="44">
                        <c:v>4.8907849999991981E-2</c:v>
                      </c:pt>
                      <c:pt idx="45">
                        <c:v>4.6871445000000733E-2</c:v>
                      </c:pt>
                      <c:pt idx="46">
                        <c:v>4.4835039999995274E-2</c:v>
                      </c:pt>
                      <c:pt idx="47">
                        <c:v>4.2798634999996921E-2</c:v>
                      </c:pt>
                      <c:pt idx="48">
                        <c:v>4.0762229999998567E-2</c:v>
                      </c:pt>
                      <c:pt idx="49">
                        <c:v>3.8725825000000214E-2</c:v>
                      </c:pt>
                      <c:pt idx="50">
                        <c:v>3.6689420000008965E-2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F10B-40E1-A458-CF55F8F74358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グラフ!$S$5</c15:sqref>
                        </c15:formulaRef>
                      </c:ext>
                    </c:extLst>
                    <c:strCache>
                      <c:ptCount val="1"/>
                      <c:pt idx="0">
                        <c:v>締め代：Δ+10℃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グラフ!$S$6:$S$56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0.12908067000000756</c:v>
                      </c:pt>
                      <c:pt idx="1">
                        <c:v>0.1270442650000021</c:v>
                      </c:pt>
                      <c:pt idx="2">
                        <c:v>0.12500786000000375</c:v>
                      </c:pt>
                      <c:pt idx="3">
                        <c:v>0.12297145499999829</c:v>
                      </c:pt>
                      <c:pt idx="4">
                        <c:v>0.12093504999999283</c:v>
                      </c:pt>
                      <c:pt idx="5">
                        <c:v>0.11889864500000158</c:v>
                      </c:pt>
                      <c:pt idx="6">
                        <c:v>0.11686223999999612</c:v>
                      </c:pt>
                      <c:pt idx="7">
                        <c:v>0.11482583499999777</c:v>
                      </c:pt>
                      <c:pt idx="8">
                        <c:v>0.11278942999999941</c:v>
                      </c:pt>
                      <c:pt idx="9">
                        <c:v>0.11075302500000106</c:v>
                      </c:pt>
                      <c:pt idx="10">
                        <c:v>0.10871662000000271</c:v>
                      </c:pt>
                      <c:pt idx="11">
                        <c:v>0.10668021499999725</c:v>
                      </c:pt>
                      <c:pt idx="12">
                        <c:v>0.10464380999999889</c:v>
                      </c:pt>
                      <c:pt idx="13">
                        <c:v>0.10260740500000054</c:v>
                      </c:pt>
                      <c:pt idx="14">
                        <c:v>0.10057099999999508</c:v>
                      </c:pt>
                      <c:pt idx="15">
                        <c:v>9.8534595000003833E-2</c:v>
                      </c:pt>
                      <c:pt idx="16">
                        <c:v>9.6498189999998374E-2</c:v>
                      </c:pt>
                      <c:pt idx="17">
                        <c:v>9.4461784999992915E-2</c:v>
                      </c:pt>
                      <c:pt idx="18">
                        <c:v>9.2425380000001667E-2</c:v>
                      </c:pt>
                      <c:pt idx="19">
                        <c:v>9.0388975000003313E-2</c:v>
                      </c:pt>
                      <c:pt idx="20">
                        <c:v>8.8352569999997854E-2</c:v>
                      </c:pt>
                      <c:pt idx="21">
                        <c:v>8.6316164999999501E-2</c:v>
                      </c:pt>
                      <c:pt idx="22">
                        <c:v>8.4279759999994042E-2</c:v>
                      </c:pt>
                      <c:pt idx="23">
                        <c:v>8.2243355000002794E-2</c:v>
                      </c:pt>
                      <c:pt idx="24">
                        <c:v>8.0206949999990229E-2</c:v>
                      </c:pt>
                      <c:pt idx="25">
                        <c:v>7.8170544999998981E-2</c:v>
                      </c:pt>
                      <c:pt idx="26">
                        <c:v>7.6134140000000627E-2</c:v>
                      </c:pt>
                      <c:pt idx="27">
                        <c:v>7.4097734999988063E-2</c:v>
                      </c:pt>
                      <c:pt idx="28">
                        <c:v>7.2061330000011026E-2</c:v>
                      </c:pt>
                      <c:pt idx="29">
                        <c:v>7.0024924999998461E-2</c:v>
                      </c:pt>
                      <c:pt idx="30">
                        <c:v>6.7988520000007213E-2</c:v>
                      </c:pt>
                      <c:pt idx="31">
                        <c:v>6.5952115000001754E-2</c:v>
                      </c:pt>
                      <c:pt idx="32">
                        <c:v>6.3915710000003401E-2</c:v>
                      </c:pt>
                      <c:pt idx="33">
                        <c:v>6.1879304999997942E-2</c:v>
                      </c:pt>
                      <c:pt idx="34">
                        <c:v>5.9842899999999588E-2</c:v>
                      </c:pt>
                      <c:pt idx="35">
                        <c:v>5.7806494999994129E-2</c:v>
                      </c:pt>
                      <c:pt idx="36">
                        <c:v>5.5770089999995776E-2</c:v>
                      </c:pt>
                      <c:pt idx="37">
                        <c:v>5.3733685000004527E-2</c:v>
                      </c:pt>
                      <c:pt idx="38">
                        <c:v>5.1697280000006174E-2</c:v>
                      </c:pt>
                      <c:pt idx="39">
                        <c:v>4.966087500000782E-2</c:v>
                      </c:pt>
                      <c:pt idx="40">
                        <c:v>4.7624470000002361E-2</c:v>
                      </c:pt>
                      <c:pt idx="41">
                        <c:v>4.5588065000004008E-2</c:v>
                      </c:pt>
                      <c:pt idx="42">
                        <c:v>4.3551659999998549E-2</c:v>
                      </c:pt>
                      <c:pt idx="43">
                        <c:v>4.1515255000000195E-2</c:v>
                      </c:pt>
                      <c:pt idx="44">
                        <c:v>3.9478849999994736E-2</c:v>
                      </c:pt>
                      <c:pt idx="45">
                        <c:v>3.7442444999996383E-2</c:v>
                      </c:pt>
                      <c:pt idx="46">
                        <c:v>3.5406039999990924E-2</c:v>
                      </c:pt>
                      <c:pt idx="47">
                        <c:v>3.3369634999999676E-2</c:v>
                      </c:pt>
                      <c:pt idx="48">
                        <c:v>3.1333230000008427E-2</c:v>
                      </c:pt>
                      <c:pt idx="49">
                        <c:v>2.9296825000002968E-2</c:v>
                      </c:pt>
                      <c:pt idx="50">
                        <c:v>2.7260420000004615E-2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10B-40E1-A458-CF55F8F74358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グラフ!$T$5</c15:sqref>
                        </c15:formulaRef>
                      </c:ext>
                    </c:extLst>
                    <c:strCache>
                      <c:ptCount val="1"/>
                      <c:pt idx="0">
                        <c:v>締め代：Δ+20℃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グラフ!$T$6:$T$56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0.11965167000000321</c:v>
                      </c:pt>
                      <c:pt idx="1">
                        <c:v>0.11761526500000485</c:v>
                      </c:pt>
                      <c:pt idx="2">
                        <c:v>0.11557885999999939</c:v>
                      </c:pt>
                      <c:pt idx="3">
                        <c:v>0.11354245500000104</c:v>
                      </c:pt>
                      <c:pt idx="4">
                        <c:v>0.11150604999999558</c:v>
                      </c:pt>
                      <c:pt idx="5">
                        <c:v>0.10946964499999723</c:v>
                      </c:pt>
                      <c:pt idx="6">
                        <c:v>0.10743323999999888</c:v>
                      </c:pt>
                      <c:pt idx="7">
                        <c:v>0.10539683499999342</c:v>
                      </c:pt>
                      <c:pt idx="8">
                        <c:v>0.10336043000000217</c:v>
                      </c:pt>
                      <c:pt idx="9">
                        <c:v>0.10132402500000381</c:v>
                      </c:pt>
                      <c:pt idx="10">
                        <c:v>9.9287619999998356E-2</c:v>
                      </c:pt>
                      <c:pt idx="11">
                        <c:v>9.7251215000000002E-2</c:v>
                      </c:pt>
                      <c:pt idx="12">
                        <c:v>9.5214809999994543E-2</c:v>
                      </c:pt>
                      <c:pt idx="13">
                        <c:v>9.3178404999996189E-2</c:v>
                      </c:pt>
                      <c:pt idx="14">
                        <c:v>9.1141999999997836E-2</c:v>
                      </c:pt>
                      <c:pt idx="15">
                        <c:v>8.9105594999999482E-2</c:v>
                      </c:pt>
                      <c:pt idx="16">
                        <c:v>8.7069190000001129E-2</c:v>
                      </c:pt>
                      <c:pt idx="17">
                        <c:v>8.5032785000002775E-2</c:v>
                      </c:pt>
                      <c:pt idx="18">
                        <c:v>8.2996380000004422E-2</c:v>
                      </c:pt>
                      <c:pt idx="19">
                        <c:v>8.0959974999998963E-2</c:v>
                      </c:pt>
                      <c:pt idx="20">
                        <c:v>7.8923569999993504E-2</c:v>
                      </c:pt>
                      <c:pt idx="21">
                        <c:v>7.6887165000002256E-2</c:v>
                      </c:pt>
                      <c:pt idx="22">
                        <c:v>7.4850759999989691E-2</c:v>
                      </c:pt>
                      <c:pt idx="23">
                        <c:v>7.2814354999998443E-2</c:v>
                      </c:pt>
                      <c:pt idx="24">
                        <c:v>7.0777949999992984E-2</c:v>
                      </c:pt>
                      <c:pt idx="25">
                        <c:v>6.874154499999463E-2</c:v>
                      </c:pt>
                      <c:pt idx="26">
                        <c:v>6.6705140000010488E-2</c:v>
                      </c:pt>
                      <c:pt idx="27">
                        <c:v>6.4668734999997923E-2</c:v>
                      </c:pt>
                      <c:pt idx="28">
                        <c:v>6.2632330000006675E-2</c:v>
                      </c:pt>
                      <c:pt idx="29">
                        <c:v>6.0595925000001216E-2</c:v>
                      </c:pt>
                      <c:pt idx="30">
                        <c:v>5.8559520000002863E-2</c:v>
                      </c:pt>
                      <c:pt idx="31">
                        <c:v>5.6523114999997404E-2</c:v>
                      </c:pt>
                      <c:pt idx="32">
                        <c:v>5.4486710000006155E-2</c:v>
                      </c:pt>
                      <c:pt idx="33">
                        <c:v>5.2450304999993591E-2</c:v>
                      </c:pt>
                      <c:pt idx="34">
                        <c:v>5.0413899999995238E-2</c:v>
                      </c:pt>
                      <c:pt idx="35">
                        <c:v>4.8377494999996884E-2</c:v>
                      </c:pt>
                      <c:pt idx="36">
                        <c:v>4.6341090000005636E-2</c:v>
                      </c:pt>
                      <c:pt idx="37">
                        <c:v>4.4304685000007282E-2</c:v>
                      </c:pt>
                      <c:pt idx="38">
                        <c:v>4.2268280000001823E-2</c:v>
                      </c:pt>
                      <c:pt idx="39">
                        <c:v>4.0231875000010575E-2</c:v>
                      </c:pt>
                      <c:pt idx="40">
                        <c:v>3.8195469999998011E-2</c:v>
                      </c:pt>
                      <c:pt idx="41">
                        <c:v>3.6159064999999657E-2</c:v>
                      </c:pt>
                      <c:pt idx="42">
                        <c:v>3.4122660000001304E-2</c:v>
                      </c:pt>
                      <c:pt idx="43">
                        <c:v>3.2086254999995845E-2</c:v>
                      </c:pt>
                      <c:pt idx="44">
                        <c:v>3.0049849999990386E-2</c:v>
                      </c:pt>
                      <c:pt idx="45">
                        <c:v>2.8013444999999138E-2</c:v>
                      </c:pt>
                      <c:pt idx="46">
                        <c:v>2.5977040000000784E-2</c:v>
                      </c:pt>
                      <c:pt idx="47">
                        <c:v>2.394063500000243E-2</c:v>
                      </c:pt>
                      <c:pt idx="48">
                        <c:v>2.1904230000004077E-2</c:v>
                      </c:pt>
                      <c:pt idx="49">
                        <c:v>1.9867825000005723E-2</c:v>
                      </c:pt>
                      <c:pt idx="50">
                        <c:v>1.7831420000000264E-2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10B-40E1-A458-CF55F8F74358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グラフ!$U$5</c15:sqref>
                        </c15:formulaRef>
                      </c:ext>
                    </c:extLst>
                    <c:strCache>
                      <c:ptCount val="1"/>
                      <c:pt idx="0">
                        <c:v>締め代：Δ+30℃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グラフ!$U$6:$U$56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0.11022266999999886</c:v>
                      </c:pt>
                      <c:pt idx="1">
                        <c:v>0.10818626500000761</c:v>
                      </c:pt>
                      <c:pt idx="2">
                        <c:v>0.10614986000000215</c:v>
                      </c:pt>
                      <c:pt idx="3">
                        <c:v>0.10411345499999669</c:v>
                      </c:pt>
                      <c:pt idx="4">
                        <c:v>0.10207704999999834</c:v>
                      </c:pt>
                      <c:pt idx="5">
                        <c:v>0.10004064499999288</c:v>
                      </c:pt>
                      <c:pt idx="6">
                        <c:v>9.800424000000163E-2</c:v>
                      </c:pt>
                      <c:pt idx="7">
                        <c:v>9.5967834999996171E-2</c:v>
                      </c:pt>
                      <c:pt idx="8">
                        <c:v>9.3931429999997818E-2</c:v>
                      </c:pt>
                      <c:pt idx="9">
                        <c:v>9.1895025000006569E-2</c:v>
                      </c:pt>
                      <c:pt idx="10">
                        <c:v>8.9858619999994005E-2</c:v>
                      </c:pt>
                      <c:pt idx="11">
                        <c:v>8.7822214999995651E-2</c:v>
                      </c:pt>
                      <c:pt idx="12">
                        <c:v>8.5785809999997298E-2</c:v>
                      </c:pt>
                      <c:pt idx="13">
                        <c:v>8.3749404999991839E-2</c:v>
                      </c:pt>
                      <c:pt idx="14">
                        <c:v>8.1713000000000591E-2</c:v>
                      </c:pt>
                      <c:pt idx="15">
                        <c:v>7.9676595000009343E-2</c:v>
                      </c:pt>
                      <c:pt idx="16">
                        <c:v>7.7640190000003884E-2</c:v>
                      </c:pt>
                      <c:pt idx="17">
                        <c:v>7.5603784999998425E-2</c:v>
                      </c:pt>
                      <c:pt idx="18">
                        <c:v>7.3567380000000071E-2</c:v>
                      </c:pt>
                      <c:pt idx="19">
                        <c:v>7.1530975000001717E-2</c:v>
                      </c:pt>
                      <c:pt idx="20">
                        <c:v>6.9494569999989153E-2</c:v>
                      </c:pt>
                      <c:pt idx="21">
                        <c:v>6.7458164999997905E-2</c:v>
                      </c:pt>
                      <c:pt idx="22">
                        <c:v>6.5421759999992446E-2</c:v>
                      </c:pt>
                      <c:pt idx="23">
                        <c:v>6.3385354999994092E-2</c:v>
                      </c:pt>
                      <c:pt idx="24">
                        <c:v>6.1348950000002844E-2</c:v>
                      </c:pt>
                      <c:pt idx="25">
                        <c:v>5.9312545000004491E-2</c:v>
                      </c:pt>
                      <c:pt idx="26">
                        <c:v>5.7276140000006137E-2</c:v>
                      </c:pt>
                      <c:pt idx="27">
                        <c:v>5.5239735000000678E-2</c:v>
                      </c:pt>
                      <c:pt idx="28">
                        <c:v>5.3203330000002325E-2</c:v>
                      </c:pt>
                      <c:pt idx="29">
                        <c:v>5.1166924999996866E-2</c:v>
                      </c:pt>
                      <c:pt idx="30">
                        <c:v>4.9130520000005617E-2</c:v>
                      </c:pt>
                      <c:pt idx="31">
                        <c:v>4.7094114999993053E-2</c:v>
                      </c:pt>
                      <c:pt idx="32">
                        <c:v>4.5057710000001805E-2</c:v>
                      </c:pt>
                      <c:pt idx="33">
                        <c:v>4.3021304999996346E-2</c:v>
                      </c:pt>
                      <c:pt idx="34">
                        <c:v>4.0984900000005098E-2</c:v>
                      </c:pt>
                      <c:pt idx="35">
                        <c:v>3.8948494999999639E-2</c:v>
                      </c:pt>
                      <c:pt idx="36">
                        <c:v>3.6912090000001285E-2</c:v>
                      </c:pt>
                      <c:pt idx="37">
                        <c:v>3.4875685000010037E-2</c:v>
                      </c:pt>
                      <c:pt idx="38">
                        <c:v>3.2839279999997473E-2</c:v>
                      </c:pt>
                      <c:pt idx="39">
                        <c:v>3.0802875000006225E-2</c:v>
                      </c:pt>
                      <c:pt idx="40">
                        <c:v>2.8766470000000766E-2</c:v>
                      </c:pt>
                      <c:pt idx="41">
                        <c:v>2.6730064999995307E-2</c:v>
                      </c:pt>
                      <c:pt idx="42">
                        <c:v>2.4693659999996953E-2</c:v>
                      </c:pt>
                      <c:pt idx="43">
                        <c:v>2.2657254999998599E-2</c:v>
                      </c:pt>
                      <c:pt idx="44">
                        <c:v>2.0620850000000246E-2</c:v>
                      </c:pt>
                      <c:pt idx="45">
                        <c:v>1.8584445000001892E-2</c:v>
                      </c:pt>
                      <c:pt idx="46">
                        <c:v>1.6548039999996433E-2</c:v>
                      </c:pt>
                      <c:pt idx="47">
                        <c:v>1.4511635000005185E-2</c:v>
                      </c:pt>
                      <c:pt idx="48">
                        <c:v>1.2475229999999726E-2</c:v>
                      </c:pt>
                      <c:pt idx="49">
                        <c:v>1.0438825000001373E-2</c:v>
                      </c:pt>
                      <c:pt idx="50">
                        <c:v>8.4024200000030191E-3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10B-40E1-A458-CF55F8F74358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グラフ!$AC$5</c15:sqref>
                        </c15:formulaRef>
                      </c:ext>
                    </c:extLst>
                    <c:strCache>
                      <c:ptCount val="1"/>
                      <c:pt idx="0">
                        <c:v>inner応力:Δ-30℃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グラフ!$AC$6:$AC$56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302.16444084778072</c:v>
                      </c:pt>
                      <c:pt idx="1">
                        <c:v>298.4753433486145</c:v>
                      </c:pt>
                      <c:pt idx="2">
                        <c:v>294.78624584946107</c:v>
                      </c:pt>
                      <c:pt idx="3">
                        <c:v>291.09714835030763</c:v>
                      </c:pt>
                      <c:pt idx="4">
                        <c:v>287.40805085114141</c:v>
                      </c:pt>
                      <c:pt idx="5">
                        <c:v>283.71895335198803</c:v>
                      </c:pt>
                      <c:pt idx="6">
                        <c:v>280.0298558528346</c:v>
                      </c:pt>
                      <c:pt idx="7">
                        <c:v>276.34075835366838</c:v>
                      </c:pt>
                      <c:pt idx="8">
                        <c:v>272.65166085452779</c:v>
                      </c:pt>
                      <c:pt idx="9">
                        <c:v>268.96256335537441</c:v>
                      </c:pt>
                      <c:pt idx="10">
                        <c:v>265.27346585620813</c:v>
                      </c:pt>
                      <c:pt idx="11">
                        <c:v>261.58436835705476</c:v>
                      </c:pt>
                      <c:pt idx="12">
                        <c:v>257.89527085788853</c:v>
                      </c:pt>
                      <c:pt idx="13">
                        <c:v>254.20617335874798</c:v>
                      </c:pt>
                      <c:pt idx="14">
                        <c:v>250.51707585958169</c:v>
                      </c:pt>
                      <c:pt idx="15">
                        <c:v>246.82797836044122</c:v>
                      </c:pt>
                      <c:pt idx="16">
                        <c:v>243.13888086127491</c:v>
                      </c:pt>
                      <c:pt idx="17">
                        <c:v>239.44978336210866</c:v>
                      </c:pt>
                      <c:pt idx="18">
                        <c:v>235.76068586296813</c:v>
                      </c:pt>
                      <c:pt idx="19">
                        <c:v>232.07158836380185</c:v>
                      </c:pt>
                      <c:pt idx="20">
                        <c:v>228.3824908646356</c:v>
                      </c:pt>
                      <c:pt idx="21">
                        <c:v>224.6933933654951</c:v>
                      </c:pt>
                      <c:pt idx="22">
                        <c:v>221.00429586631594</c:v>
                      </c:pt>
                      <c:pt idx="23">
                        <c:v>217.31519836717538</c:v>
                      </c:pt>
                      <c:pt idx="24">
                        <c:v>213.62610086800913</c:v>
                      </c:pt>
                      <c:pt idx="25">
                        <c:v>209.93700336885576</c:v>
                      </c:pt>
                      <c:pt idx="26">
                        <c:v>206.24790586971525</c:v>
                      </c:pt>
                      <c:pt idx="27">
                        <c:v>202.558808370549</c:v>
                      </c:pt>
                      <c:pt idx="28">
                        <c:v>198.86971087140844</c:v>
                      </c:pt>
                      <c:pt idx="29">
                        <c:v>195.18061337222929</c:v>
                      </c:pt>
                      <c:pt idx="30">
                        <c:v>191.49151587308879</c:v>
                      </c:pt>
                      <c:pt idx="31">
                        <c:v>187.80241837392254</c:v>
                      </c:pt>
                      <c:pt idx="32">
                        <c:v>184.11332087476916</c:v>
                      </c:pt>
                      <c:pt idx="33">
                        <c:v>180.42422337560288</c:v>
                      </c:pt>
                      <c:pt idx="34">
                        <c:v>176.73512587644944</c:v>
                      </c:pt>
                      <c:pt idx="35">
                        <c:v>173.04602837728319</c:v>
                      </c:pt>
                      <c:pt idx="36">
                        <c:v>169.35693087815554</c:v>
                      </c:pt>
                      <c:pt idx="37">
                        <c:v>165.66783337900216</c:v>
                      </c:pt>
                      <c:pt idx="38">
                        <c:v>161.97873587983591</c:v>
                      </c:pt>
                      <c:pt idx="39">
                        <c:v>158.28963838069538</c:v>
                      </c:pt>
                      <c:pt idx="40">
                        <c:v>154.60054088151622</c:v>
                      </c:pt>
                      <c:pt idx="41">
                        <c:v>150.91144338236285</c:v>
                      </c:pt>
                      <c:pt idx="42">
                        <c:v>147.22234588320944</c:v>
                      </c:pt>
                      <c:pt idx="43">
                        <c:v>143.53324838404319</c:v>
                      </c:pt>
                      <c:pt idx="44">
                        <c:v>139.84415088487691</c:v>
                      </c:pt>
                      <c:pt idx="45">
                        <c:v>136.15505338573641</c:v>
                      </c:pt>
                      <c:pt idx="46">
                        <c:v>132.46595588658298</c:v>
                      </c:pt>
                      <c:pt idx="47">
                        <c:v>128.7768583874296</c:v>
                      </c:pt>
                      <c:pt idx="48">
                        <c:v>125.08776088827622</c:v>
                      </c:pt>
                      <c:pt idx="49">
                        <c:v>121.39866338912283</c:v>
                      </c:pt>
                      <c:pt idx="50">
                        <c:v>117.70956588995655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F10B-40E1-A458-CF55F8F74358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グラフ!$AD$5</c15:sqref>
                        </c15:formulaRef>
                      </c:ext>
                    </c:extLst>
                    <c:strCache>
                      <c:ptCount val="1"/>
                      <c:pt idx="0">
                        <c:v>inner応力:Δ-20℃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グラフ!$AD$6:$AD$56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285.08311354817113</c:v>
                      </c:pt>
                      <c:pt idx="1">
                        <c:v>281.3940160490306</c:v>
                      </c:pt>
                      <c:pt idx="2">
                        <c:v>277.70491854986426</c:v>
                      </c:pt>
                      <c:pt idx="3">
                        <c:v>274.01582105069804</c:v>
                      </c:pt>
                      <c:pt idx="4">
                        <c:v>270.32672355154466</c:v>
                      </c:pt>
                      <c:pt idx="5">
                        <c:v>266.63762605237838</c:v>
                      </c:pt>
                      <c:pt idx="6">
                        <c:v>262.94852855323785</c:v>
                      </c:pt>
                      <c:pt idx="7">
                        <c:v>259.25943105407157</c:v>
                      </c:pt>
                      <c:pt idx="8">
                        <c:v>255.57033355491816</c:v>
                      </c:pt>
                      <c:pt idx="9">
                        <c:v>251.88123605577769</c:v>
                      </c:pt>
                      <c:pt idx="10">
                        <c:v>248.19213855659854</c:v>
                      </c:pt>
                      <c:pt idx="11">
                        <c:v>244.50304105745801</c:v>
                      </c:pt>
                      <c:pt idx="12">
                        <c:v>240.81394355829175</c:v>
                      </c:pt>
                      <c:pt idx="13">
                        <c:v>237.12484605913838</c:v>
                      </c:pt>
                      <c:pt idx="14">
                        <c:v>233.43574855998494</c:v>
                      </c:pt>
                      <c:pt idx="15">
                        <c:v>229.74665106083154</c:v>
                      </c:pt>
                      <c:pt idx="16">
                        <c:v>226.05755356167816</c:v>
                      </c:pt>
                      <c:pt idx="17">
                        <c:v>222.36845606251191</c:v>
                      </c:pt>
                      <c:pt idx="18">
                        <c:v>218.67935856335853</c:v>
                      </c:pt>
                      <c:pt idx="19">
                        <c:v>214.99026106420516</c:v>
                      </c:pt>
                      <c:pt idx="20">
                        <c:v>211.30116356502597</c:v>
                      </c:pt>
                      <c:pt idx="21">
                        <c:v>207.61206606588544</c:v>
                      </c:pt>
                      <c:pt idx="22">
                        <c:v>203.92296856671919</c:v>
                      </c:pt>
                      <c:pt idx="23">
                        <c:v>200.23387106756581</c:v>
                      </c:pt>
                      <c:pt idx="24">
                        <c:v>196.54477356841244</c:v>
                      </c:pt>
                      <c:pt idx="25">
                        <c:v>192.85567606927191</c:v>
                      </c:pt>
                      <c:pt idx="26">
                        <c:v>189.16657857011847</c:v>
                      </c:pt>
                      <c:pt idx="27">
                        <c:v>185.47748107093935</c:v>
                      </c:pt>
                      <c:pt idx="28">
                        <c:v>181.78838357179885</c:v>
                      </c:pt>
                      <c:pt idx="29">
                        <c:v>178.09928607263259</c:v>
                      </c:pt>
                      <c:pt idx="30">
                        <c:v>174.41018857347916</c:v>
                      </c:pt>
                      <c:pt idx="31">
                        <c:v>170.72109107431291</c:v>
                      </c:pt>
                      <c:pt idx="32">
                        <c:v>167.03199357517238</c:v>
                      </c:pt>
                      <c:pt idx="33">
                        <c:v>163.34289607599322</c:v>
                      </c:pt>
                      <c:pt idx="34">
                        <c:v>159.65379857686557</c:v>
                      </c:pt>
                      <c:pt idx="35">
                        <c:v>155.96470107769932</c:v>
                      </c:pt>
                      <c:pt idx="36">
                        <c:v>152.27560357854594</c:v>
                      </c:pt>
                      <c:pt idx="37">
                        <c:v>148.58650607940541</c:v>
                      </c:pt>
                      <c:pt idx="38">
                        <c:v>144.89740858022626</c:v>
                      </c:pt>
                      <c:pt idx="39">
                        <c:v>141.20831108108575</c:v>
                      </c:pt>
                      <c:pt idx="40">
                        <c:v>137.5192135819195</c:v>
                      </c:pt>
                      <c:pt idx="41">
                        <c:v>133.83011608275319</c:v>
                      </c:pt>
                      <c:pt idx="42">
                        <c:v>130.14101858359982</c:v>
                      </c:pt>
                      <c:pt idx="43">
                        <c:v>126.45192108444644</c:v>
                      </c:pt>
                      <c:pt idx="44">
                        <c:v>122.76282358529303</c:v>
                      </c:pt>
                      <c:pt idx="45">
                        <c:v>119.07372608613964</c:v>
                      </c:pt>
                      <c:pt idx="46">
                        <c:v>115.38462858697338</c:v>
                      </c:pt>
                      <c:pt idx="47">
                        <c:v>111.69553108783286</c:v>
                      </c:pt>
                      <c:pt idx="48">
                        <c:v>108.00643358866657</c:v>
                      </c:pt>
                      <c:pt idx="49">
                        <c:v>104.31733608951319</c:v>
                      </c:pt>
                      <c:pt idx="50">
                        <c:v>100.62823859035981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10B-40E1-A458-CF55F8F74358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グラフ!$AE$5</c15:sqref>
                        </c15:formulaRef>
                      </c:ext>
                    </c:extLst>
                    <c:strCache>
                      <c:ptCount val="1"/>
                      <c:pt idx="0">
                        <c:v>inner応力:Δ-10℃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グラフ!$AE$6:$AE$56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268.00178624857432</c:v>
                      </c:pt>
                      <c:pt idx="1">
                        <c:v>264.31268874942094</c:v>
                      </c:pt>
                      <c:pt idx="2">
                        <c:v>260.62359125026751</c:v>
                      </c:pt>
                      <c:pt idx="3">
                        <c:v>256.93449375108844</c:v>
                      </c:pt>
                      <c:pt idx="4">
                        <c:v>253.24539625194791</c:v>
                      </c:pt>
                      <c:pt idx="5">
                        <c:v>249.55629875278169</c:v>
                      </c:pt>
                      <c:pt idx="6">
                        <c:v>245.86720125362822</c:v>
                      </c:pt>
                      <c:pt idx="7">
                        <c:v>242.17810375447482</c:v>
                      </c:pt>
                      <c:pt idx="8">
                        <c:v>238.4890062553086</c:v>
                      </c:pt>
                      <c:pt idx="9">
                        <c:v>234.79990875618094</c:v>
                      </c:pt>
                      <c:pt idx="10">
                        <c:v>231.11081125700179</c:v>
                      </c:pt>
                      <c:pt idx="11">
                        <c:v>227.42171375784841</c:v>
                      </c:pt>
                      <c:pt idx="12">
                        <c:v>223.732616258695</c:v>
                      </c:pt>
                      <c:pt idx="13">
                        <c:v>220.04351875952869</c:v>
                      </c:pt>
                      <c:pt idx="14">
                        <c:v>216.35442126038822</c:v>
                      </c:pt>
                      <c:pt idx="15">
                        <c:v>212.66532376123484</c:v>
                      </c:pt>
                      <c:pt idx="16">
                        <c:v>208.97622626206856</c:v>
                      </c:pt>
                      <c:pt idx="17">
                        <c:v>205.28712876291516</c:v>
                      </c:pt>
                      <c:pt idx="18">
                        <c:v>201.59803126374891</c:v>
                      </c:pt>
                      <c:pt idx="19">
                        <c:v>197.90893376459547</c:v>
                      </c:pt>
                      <c:pt idx="20">
                        <c:v>194.21983626542922</c:v>
                      </c:pt>
                      <c:pt idx="21">
                        <c:v>190.53073876627585</c:v>
                      </c:pt>
                      <c:pt idx="22">
                        <c:v>186.84164126712244</c:v>
                      </c:pt>
                      <c:pt idx="23">
                        <c:v>183.15254376798194</c:v>
                      </c:pt>
                      <c:pt idx="24">
                        <c:v>179.46344626881569</c:v>
                      </c:pt>
                      <c:pt idx="25">
                        <c:v>175.77434876966231</c:v>
                      </c:pt>
                      <c:pt idx="26">
                        <c:v>172.08525127050888</c:v>
                      </c:pt>
                      <c:pt idx="27">
                        <c:v>168.3961537713426</c:v>
                      </c:pt>
                      <c:pt idx="28">
                        <c:v>164.70705627218922</c:v>
                      </c:pt>
                      <c:pt idx="29">
                        <c:v>161.01795877302297</c:v>
                      </c:pt>
                      <c:pt idx="30">
                        <c:v>157.32886127388244</c:v>
                      </c:pt>
                      <c:pt idx="31">
                        <c:v>153.63976377470328</c:v>
                      </c:pt>
                      <c:pt idx="32">
                        <c:v>149.9506662755885</c:v>
                      </c:pt>
                      <c:pt idx="33">
                        <c:v>146.26156877640938</c:v>
                      </c:pt>
                      <c:pt idx="34">
                        <c:v>142.57247127725597</c:v>
                      </c:pt>
                      <c:pt idx="35">
                        <c:v>138.88337377810259</c:v>
                      </c:pt>
                      <c:pt idx="36">
                        <c:v>135.19427627893631</c:v>
                      </c:pt>
                      <c:pt idx="37">
                        <c:v>131.50517877979578</c:v>
                      </c:pt>
                      <c:pt idx="38">
                        <c:v>127.81608128062953</c:v>
                      </c:pt>
                      <c:pt idx="39">
                        <c:v>124.12698378147613</c:v>
                      </c:pt>
                      <c:pt idx="40">
                        <c:v>120.43788628230986</c:v>
                      </c:pt>
                      <c:pt idx="41">
                        <c:v>116.74878878315647</c:v>
                      </c:pt>
                      <c:pt idx="42">
                        <c:v>113.05969128401597</c:v>
                      </c:pt>
                      <c:pt idx="43">
                        <c:v>109.37059378484969</c:v>
                      </c:pt>
                      <c:pt idx="44">
                        <c:v>105.68149628568342</c:v>
                      </c:pt>
                      <c:pt idx="45">
                        <c:v>101.99239878654289</c:v>
                      </c:pt>
                      <c:pt idx="46">
                        <c:v>98.303301287363752</c:v>
                      </c:pt>
                      <c:pt idx="47">
                        <c:v>94.614203788223236</c:v>
                      </c:pt>
                      <c:pt idx="48">
                        <c:v>90.925106289069845</c:v>
                      </c:pt>
                      <c:pt idx="49">
                        <c:v>87.236008789903579</c:v>
                      </c:pt>
                      <c:pt idx="50">
                        <c:v>83.546911290750174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10B-40E1-A458-CF55F8F74358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グラフ!$AF$5</c15:sqref>
                        </c15:formulaRef>
                      </c:ext>
                    </c:extLst>
                    <c:strCache>
                      <c:ptCount val="1"/>
                      <c:pt idx="0">
                        <c:v>inner応力:Δ0℃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グラフ!$AF$6:$AF$56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250.92045894897757</c:v>
                      </c:pt>
                      <c:pt idx="1">
                        <c:v>247.23136144981132</c:v>
                      </c:pt>
                      <c:pt idx="2">
                        <c:v>243.54226395067082</c:v>
                      </c:pt>
                      <c:pt idx="3">
                        <c:v>239.85316645149172</c:v>
                      </c:pt>
                      <c:pt idx="4">
                        <c:v>236.16406895233823</c:v>
                      </c:pt>
                      <c:pt idx="5">
                        <c:v>232.47497145318485</c:v>
                      </c:pt>
                      <c:pt idx="6">
                        <c:v>228.78587395401863</c:v>
                      </c:pt>
                      <c:pt idx="7">
                        <c:v>225.0967764548781</c:v>
                      </c:pt>
                      <c:pt idx="8">
                        <c:v>221.40767895571184</c:v>
                      </c:pt>
                      <c:pt idx="9">
                        <c:v>217.71858145657131</c:v>
                      </c:pt>
                      <c:pt idx="10">
                        <c:v>214.02948395740503</c:v>
                      </c:pt>
                      <c:pt idx="11">
                        <c:v>210.34038645823875</c:v>
                      </c:pt>
                      <c:pt idx="12">
                        <c:v>206.65128895909825</c:v>
                      </c:pt>
                      <c:pt idx="13">
                        <c:v>202.962191459932</c:v>
                      </c:pt>
                      <c:pt idx="14">
                        <c:v>199.27309396077857</c:v>
                      </c:pt>
                      <c:pt idx="15">
                        <c:v>195.58399646163809</c:v>
                      </c:pt>
                      <c:pt idx="16">
                        <c:v>191.89489896245894</c:v>
                      </c:pt>
                      <c:pt idx="17">
                        <c:v>188.20580146330553</c:v>
                      </c:pt>
                      <c:pt idx="18">
                        <c:v>184.51670396415216</c:v>
                      </c:pt>
                      <c:pt idx="19">
                        <c:v>180.82760646498585</c:v>
                      </c:pt>
                      <c:pt idx="20">
                        <c:v>177.13850896583247</c:v>
                      </c:pt>
                      <c:pt idx="21">
                        <c:v>173.44941146669197</c:v>
                      </c:pt>
                      <c:pt idx="22">
                        <c:v>169.76031396752572</c:v>
                      </c:pt>
                      <c:pt idx="23">
                        <c:v>166.07121646837234</c:v>
                      </c:pt>
                      <c:pt idx="24">
                        <c:v>162.38211896920603</c:v>
                      </c:pt>
                      <c:pt idx="25">
                        <c:v>158.69302147006553</c:v>
                      </c:pt>
                      <c:pt idx="26">
                        <c:v>155.00392397089925</c:v>
                      </c:pt>
                      <c:pt idx="27">
                        <c:v>151.314826471733</c:v>
                      </c:pt>
                      <c:pt idx="28">
                        <c:v>147.62572897259247</c:v>
                      </c:pt>
                      <c:pt idx="29">
                        <c:v>143.93663147341331</c:v>
                      </c:pt>
                      <c:pt idx="30">
                        <c:v>140.24753397429853</c:v>
                      </c:pt>
                      <c:pt idx="31">
                        <c:v>136.55843647511941</c:v>
                      </c:pt>
                      <c:pt idx="32">
                        <c:v>132.86933897597891</c:v>
                      </c:pt>
                      <c:pt idx="33">
                        <c:v>129.18024147681263</c:v>
                      </c:pt>
                      <c:pt idx="34">
                        <c:v>125.49114397764636</c:v>
                      </c:pt>
                      <c:pt idx="35">
                        <c:v>121.80204647849295</c:v>
                      </c:pt>
                      <c:pt idx="36">
                        <c:v>118.11294897933958</c:v>
                      </c:pt>
                      <c:pt idx="37">
                        <c:v>114.42385148018617</c:v>
                      </c:pt>
                      <c:pt idx="38">
                        <c:v>110.73475398101989</c:v>
                      </c:pt>
                      <c:pt idx="39">
                        <c:v>107.04565648187939</c:v>
                      </c:pt>
                      <c:pt idx="40">
                        <c:v>103.35655898272599</c:v>
                      </c:pt>
                      <c:pt idx="41">
                        <c:v>99.667461483559734</c:v>
                      </c:pt>
                      <c:pt idx="42">
                        <c:v>95.978363984406329</c:v>
                      </c:pt>
                      <c:pt idx="43">
                        <c:v>92.289266485252938</c:v>
                      </c:pt>
                      <c:pt idx="44">
                        <c:v>88.600168986073811</c:v>
                      </c:pt>
                      <c:pt idx="45">
                        <c:v>84.911071486933267</c:v>
                      </c:pt>
                      <c:pt idx="46">
                        <c:v>81.221973987767015</c:v>
                      </c:pt>
                      <c:pt idx="47">
                        <c:v>77.532876488613624</c:v>
                      </c:pt>
                      <c:pt idx="48">
                        <c:v>73.843778989460219</c:v>
                      </c:pt>
                      <c:pt idx="49">
                        <c:v>70.154681490306828</c:v>
                      </c:pt>
                      <c:pt idx="50">
                        <c:v>66.465583991166312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10B-40E1-A458-CF55F8F74358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グラフ!$AG$5</c15:sqref>
                        </c15:formulaRef>
                      </c:ext>
                    </c:extLst>
                    <c:strCache>
                      <c:ptCount val="1"/>
                      <c:pt idx="0">
                        <c:v>inner応力:Δ+10℃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グラフ!$AG$6:$AG$56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233.83913164938087</c:v>
                      </c:pt>
                      <c:pt idx="1">
                        <c:v>230.15003415021457</c:v>
                      </c:pt>
                      <c:pt idx="2">
                        <c:v>226.46093665106119</c:v>
                      </c:pt>
                      <c:pt idx="3">
                        <c:v>222.77183915189491</c:v>
                      </c:pt>
                      <c:pt idx="4">
                        <c:v>219.08274165272869</c:v>
                      </c:pt>
                      <c:pt idx="5">
                        <c:v>215.39364415358813</c:v>
                      </c:pt>
                      <c:pt idx="6">
                        <c:v>211.70454665442185</c:v>
                      </c:pt>
                      <c:pt idx="7">
                        <c:v>208.01544915526847</c:v>
                      </c:pt>
                      <c:pt idx="8">
                        <c:v>204.32635165611509</c:v>
                      </c:pt>
                      <c:pt idx="9">
                        <c:v>200.63725415696172</c:v>
                      </c:pt>
                      <c:pt idx="10">
                        <c:v>196.94815665780831</c:v>
                      </c:pt>
                      <c:pt idx="11">
                        <c:v>193.259059158642</c:v>
                      </c:pt>
                      <c:pt idx="12">
                        <c:v>189.56996165948863</c:v>
                      </c:pt>
                      <c:pt idx="13">
                        <c:v>185.88086416033525</c:v>
                      </c:pt>
                      <c:pt idx="14">
                        <c:v>182.191766661169</c:v>
                      </c:pt>
                      <c:pt idx="15">
                        <c:v>178.5026691620285</c:v>
                      </c:pt>
                      <c:pt idx="16">
                        <c:v>174.81357166286216</c:v>
                      </c:pt>
                      <c:pt idx="17">
                        <c:v>171.12447416369591</c:v>
                      </c:pt>
                      <c:pt idx="18">
                        <c:v>167.43537666455541</c:v>
                      </c:pt>
                      <c:pt idx="19">
                        <c:v>163.74627916540203</c:v>
                      </c:pt>
                      <c:pt idx="20">
                        <c:v>160.05718166623575</c:v>
                      </c:pt>
                      <c:pt idx="21">
                        <c:v>156.36808416708234</c:v>
                      </c:pt>
                      <c:pt idx="22">
                        <c:v>152.67898666791606</c:v>
                      </c:pt>
                      <c:pt idx="23">
                        <c:v>148.98988916877556</c:v>
                      </c:pt>
                      <c:pt idx="24">
                        <c:v>145.30079166959641</c:v>
                      </c:pt>
                      <c:pt idx="25">
                        <c:v>141.61169417045588</c:v>
                      </c:pt>
                      <c:pt idx="26">
                        <c:v>137.9225966713025</c:v>
                      </c:pt>
                      <c:pt idx="27">
                        <c:v>134.23349917212335</c:v>
                      </c:pt>
                      <c:pt idx="28">
                        <c:v>130.54440167300859</c:v>
                      </c:pt>
                      <c:pt idx="29">
                        <c:v>126.85530417382945</c:v>
                      </c:pt>
                      <c:pt idx="30">
                        <c:v>123.16620667468892</c:v>
                      </c:pt>
                      <c:pt idx="31">
                        <c:v>119.47710917552267</c:v>
                      </c:pt>
                      <c:pt idx="32">
                        <c:v>115.78801167636925</c:v>
                      </c:pt>
                      <c:pt idx="33">
                        <c:v>112.09891417720301</c:v>
                      </c:pt>
                      <c:pt idx="34">
                        <c:v>108.40981667804962</c:v>
                      </c:pt>
                      <c:pt idx="35">
                        <c:v>104.72071917888334</c:v>
                      </c:pt>
                      <c:pt idx="36">
                        <c:v>101.03162167972997</c:v>
                      </c:pt>
                      <c:pt idx="37">
                        <c:v>97.342524180589436</c:v>
                      </c:pt>
                      <c:pt idx="38">
                        <c:v>93.653426681436031</c:v>
                      </c:pt>
                      <c:pt idx="39">
                        <c:v>89.96432918228264</c:v>
                      </c:pt>
                      <c:pt idx="40">
                        <c:v>86.275231683116374</c:v>
                      </c:pt>
                      <c:pt idx="41">
                        <c:v>82.586134183962983</c:v>
                      </c:pt>
                      <c:pt idx="42">
                        <c:v>78.897036684796717</c:v>
                      </c:pt>
                      <c:pt idx="43">
                        <c:v>75.207939185643312</c:v>
                      </c:pt>
                      <c:pt idx="44">
                        <c:v>71.518841686477046</c:v>
                      </c:pt>
                      <c:pt idx="45">
                        <c:v>67.829744187323655</c:v>
                      </c:pt>
                      <c:pt idx="46">
                        <c:v>64.140646688157389</c:v>
                      </c:pt>
                      <c:pt idx="47">
                        <c:v>60.45154918901688</c:v>
                      </c:pt>
                      <c:pt idx="48">
                        <c:v>56.762451689876357</c:v>
                      </c:pt>
                      <c:pt idx="49">
                        <c:v>53.073354190710091</c:v>
                      </c:pt>
                      <c:pt idx="50">
                        <c:v>49.384256691556686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10B-40E1-A458-CF55F8F74358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グラフ!$AH$5</c15:sqref>
                        </c15:formulaRef>
                      </c:ext>
                    </c:extLst>
                    <c:strCache>
                      <c:ptCount val="1"/>
                      <c:pt idx="0">
                        <c:v>inner応力:Δ+20℃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グラフ!$AH$6:$AH$56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216.75780434977125</c:v>
                      </c:pt>
                      <c:pt idx="1">
                        <c:v>213.06870685061787</c:v>
                      </c:pt>
                      <c:pt idx="2">
                        <c:v>209.37960935145156</c:v>
                      </c:pt>
                      <c:pt idx="3">
                        <c:v>205.69051185229819</c:v>
                      </c:pt>
                      <c:pt idx="4">
                        <c:v>202.00141435313188</c:v>
                      </c:pt>
                      <c:pt idx="5">
                        <c:v>198.3123168539785</c:v>
                      </c:pt>
                      <c:pt idx="6">
                        <c:v>194.62321935482512</c:v>
                      </c:pt>
                      <c:pt idx="7">
                        <c:v>190.93412185565887</c:v>
                      </c:pt>
                      <c:pt idx="8">
                        <c:v>187.24502435651834</c:v>
                      </c:pt>
                      <c:pt idx="9">
                        <c:v>183.55592685736494</c:v>
                      </c:pt>
                      <c:pt idx="10">
                        <c:v>179.86682935819866</c:v>
                      </c:pt>
                      <c:pt idx="11">
                        <c:v>176.17773185904528</c:v>
                      </c:pt>
                      <c:pt idx="12">
                        <c:v>172.48863435987903</c:v>
                      </c:pt>
                      <c:pt idx="13">
                        <c:v>168.79953686072562</c:v>
                      </c:pt>
                      <c:pt idx="14">
                        <c:v>165.11043936157225</c:v>
                      </c:pt>
                      <c:pt idx="15">
                        <c:v>161.42134186241881</c:v>
                      </c:pt>
                      <c:pt idx="16">
                        <c:v>157.73224436326544</c:v>
                      </c:pt>
                      <c:pt idx="17">
                        <c:v>154.04314686411203</c:v>
                      </c:pt>
                      <c:pt idx="18">
                        <c:v>150.35404936495866</c:v>
                      </c:pt>
                      <c:pt idx="19">
                        <c:v>146.6649518657924</c:v>
                      </c:pt>
                      <c:pt idx="20">
                        <c:v>142.97585436662612</c:v>
                      </c:pt>
                      <c:pt idx="21">
                        <c:v>139.28675686748559</c:v>
                      </c:pt>
                      <c:pt idx="22">
                        <c:v>135.59765936830644</c:v>
                      </c:pt>
                      <c:pt idx="23">
                        <c:v>131.90856186916594</c:v>
                      </c:pt>
                      <c:pt idx="24">
                        <c:v>128.21946436999968</c:v>
                      </c:pt>
                      <c:pt idx="25">
                        <c:v>124.53036687084629</c:v>
                      </c:pt>
                      <c:pt idx="26">
                        <c:v>120.84126937171864</c:v>
                      </c:pt>
                      <c:pt idx="27">
                        <c:v>117.15217187253948</c:v>
                      </c:pt>
                      <c:pt idx="28">
                        <c:v>113.46307437339897</c:v>
                      </c:pt>
                      <c:pt idx="29">
                        <c:v>109.77397687423272</c:v>
                      </c:pt>
                      <c:pt idx="30">
                        <c:v>106.0848793750793</c:v>
                      </c:pt>
                      <c:pt idx="31">
                        <c:v>102.39578187591306</c:v>
                      </c:pt>
                      <c:pt idx="32">
                        <c:v>98.706684376772529</c:v>
                      </c:pt>
                      <c:pt idx="33">
                        <c:v>95.017586877593388</c:v>
                      </c:pt>
                      <c:pt idx="34">
                        <c:v>91.328489378439983</c:v>
                      </c:pt>
                      <c:pt idx="35">
                        <c:v>87.639391879286606</c:v>
                      </c:pt>
                      <c:pt idx="36">
                        <c:v>83.950294380146076</c:v>
                      </c:pt>
                      <c:pt idx="37">
                        <c:v>80.261196880992685</c:v>
                      </c:pt>
                      <c:pt idx="38">
                        <c:v>76.572099381826419</c:v>
                      </c:pt>
                      <c:pt idx="39">
                        <c:v>72.883001882685889</c:v>
                      </c:pt>
                      <c:pt idx="40">
                        <c:v>69.193904383506762</c:v>
                      </c:pt>
                      <c:pt idx="41">
                        <c:v>65.504806884353357</c:v>
                      </c:pt>
                      <c:pt idx="42">
                        <c:v>61.815709385199966</c:v>
                      </c:pt>
                      <c:pt idx="43">
                        <c:v>58.126611886033707</c:v>
                      </c:pt>
                      <c:pt idx="44">
                        <c:v>54.437514386867434</c:v>
                      </c:pt>
                      <c:pt idx="45">
                        <c:v>50.748416887726911</c:v>
                      </c:pt>
                      <c:pt idx="46">
                        <c:v>47.05931938857352</c:v>
                      </c:pt>
                      <c:pt idx="47">
                        <c:v>43.370221889420122</c:v>
                      </c:pt>
                      <c:pt idx="48">
                        <c:v>39.681124390266724</c:v>
                      </c:pt>
                      <c:pt idx="49">
                        <c:v>35.992026891113333</c:v>
                      </c:pt>
                      <c:pt idx="50">
                        <c:v>32.302929391947075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0B-40E1-A458-CF55F8F74358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グラフ!$AI$5</c15:sqref>
                        </c15:formulaRef>
                      </c:ext>
                    </c:extLst>
                    <c:strCache>
                      <c:ptCount val="1"/>
                      <c:pt idx="0">
                        <c:v>inner応力:Δ+30℃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グラフ!$AI$6:$AI$56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199.67647705016159</c:v>
                      </c:pt>
                      <c:pt idx="1">
                        <c:v>195.98737955102106</c:v>
                      </c:pt>
                      <c:pt idx="2">
                        <c:v>192.29828205185481</c:v>
                      </c:pt>
                      <c:pt idx="3">
                        <c:v>188.60918455268856</c:v>
                      </c:pt>
                      <c:pt idx="4">
                        <c:v>184.92008705353518</c:v>
                      </c:pt>
                      <c:pt idx="5">
                        <c:v>181.23098955436893</c:v>
                      </c:pt>
                      <c:pt idx="6">
                        <c:v>177.54189205522837</c:v>
                      </c:pt>
                      <c:pt idx="7">
                        <c:v>173.85279455606209</c:v>
                      </c:pt>
                      <c:pt idx="8">
                        <c:v>170.16369705690872</c:v>
                      </c:pt>
                      <c:pt idx="9">
                        <c:v>166.47459955776822</c:v>
                      </c:pt>
                      <c:pt idx="10">
                        <c:v>162.78550205858906</c:v>
                      </c:pt>
                      <c:pt idx="11">
                        <c:v>159.09640455943568</c:v>
                      </c:pt>
                      <c:pt idx="12">
                        <c:v>155.40730706028228</c:v>
                      </c:pt>
                      <c:pt idx="13">
                        <c:v>151.718209561116</c:v>
                      </c:pt>
                      <c:pt idx="14">
                        <c:v>148.02911206197547</c:v>
                      </c:pt>
                      <c:pt idx="15">
                        <c:v>144.34001456283497</c:v>
                      </c:pt>
                      <c:pt idx="16">
                        <c:v>140.65091706366871</c:v>
                      </c:pt>
                      <c:pt idx="17">
                        <c:v>136.96181956450243</c:v>
                      </c:pt>
                      <c:pt idx="18">
                        <c:v>133.27272206534903</c:v>
                      </c:pt>
                      <c:pt idx="19">
                        <c:v>129.58362456619562</c:v>
                      </c:pt>
                      <c:pt idx="20">
                        <c:v>125.89452706701651</c:v>
                      </c:pt>
                      <c:pt idx="21">
                        <c:v>122.20542956787598</c:v>
                      </c:pt>
                      <c:pt idx="22">
                        <c:v>118.51633206870972</c:v>
                      </c:pt>
                      <c:pt idx="23">
                        <c:v>114.82723456955634</c:v>
                      </c:pt>
                      <c:pt idx="24">
                        <c:v>111.13813707041581</c:v>
                      </c:pt>
                      <c:pt idx="25">
                        <c:v>107.44903957126239</c:v>
                      </c:pt>
                      <c:pt idx="26">
                        <c:v>103.75994207210901</c:v>
                      </c:pt>
                      <c:pt idx="27">
                        <c:v>100.07084457294276</c:v>
                      </c:pt>
                      <c:pt idx="28">
                        <c:v>96.381747073789342</c:v>
                      </c:pt>
                      <c:pt idx="29">
                        <c:v>92.692649574623076</c:v>
                      </c:pt>
                      <c:pt idx="30">
                        <c:v>89.003552075482574</c:v>
                      </c:pt>
                      <c:pt idx="31">
                        <c:v>85.314454576303405</c:v>
                      </c:pt>
                      <c:pt idx="32">
                        <c:v>81.625357077162889</c:v>
                      </c:pt>
                      <c:pt idx="33">
                        <c:v>77.936259577996637</c:v>
                      </c:pt>
                      <c:pt idx="34">
                        <c:v>74.247162078856107</c:v>
                      </c:pt>
                      <c:pt idx="35">
                        <c:v>70.558064579689855</c:v>
                      </c:pt>
                      <c:pt idx="36">
                        <c:v>66.86896708053645</c:v>
                      </c:pt>
                      <c:pt idx="37">
                        <c:v>63.179869581395934</c:v>
                      </c:pt>
                      <c:pt idx="38">
                        <c:v>59.490772082216793</c:v>
                      </c:pt>
                      <c:pt idx="39">
                        <c:v>55.801674583076277</c:v>
                      </c:pt>
                      <c:pt idx="40">
                        <c:v>52.112577083910011</c:v>
                      </c:pt>
                      <c:pt idx="41">
                        <c:v>48.423479584743752</c:v>
                      </c:pt>
                      <c:pt idx="42">
                        <c:v>44.734382085590347</c:v>
                      </c:pt>
                      <c:pt idx="43">
                        <c:v>41.045284586436956</c:v>
                      </c:pt>
                      <c:pt idx="44">
                        <c:v>37.356187087283558</c:v>
                      </c:pt>
                      <c:pt idx="45">
                        <c:v>33.667089588130167</c:v>
                      </c:pt>
                      <c:pt idx="46">
                        <c:v>29.977992088963902</c:v>
                      </c:pt>
                      <c:pt idx="47">
                        <c:v>26.288894589823379</c:v>
                      </c:pt>
                      <c:pt idx="48">
                        <c:v>22.599797090657116</c:v>
                      </c:pt>
                      <c:pt idx="49">
                        <c:v>18.910699591503718</c:v>
                      </c:pt>
                      <c:pt idx="50">
                        <c:v>15.221602092350325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0B-40E1-A458-CF55F8F74358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グラフ!$AK$5</c15:sqref>
                        </c15:formulaRef>
                      </c:ext>
                    </c:extLst>
                    <c:strCache>
                      <c:ptCount val="1"/>
                      <c:pt idx="0">
                        <c:v>outer応力:Δ-30℃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グラフ!$AK$6:$AK$56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115.81143244473274</c:v>
                      </c:pt>
                      <c:pt idx="1">
                        <c:v>114.39750145865105</c:v>
                      </c:pt>
                      <c:pt idx="2">
                        <c:v>112.98357047257429</c:v>
                      </c:pt>
                      <c:pt idx="3">
                        <c:v>111.56963948649752</c:v>
                      </c:pt>
                      <c:pt idx="4">
                        <c:v>110.15570850041583</c:v>
                      </c:pt>
                      <c:pt idx="5">
                        <c:v>108.74177751433908</c:v>
                      </c:pt>
                      <c:pt idx="6">
                        <c:v>107.3278465282623</c:v>
                      </c:pt>
                      <c:pt idx="7">
                        <c:v>105.91391554218062</c:v>
                      </c:pt>
                      <c:pt idx="8">
                        <c:v>104.4999845561088</c:v>
                      </c:pt>
                      <c:pt idx="9">
                        <c:v>103.08605357003202</c:v>
                      </c:pt>
                      <c:pt idx="10">
                        <c:v>101.67212258395033</c:v>
                      </c:pt>
                      <c:pt idx="11">
                        <c:v>100.25819159787356</c:v>
                      </c:pt>
                      <c:pt idx="12">
                        <c:v>98.844260611791881</c:v>
                      </c:pt>
                      <c:pt idx="13">
                        <c:v>97.430329625720063</c:v>
                      </c:pt>
                      <c:pt idx="14">
                        <c:v>96.016398639638354</c:v>
                      </c:pt>
                      <c:pt idx="15">
                        <c:v>94.602467653566535</c:v>
                      </c:pt>
                      <c:pt idx="16">
                        <c:v>93.188536667484826</c:v>
                      </c:pt>
                      <c:pt idx="17">
                        <c:v>91.774605681403131</c:v>
                      </c:pt>
                      <c:pt idx="18">
                        <c:v>90.360674695331312</c:v>
                      </c:pt>
                      <c:pt idx="19">
                        <c:v>88.946743709249617</c:v>
                      </c:pt>
                      <c:pt idx="20">
                        <c:v>87.532812723167922</c:v>
                      </c:pt>
                      <c:pt idx="21">
                        <c:v>86.118881737096103</c:v>
                      </c:pt>
                      <c:pt idx="22">
                        <c:v>84.704950751009449</c:v>
                      </c:pt>
                      <c:pt idx="23">
                        <c:v>83.29101976493763</c:v>
                      </c:pt>
                      <c:pt idx="24">
                        <c:v>81.877088778855935</c:v>
                      </c:pt>
                      <c:pt idx="25">
                        <c:v>80.463157792779185</c:v>
                      </c:pt>
                      <c:pt idx="26">
                        <c:v>79.049226806707367</c:v>
                      </c:pt>
                      <c:pt idx="27">
                        <c:v>77.635295820625657</c:v>
                      </c:pt>
                      <c:pt idx="28">
                        <c:v>76.221364834553839</c:v>
                      </c:pt>
                      <c:pt idx="29">
                        <c:v>74.807433848467184</c:v>
                      </c:pt>
                      <c:pt idx="30">
                        <c:v>73.39350286239538</c:v>
                      </c:pt>
                      <c:pt idx="31">
                        <c:v>71.979571876313685</c:v>
                      </c:pt>
                      <c:pt idx="32">
                        <c:v>70.565640890236921</c:v>
                      </c:pt>
                      <c:pt idx="33">
                        <c:v>69.151709904155226</c:v>
                      </c:pt>
                      <c:pt idx="34">
                        <c:v>67.737778918078462</c:v>
                      </c:pt>
                      <c:pt idx="35">
                        <c:v>66.323847931996752</c:v>
                      </c:pt>
                      <c:pt idx="36">
                        <c:v>64.909916945929865</c:v>
                      </c:pt>
                      <c:pt idx="37">
                        <c:v>63.495985959853101</c:v>
                      </c:pt>
                      <c:pt idx="38">
                        <c:v>62.082054973771413</c:v>
                      </c:pt>
                      <c:pt idx="39">
                        <c:v>60.668123987699595</c:v>
                      </c:pt>
                      <c:pt idx="40">
                        <c:v>59.254193001612954</c:v>
                      </c:pt>
                      <c:pt idx="41">
                        <c:v>57.840262015536197</c:v>
                      </c:pt>
                      <c:pt idx="42">
                        <c:v>56.42633102945944</c:v>
                      </c:pt>
                      <c:pt idx="43">
                        <c:v>55.012400043377738</c:v>
                      </c:pt>
                      <c:pt idx="44">
                        <c:v>53.59846905729605</c:v>
                      </c:pt>
                      <c:pt idx="45">
                        <c:v>52.184538071224225</c:v>
                      </c:pt>
                      <c:pt idx="46">
                        <c:v>50.770607085147446</c:v>
                      </c:pt>
                      <c:pt idx="47">
                        <c:v>49.356676099070697</c:v>
                      </c:pt>
                      <c:pt idx="48">
                        <c:v>47.94274511299394</c:v>
                      </c:pt>
                      <c:pt idx="49">
                        <c:v>46.528814126917176</c:v>
                      </c:pt>
                      <c:pt idx="50">
                        <c:v>45.114883140835474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10B-40E1-A458-CF55F8F74358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グラフ!$AL$5</c15:sqref>
                        </c15:formulaRef>
                      </c:ext>
                    </c:extLst>
                    <c:strCache>
                      <c:ptCount val="1"/>
                      <c:pt idx="0">
                        <c:v>outer応力:Δ-20℃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グラフ!$AL$6:$AL$56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109.26462310782054</c:v>
                      </c:pt>
                      <c:pt idx="1">
                        <c:v>107.85069212174872</c:v>
                      </c:pt>
                      <c:pt idx="2">
                        <c:v>106.436761135667</c:v>
                      </c:pt>
                      <c:pt idx="3">
                        <c:v>105.02283014958532</c:v>
                      </c:pt>
                      <c:pt idx="4">
                        <c:v>103.60889916350857</c:v>
                      </c:pt>
                      <c:pt idx="5">
                        <c:v>102.19496817742686</c:v>
                      </c:pt>
                      <c:pt idx="6">
                        <c:v>100.78103719135504</c:v>
                      </c:pt>
                      <c:pt idx="7">
                        <c:v>99.367106205273345</c:v>
                      </c:pt>
                      <c:pt idx="8">
                        <c:v>97.953175219196567</c:v>
                      </c:pt>
                      <c:pt idx="9">
                        <c:v>96.539244233124748</c:v>
                      </c:pt>
                      <c:pt idx="10">
                        <c:v>95.125313247038136</c:v>
                      </c:pt>
                      <c:pt idx="11">
                        <c:v>93.711382260966289</c:v>
                      </c:pt>
                      <c:pt idx="12">
                        <c:v>92.297451274884608</c:v>
                      </c:pt>
                      <c:pt idx="13">
                        <c:v>90.883520288807844</c:v>
                      </c:pt>
                      <c:pt idx="14">
                        <c:v>89.469589302731066</c:v>
                      </c:pt>
                      <c:pt idx="15">
                        <c:v>88.055658316654302</c:v>
                      </c:pt>
                      <c:pt idx="16">
                        <c:v>86.641727330577552</c:v>
                      </c:pt>
                      <c:pt idx="17">
                        <c:v>85.227796344495857</c:v>
                      </c:pt>
                      <c:pt idx="18">
                        <c:v>83.813865358419093</c:v>
                      </c:pt>
                      <c:pt idx="19">
                        <c:v>82.399934372342344</c:v>
                      </c:pt>
                      <c:pt idx="20">
                        <c:v>80.986003386255717</c:v>
                      </c:pt>
                      <c:pt idx="21">
                        <c:v>79.57207240018387</c:v>
                      </c:pt>
                      <c:pt idx="22">
                        <c:v>78.158141414102175</c:v>
                      </c:pt>
                      <c:pt idx="23">
                        <c:v>76.744210428025411</c:v>
                      </c:pt>
                      <c:pt idx="24">
                        <c:v>75.330279441948662</c:v>
                      </c:pt>
                      <c:pt idx="25">
                        <c:v>73.916348455876843</c:v>
                      </c:pt>
                      <c:pt idx="26">
                        <c:v>72.502417469800065</c:v>
                      </c:pt>
                      <c:pt idx="27">
                        <c:v>71.088486483713439</c:v>
                      </c:pt>
                      <c:pt idx="28">
                        <c:v>69.67455549764162</c:v>
                      </c:pt>
                      <c:pt idx="29">
                        <c:v>68.260624511559925</c:v>
                      </c:pt>
                      <c:pt idx="30">
                        <c:v>66.846693525483175</c:v>
                      </c:pt>
                      <c:pt idx="31">
                        <c:v>65.432762539401466</c:v>
                      </c:pt>
                      <c:pt idx="32">
                        <c:v>64.018831553329633</c:v>
                      </c:pt>
                      <c:pt idx="33">
                        <c:v>62.604900567243007</c:v>
                      </c:pt>
                      <c:pt idx="34">
                        <c:v>61.190969581176105</c:v>
                      </c:pt>
                      <c:pt idx="35">
                        <c:v>59.777038595094417</c:v>
                      </c:pt>
                      <c:pt idx="36">
                        <c:v>58.363107609017661</c:v>
                      </c:pt>
                      <c:pt idx="37">
                        <c:v>56.949176622945828</c:v>
                      </c:pt>
                      <c:pt idx="38">
                        <c:v>55.535245636859202</c:v>
                      </c:pt>
                      <c:pt idx="39">
                        <c:v>54.121314650787376</c:v>
                      </c:pt>
                      <c:pt idx="40">
                        <c:v>52.707383664705681</c:v>
                      </c:pt>
                      <c:pt idx="41">
                        <c:v>51.293452678623986</c:v>
                      </c:pt>
                      <c:pt idx="42">
                        <c:v>49.879521692547222</c:v>
                      </c:pt>
                      <c:pt idx="43">
                        <c:v>48.465590706470465</c:v>
                      </c:pt>
                      <c:pt idx="44">
                        <c:v>47.051659720393701</c:v>
                      </c:pt>
                      <c:pt idx="45">
                        <c:v>45.637728734316937</c:v>
                      </c:pt>
                      <c:pt idx="46">
                        <c:v>44.223797748235249</c:v>
                      </c:pt>
                      <c:pt idx="47">
                        <c:v>42.809866762163423</c:v>
                      </c:pt>
                      <c:pt idx="48">
                        <c:v>41.395935776081721</c:v>
                      </c:pt>
                      <c:pt idx="49">
                        <c:v>39.982004790004957</c:v>
                      </c:pt>
                      <c:pt idx="50">
                        <c:v>38.568073803928201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10B-40E1-A458-CF55F8F74358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グラフ!$AM$5</c15:sqref>
                        </c15:formulaRef>
                      </c:ext>
                    </c:extLst>
                    <c:strCache>
                      <c:ptCount val="1"/>
                      <c:pt idx="0">
                        <c:v>outer応力:Δ-10℃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グラフ!$AM$6:$AM$56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102.71781377091325</c:v>
                      </c:pt>
                      <c:pt idx="1">
                        <c:v>101.30388278483649</c:v>
                      </c:pt>
                      <c:pt idx="2">
                        <c:v>99.889951798759725</c:v>
                      </c:pt>
                      <c:pt idx="3">
                        <c:v>98.476020812673113</c:v>
                      </c:pt>
                      <c:pt idx="4">
                        <c:v>97.06208982660128</c:v>
                      </c:pt>
                      <c:pt idx="5">
                        <c:v>95.648158840519599</c:v>
                      </c:pt>
                      <c:pt idx="6">
                        <c:v>94.234227854442821</c:v>
                      </c:pt>
                      <c:pt idx="7">
                        <c:v>92.820296868366057</c:v>
                      </c:pt>
                      <c:pt idx="8">
                        <c:v>91.406365882284376</c:v>
                      </c:pt>
                      <c:pt idx="9">
                        <c:v>89.992434896217475</c:v>
                      </c:pt>
                      <c:pt idx="10">
                        <c:v>88.578503910130848</c:v>
                      </c:pt>
                      <c:pt idx="11">
                        <c:v>87.164572924054085</c:v>
                      </c:pt>
                      <c:pt idx="12">
                        <c:v>85.750641937977321</c:v>
                      </c:pt>
                      <c:pt idx="13">
                        <c:v>84.336710951895625</c:v>
                      </c:pt>
                      <c:pt idx="14">
                        <c:v>82.922779965823793</c:v>
                      </c:pt>
                      <c:pt idx="15">
                        <c:v>81.508848979747043</c:v>
                      </c:pt>
                      <c:pt idx="16">
                        <c:v>80.094917993665348</c:v>
                      </c:pt>
                      <c:pt idx="17">
                        <c:v>78.680987007588584</c:v>
                      </c:pt>
                      <c:pt idx="18">
                        <c:v>77.267056021506889</c:v>
                      </c:pt>
                      <c:pt idx="19">
                        <c:v>75.853125035430111</c:v>
                      </c:pt>
                      <c:pt idx="20">
                        <c:v>74.439194049348416</c:v>
                      </c:pt>
                      <c:pt idx="21">
                        <c:v>73.025263063271666</c:v>
                      </c:pt>
                      <c:pt idx="22">
                        <c:v>71.611332077194902</c:v>
                      </c:pt>
                      <c:pt idx="23">
                        <c:v>70.197401091123083</c:v>
                      </c:pt>
                      <c:pt idx="24">
                        <c:v>68.783470105041388</c:v>
                      </c:pt>
                      <c:pt idx="25">
                        <c:v>67.369539118964639</c:v>
                      </c:pt>
                      <c:pt idx="26">
                        <c:v>65.955608132887861</c:v>
                      </c:pt>
                      <c:pt idx="27">
                        <c:v>64.541677146806165</c:v>
                      </c:pt>
                      <c:pt idx="28">
                        <c:v>63.127746160729409</c:v>
                      </c:pt>
                      <c:pt idx="29">
                        <c:v>61.713815174647721</c:v>
                      </c:pt>
                      <c:pt idx="30">
                        <c:v>60.299884188575888</c:v>
                      </c:pt>
                      <c:pt idx="31">
                        <c:v>58.885953202489254</c:v>
                      </c:pt>
                      <c:pt idx="32">
                        <c:v>57.472022216427291</c:v>
                      </c:pt>
                      <c:pt idx="33">
                        <c:v>56.058091230340672</c:v>
                      </c:pt>
                      <c:pt idx="34">
                        <c:v>54.644160244263901</c:v>
                      </c:pt>
                      <c:pt idx="35">
                        <c:v>53.230229258187144</c:v>
                      </c:pt>
                      <c:pt idx="36">
                        <c:v>51.816298272105449</c:v>
                      </c:pt>
                      <c:pt idx="37">
                        <c:v>50.402367286033609</c:v>
                      </c:pt>
                      <c:pt idx="38">
                        <c:v>48.988436299951928</c:v>
                      </c:pt>
                      <c:pt idx="39">
                        <c:v>47.574505313875164</c:v>
                      </c:pt>
                      <c:pt idx="40">
                        <c:v>46.160574327793462</c:v>
                      </c:pt>
                      <c:pt idx="41">
                        <c:v>44.746643341716712</c:v>
                      </c:pt>
                      <c:pt idx="42">
                        <c:v>43.33271235564488</c:v>
                      </c:pt>
                      <c:pt idx="43">
                        <c:v>41.918781369563185</c:v>
                      </c:pt>
                      <c:pt idx="44">
                        <c:v>40.504850383481489</c:v>
                      </c:pt>
                      <c:pt idx="45">
                        <c:v>39.090919397409664</c:v>
                      </c:pt>
                      <c:pt idx="46">
                        <c:v>37.67698841132303</c:v>
                      </c:pt>
                      <c:pt idx="47">
                        <c:v>36.263057425251205</c:v>
                      </c:pt>
                      <c:pt idx="48">
                        <c:v>34.849126439174448</c:v>
                      </c:pt>
                      <c:pt idx="49">
                        <c:v>33.435195453092746</c:v>
                      </c:pt>
                      <c:pt idx="50">
                        <c:v>32.021264467015982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10B-40E1-A458-CF55F8F74358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グラフ!$AN$5</c15:sqref>
                        </c15:formulaRef>
                      </c:ext>
                    </c:extLst>
                    <c:strCache>
                      <c:ptCount val="1"/>
                      <c:pt idx="0">
                        <c:v>outer応力:Δ0℃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グラフ!$AN$6:$AN$56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96.171004434005965</c:v>
                      </c:pt>
                      <c:pt idx="1">
                        <c:v>94.757073447924284</c:v>
                      </c:pt>
                      <c:pt idx="2">
                        <c:v>93.343142461852452</c:v>
                      </c:pt>
                      <c:pt idx="3">
                        <c:v>91.92921147576584</c:v>
                      </c:pt>
                      <c:pt idx="4">
                        <c:v>90.515280489689061</c:v>
                      </c:pt>
                      <c:pt idx="5">
                        <c:v>89.101349503612283</c:v>
                      </c:pt>
                      <c:pt idx="6">
                        <c:v>87.687418517530617</c:v>
                      </c:pt>
                      <c:pt idx="7">
                        <c:v>86.273487531458784</c:v>
                      </c:pt>
                      <c:pt idx="8">
                        <c:v>84.859556545377075</c:v>
                      </c:pt>
                      <c:pt idx="9">
                        <c:v>83.44562555930527</c:v>
                      </c:pt>
                      <c:pt idx="10">
                        <c:v>82.031694573223561</c:v>
                      </c:pt>
                      <c:pt idx="11">
                        <c:v>80.617763587141852</c:v>
                      </c:pt>
                      <c:pt idx="12">
                        <c:v>79.203832601070047</c:v>
                      </c:pt>
                      <c:pt idx="13">
                        <c:v>77.789901614988338</c:v>
                      </c:pt>
                      <c:pt idx="14">
                        <c:v>76.375970628911588</c:v>
                      </c:pt>
                      <c:pt idx="15">
                        <c:v>74.962039642839756</c:v>
                      </c:pt>
                      <c:pt idx="16">
                        <c:v>73.548108656753129</c:v>
                      </c:pt>
                      <c:pt idx="17">
                        <c:v>72.134177670676365</c:v>
                      </c:pt>
                      <c:pt idx="18">
                        <c:v>70.720246684599601</c:v>
                      </c:pt>
                      <c:pt idx="19">
                        <c:v>69.306315698517906</c:v>
                      </c:pt>
                      <c:pt idx="20">
                        <c:v>67.892384712441157</c:v>
                      </c:pt>
                      <c:pt idx="21">
                        <c:v>66.478453726369324</c:v>
                      </c:pt>
                      <c:pt idx="22">
                        <c:v>65.064522740287643</c:v>
                      </c:pt>
                      <c:pt idx="23">
                        <c:v>63.650591754210872</c:v>
                      </c:pt>
                      <c:pt idx="24">
                        <c:v>62.236660768129163</c:v>
                      </c:pt>
                      <c:pt idx="25">
                        <c:v>60.822729782057344</c:v>
                      </c:pt>
                      <c:pt idx="26">
                        <c:v>59.408798795975642</c:v>
                      </c:pt>
                      <c:pt idx="27">
                        <c:v>57.994867809893954</c:v>
                      </c:pt>
                      <c:pt idx="28">
                        <c:v>56.580936823822128</c:v>
                      </c:pt>
                      <c:pt idx="29">
                        <c:v>55.167005837735495</c:v>
                      </c:pt>
                      <c:pt idx="30">
                        <c:v>53.753074851673539</c:v>
                      </c:pt>
                      <c:pt idx="31">
                        <c:v>52.339143865586905</c:v>
                      </c:pt>
                      <c:pt idx="32">
                        <c:v>50.92521287951508</c:v>
                      </c:pt>
                      <c:pt idx="33">
                        <c:v>49.511281893433392</c:v>
                      </c:pt>
                      <c:pt idx="34">
                        <c:v>48.097350907351689</c:v>
                      </c:pt>
                      <c:pt idx="35">
                        <c:v>46.683419921274925</c:v>
                      </c:pt>
                      <c:pt idx="36">
                        <c:v>45.269488935198169</c:v>
                      </c:pt>
                      <c:pt idx="37">
                        <c:v>43.855557949121405</c:v>
                      </c:pt>
                      <c:pt idx="38">
                        <c:v>42.44162696303971</c:v>
                      </c:pt>
                      <c:pt idx="39">
                        <c:v>41.027695976967884</c:v>
                      </c:pt>
                      <c:pt idx="40">
                        <c:v>39.61376499089112</c:v>
                      </c:pt>
                      <c:pt idx="41">
                        <c:v>38.199834004809425</c:v>
                      </c:pt>
                      <c:pt idx="42">
                        <c:v>36.785903018732668</c:v>
                      </c:pt>
                      <c:pt idx="43">
                        <c:v>35.371972032655904</c:v>
                      </c:pt>
                      <c:pt idx="44">
                        <c:v>33.958041046569278</c:v>
                      </c:pt>
                      <c:pt idx="45">
                        <c:v>32.544110060497445</c:v>
                      </c:pt>
                      <c:pt idx="46">
                        <c:v>31.13017907441575</c:v>
                      </c:pt>
                      <c:pt idx="47">
                        <c:v>29.716248088338993</c:v>
                      </c:pt>
                      <c:pt idx="48">
                        <c:v>28.302317102262229</c:v>
                      </c:pt>
                      <c:pt idx="49">
                        <c:v>26.888386116185469</c:v>
                      </c:pt>
                      <c:pt idx="50">
                        <c:v>25.47445513011364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10B-40E1-A458-CF55F8F74358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グラフ!$AO$5</c15:sqref>
                        </c15:formulaRef>
                      </c:ext>
                    </c:extLst>
                    <c:strCache>
                      <c:ptCount val="1"/>
                      <c:pt idx="0">
                        <c:v>outer応力:Δ+10℃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グラフ!$AO$6:$AO$56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89.624195097098706</c:v>
                      </c:pt>
                      <c:pt idx="1">
                        <c:v>88.210264111016997</c:v>
                      </c:pt>
                      <c:pt idx="2">
                        <c:v>86.796333124940247</c:v>
                      </c:pt>
                      <c:pt idx="3">
                        <c:v>85.382402138858538</c:v>
                      </c:pt>
                      <c:pt idx="4">
                        <c:v>83.968471152776857</c:v>
                      </c:pt>
                      <c:pt idx="5">
                        <c:v>82.554540166705024</c:v>
                      </c:pt>
                      <c:pt idx="6">
                        <c:v>81.140609180623329</c:v>
                      </c:pt>
                      <c:pt idx="7">
                        <c:v>79.726678194546565</c:v>
                      </c:pt>
                      <c:pt idx="8">
                        <c:v>78.312747208469816</c:v>
                      </c:pt>
                      <c:pt idx="9">
                        <c:v>76.898816222393052</c:v>
                      </c:pt>
                      <c:pt idx="10">
                        <c:v>75.484885236316288</c:v>
                      </c:pt>
                      <c:pt idx="11">
                        <c:v>74.070954250234593</c:v>
                      </c:pt>
                      <c:pt idx="12">
                        <c:v>72.657023264157829</c:v>
                      </c:pt>
                      <c:pt idx="13">
                        <c:v>71.243092278081079</c:v>
                      </c:pt>
                      <c:pt idx="14">
                        <c:v>69.82916129199937</c:v>
                      </c:pt>
                      <c:pt idx="15">
                        <c:v>68.415230305927551</c:v>
                      </c:pt>
                      <c:pt idx="16">
                        <c:v>67.001299319845856</c:v>
                      </c:pt>
                      <c:pt idx="17">
                        <c:v>65.587368333764147</c:v>
                      </c:pt>
                      <c:pt idx="18">
                        <c:v>64.173437347692328</c:v>
                      </c:pt>
                      <c:pt idx="19">
                        <c:v>62.759506361615564</c:v>
                      </c:pt>
                      <c:pt idx="20">
                        <c:v>61.345575375533876</c:v>
                      </c:pt>
                      <c:pt idx="21">
                        <c:v>59.931644389457105</c:v>
                      </c:pt>
                      <c:pt idx="22">
                        <c:v>58.517713403375417</c:v>
                      </c:pt>
                      <c:pt idx="23">
                        <c:v>57.103782417303592</c:v>
                      </c:pt>
                      <c:pt idx="24">
                        <c:v>55.689851431216951</c:v>
                      </c:pt>
                      <c:pt idx="25">
                        <c:v>54.275920445145125</c:v>
                      </c:pt>
                      <c:pt idx="26">
                        <c:v>52.861989459068369</c:v>
                      </c:pt>
                      <c:pt idx="27">
                        <c:v>51.448058472981735</c:v>
                      </c:pt>
                      <c:pt idx="28">
                        <c:v>50.034127486919786</c:v>
                      </c:pt>
                      <c:pt idx="29">
                        <c:v>48.620196500833153</c:v>
                      </c:pt>
                      <c:pt idx="30">
                        <c:v>47.206265514761327</c:v>
                      </c:pt>
                      <c:pt idx="31">
                        <c:v>45.792334528679625</c:v>
                      </c:pt>
                      <c:pt idx="32">
                        <c:v>44.378403542602868</c:v>
                      </c:pt>
                      <c:pt idx="33">
                        <c:v>42.96447255652118</c:v>
                      </c:pt>
                      <c:pt idx="34">
                        <c:v>41.550541570444409</c:v>
                      </c:pt>
                      <c:pt idx="35">
                        <c:v>40.136610584362714</c:v>
                      </c:pt>
                      <c:pt idx="36">
                        <c:v>38.722679598285964</c:v>
                      </c:pt>
                      <c:pt idx="37">
                        <c:v>37.308748612214131</c:v>
                      </c:pt>
                      <c:pt idx="38">
                        <c:v>35.894817626137367</c:v>
                      </c:pt>
                      <c:pt idx="39">
                        <c:v>34.480886640060604</c:v>
                      </c:pt>
                      <c:pt idx="40">
                        <c:v>33.066955653978908</c:v>
                      </c:pt>
                      <c:pt idx="41">
                        <c:v>31.653024667902145</c:v>
                      </c:pt>
                      <c:pt idx="42">
                        <c:v>30.239093681820453</c:v>
                      </c:pt>
                      <c:pt idx="43">
                        <c:v>28.825162695743693</c:v>
                      </c:pt>
                      <c:pt idx="44">
                        <c:v>27.411231709661998</c:v>
                      </c:pt>
                      <c:pt idx="45">
                        <c:v>25.997300723585237</c:v>
                      </c:pt>
                      <c:pt idx="46">
                        <c:v>24.583369737503542</c:v>
                      </c:pt>
                      <c:pt idx="47">
                        <c:v>23.169438751431716</c:v>
                      </c:pt>
                      <c:pt idx="48">
                        <c:v>21.755507765359891</c:v>
                      </c:pt>
                      <c:pt idx="49">
                        <c:v>20.341576779278192</c:v>
                      </c:pt>
                      <c:pt idx="50">
                        <c:v>18.927645793201428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10B-40E1-A458-CF55F8F74358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グラフ!$AP$5</c15:sqref>
                        </c15:formulaRef>
                      </c:ext>
                    </c:extLst>
                    <c:strCache>
                      <c:ptCount val="1"/>
                      <c:pt idx="0">
                        <c:v>outer応力:Δ+20℃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グラフ!$AP$6:$AP$56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83.077385760186488</c:v>
                      </c:pt>
                      <c:pt idx="1">
                        <c:v>81.663454774109738</c:v>
                      </c:pt>
                      <c:pt idx="2">
                        <c:v>80.249523788028029</c:v>
                      </c:pt>
                      <c:pt idx="3">
                        <c:v>78.835592801951265</c:v>
                      </c:pt>
                      <c:pt idx="4">
                        <c:v>77.42166181586957</c:v>
                      </c:pt>
                      <c:pt idx="5">
                        <c:v>76.00773082979282</c:v>
                      </c:pt>
                      <c:pt idx="6">
                        <c:v>74.593799843716056</c:v>
                      </c:pt>
                      <c:pt idx="7">
                        <c:v>73.179868857634361</c:v>
                      </c:pt>
                      <c:pt idx="8">
                        <c:v>71.765937871562528</c:v>
                      </c:pt>
                      <c:pt idx="9">
                        <c:v>70.352006885485764</c:v>
                      </c:pt>
                      <c:pt idx="10">
                        <c:v>68.938075899404083</c:v>
                      </c:pt>
                      <c:pt idx="11">
                        <c:v>67.524144913327305</c:v>
                      </c:pt>
                      <c:pt idx="12">
                        <c:v>66.110213927245624</c:v>
                      </c:pt>
                      <c:pt idx="13">
                        <c:v>64.69628294116886</c:v>
                      </c:pt>
                      <c:pt idx="14">
                        <c:v>63.282351955092103</c:v>
                      </c:pt>
                      <c:pt idx="15">
                        <c:v>61.868420969015339</c:v>
                      </c:pt>
                      <c:pt idx="16">
                        <c:v>60.454489982938568</c:v>
                      </c:pt>
                      <c:pt idx="17">
                        <c:v>59.040558996861805</c:v>
                      </c:pt>
                      <c:pt idx="18">
                        <c:v>57.626628010785055</c:v>
                      </c:pt>
                      <c:pt idx="19">
                        <c:v>56.212697024703353</c:v>
                      </c:pt>
                      <c:pt idx="20">
                        <c:v>54.798766038621658</c:v>
                      </c:pt>
                      <c:pt idx="21">
                        <c:v>53.384835052549832</c:v>
                      </c:pt>
                      <c:pt idx="22">
                        <c:v>51.970904066463198</c:v>
                      </c:pt>
                      <c:pt idx="23">
                        <c:v>50.556973080391373</c:v>
                      </c:pt>
                      <c:pt idx="24">
                        <c:v>49.143042094309678</c:v>
                      </c:pt>
                      <c:pt idx="25">
                        <c:v>47.729111108232921</c:v>
                      </c:pt>
                      <c:pt idx="26">
                        <c:v>46.315180122166026</c:v>
                      </c:pt>
                      <c:pt idx="27">
                        <c:v>44.9012491360794</c:v>
                      </c:pt>
                      <c:pt idx="28">
                        <c:v>43.487318150007567</c:v>
                      </c:pt>
                      <c:pt idx="29">
                        <c:v>42.073387163925879</c:v>
                      </c:pt>
                      <c:pt idx="30">
                        <c:v>40.659456177849108</c:v>
                      </c:pt>
                      <c:pt idx="31">
                        <c:v>39.24552519176742</c:v>
                      </c:pt>
                      <c:pt idx="32">
                        <c:v>37.831594205695588</c:v>
                      </c:pt>
                      <c:pt idx="33">
                        <c:v>36.417663219608961</c:v>
                      </c:pt>
                      <c:pt idx="34">
                        <c:v>35.003732233532197</c:v>
                      </c:pt>
                      <c:pt idx="35">
                        <c:v>33.589801247455441</c:v>
                      </c:pt>
                      <c:pt idx="36">
                        <c:v>32.175870261383608</c:v>
                      </c:pt>
                      <c:pt idx="37">
                        <c:v>30.761939275306847</c:v>
                      </c:pt>
                      <c:pt idx="38">
                        <c:v>29.348008289225156</c:v>
                      </c:pt>
                      <c:pt idx="39">
                        <c:v>27.934077303153327</c:v>
                      </c:pt>
                      <c:pt idx="40">
                        <c:v>26.5201463170667</c:v>
                      </c:pt>
                      <c:pt idx="41">
                        <c:v>25.106215330989937</c:v>
                      </c:pt>
                      <c:pt idx="42">
                        <c:v>23.692284344913176</c:v>
                      </c:pt>
                      <c:pt idx="43">
                        <c:v>22.278353358831481</c:v>
                      </c:pt>
                      <c:pt idx="44">
                        <c:v>20.864422372749786</c:v>
                      </c:pt>
                      <c:pt idx="45">
                        <c:v>19.450491386677957</c:v>
                      </c:pt>
                      <c:pt idx="46">
                        <c:v>18.036560400601196</c:v>
                      </c:pt>
                      <c:pt idx="47">
                        <c:v>16.622629414524436</c:v>
                      </c:pt>
                      <c:pt idx="48">
                        <c:v>15.208698428447672</c:v>
                      </c:pt>
                      <c:pt idx="49">
                        <c:v>13.79476744237091</c:v>
                      </c:pt>
                      <c:pt idx="50">
                        <c:v>12.380836456289217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10B-40E1-A458-CF55F8F74358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グラフ!$AQ$5</c15:sqref>
                        </c15:formulaRef>
                      </c:ext>
                    </c:extLst>
                    <c:strCache>
                      <c:ptCount val="1"/>
                      <c:pt idx="0">
                        <c:v>outer応力:Δ+30℃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グラフ!$AQ$6:$AQ$56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76.530576423274269</c:v>
                      </c:pt>
                      <c:pt idx="1">
                        <c:v>75.116645437202436</c:v>
                      </c:pt>
                      <c:pt idx="2">
                        <c:v>73.702714451120741</c:v>
                      </c:pt>
                      <c:pt idx="3">
                        <c:v>72.28878346503906</c:v>
                      </c:pt>
                      <c:pt idx="4">
                        <c:v>70.874852478962296</c:v>
                      </c:pt>
                      <c:pt idx="5">
                        <c:v>69.460921492880601</c:v>
                      </c:pt>
                      <c:pt idx="6">
                        <c:v>68.046990506808783</c:v>
                      </c:pt>
                      <c:pt idx="7">
                        <c:v>66.633059520727073</c:v>
                      </c:pt>
                      <c:pt idx="8">
                        <c:v>65.219128534650309</c:v>
                      </c:pt>
                      <c:pt idx="9">
                        <c:v>63.805197548578491</c:v>
                      </c:pt>
                      <c:pt idx="10">
                        <c:v>62.391266562491857</c:v>
                      </c:pt>
                      <c:pt idx="11">
                        <c:v>60.977335576415101</c:v>
                      </c:pt>
                      <c:pt idx="12">
                        <c:v>59.563404590338344</c:v>
                      </c:pt>
                      <c:pt idx="13">
                        <c:v>58.149473604256642</c:v>
                      </c:pt>
                      <c:pt idx="14">
                        <c:v>56.735542618184816</c:v>
                      </c:pt>
                      <c:pt idx="15">
                        <c:v>55.32161163211299</c:v>
                      </c:pt>
                      <c:pt idx="16">
                        <c:v>53.907680646031288</c:v>
                      </c:pt>
                      <c:pt idx="17">
                        <c:v>52.4937496599496</c:v>
                      </c:pt>
                      <c:pt idx="18">
                        <c:v>51.079818673872836</c:v>
                      </c:pt>
                      <c:pt idx="19">
                        <c:v>49.665887687796072</c:v>
                      </c:pt>
                      <c:pt idx="20">
                        <c:v>48.251956701709453</c:v>
                      </c:pt>
                      <c:pt idx="21">
                        <c:v>46.838025715637613</c:v>
                      </c:pt>
                      <c:pt idx="22">
                        <c:v>45.424094729555925</c:v>
                      </c:pt>
                      <c:pt idx="23">
                        <c:v>44.010163743479168</c:v>
                      </c:pt>
                      <c:pt idx="24">
                        <c:v>42.596232757407343</c:v>
                      </c:pt>
                      <c:pt idx="25">
                        <c:v>41.182301771330565</c:v>
                      </c:pt>
                      <c:pt idx="26">
                        <c:v>39.768370785253808</c:v>
                      </c:pt>
                      <c:pt idx="27">
                        <c:v>38.354439799172127</c:v>
                      </c:pt>
                      <c:pt idx="28">
                        <c:v>36.940508813095349</c:v>
                      </c:pt>
                      <c:pt idx="29">
                        <c:v>35.526577827013661</c:v>
                      </c:pt>
                      <c:pt idx="30">
                        <c:v>34.112646840941835</c:v>
                      </c:pt>
                      <c:pt idx="31">
                        <c:v>32.698715854855202</c:v>
                      </c:pt>
                      <c:pt idx="32">
                        <c:v>31.284784868783376</c:v>
                      </c:pt>
                      <c:pt idx="33">
                        <c:v>29.870853882701681</c:v>
                      </c:pt>
                      <c:pt idx="34">
                        <c:v>28.456922896629852</c:v>
                      </c:pt>
                      <c:pt idx="35">
                        <c:v>27.04299191054816</c:v>
                      </c:pt>
                      <c:pt idx="36">
                        <c:v>25.629060924471396</c:v>
                      </c:pt>
                      <c:pt idx="37">
                        <c:v>24.215129938399571</c:v>
                      </c:pt>
                      <c:pt idx="38">
                        <c:v>22.801198952312941</c:v>
                      </c:pt>
                      <c:pt idx="39">
                        <c:v>21.387267966241115</c:v>
                      </c:pt>
                      <c:pt idx="40">
                        <c:v>19.97333698015942</c:v>
                      </c:pt>
                      <c:pt idx="41">
                        <c:v>18.559405994077729</c:v>
                      </c:pt>
                      <c:pt idx="42">
                        <c:v>17.145475008000961</c:v>
                      </c:pt>
                      <c:pt idx="43">
                        <c:v>15.731544021924201</c:v>
                      </c:pt>
                      <c:pt idx="44">
                        <c:v>14.317613035847438</c:v>
                      </c:pt>
                      <c:pt idx="45">
                        <c:v>12.90368204977068</c:v>
                      </c:pt>
                      <c:pt idx="46">
                        <c:v>11.489751063688983</c:v>
                      </c:pt>
                      <c:pt idx="47">
                        <c:v>10.075820077617157</c:v>
                      </c:pt>
                      <c:pt idx="48">
                        <c:v>8.6618890915354623</c:v>
                      </c:pt>
                      <c:pt idx="49">
                        <c:v>7.2479581054587001</c:v>
                      </c:pt>
                      <c:pt idx="50">
                        <c:v>5.8340271193819389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14B-463C-AA48-EB9AD9F039DE}"/>
                  </c:ext>
                </c:extLst>
              </c15:ser>
            </c15:filteredScatterSeries>
          </c:ext>
        </c:extLst>
      </c:scatterChart>
      <c:valAx>
        <c:axId val="1878419104"/>
        <c:scaling>
          <c:orientation val="minMax"/>
          <c:max val="20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グラフ!$N$5</c:f>
              <c:strCache>
                <c:ptCount val="1"/>
                <c:pt idx="0">
                  <c:v>inner温度[℃]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8401216"/>
        <c:crosses val="autoZero"/>
        <c:crossBetween val="midCat"/>
      </c:valAx>
      <c:valAx>
        <c:axId val="1878401216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グラフ!$V$4</c:f>
              <c:strCache>
                <c:ptCount val="1"/>
                <c:pt idx="0">
                  <c:v>半径方向応力[MPa]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8419104"/>
        <c:crossesAt val="-100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温度 </a:t>
            </a:r>
            <a:r>
              <a:rPr lang="en-US" altLang="ja-JP"/>
              <a:t>vs Outer</a:t>
            </a:r>
            <a:r>
              <a:rPr lang="ja-JP" altLang="en-US"/>
              <a:t>応力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22"/>
          <c:order val="22"/>
          <c:tx>
            <c:strRef>
              <c:f>グラフ!$AK$5</c:f>
              <c:strCache>
                <c:ptCount val="1"/>
                <c:pt idx="0">
                  <c:v>outer応力:Δ-30℃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グラフ!$AK$6:$AK$56</c:f>
              <c:numCache>
                <c:formatCode>0.0</c:formatCode>
                <c:ptCount val="51"/>
                <c:pt idx="0">
                  <c:v>115.81143244473274</c:v>
                </c:pt>
                <c:pt idx="1">
                  <c:v>114.39750145865105</c:v>
                </c:pt>
                <c:pt idx="2">
                  <c:v>112.98357047257429</c:v>
                </c:pt>
                <c:pt idx="3">
                  <c:v>111.56963948649752</c:v>
                </c:pt>
                <c:pt idx="4">
                  <c:v>110.15570850041583</c:v>
                </c:pt>
                <c:pt idx="5">
                  <c:v>108.74177751433908</c:v>
                </c:pt>
                <c:pt idx="6">
                  <c:v>107.3278465282623</c:v>
                </c:pt>
                <c:pt idx="7">
                  <c:v>105.91391554218062</c:v>
                </c:pt>
                <c:pt idx="8">
                  <c:v>104.4999845561088</c:v>
                </c:pt>
                <c:pt idx="9">
                  <c:v>103.08605357003202</c:v>
                </c:pt>
                <c:pt idx="10">
                  <c:v>101.67212258395033</c:v>
                </c:pt>
                <c:pt idx="11">
                  <c:v>100.25819159787356</c:v>
                </c:pt>
                <c:pt idx="12">
                  <c:v>98.844260611791881</c:v>
                </c:pt>
                <c:pt idx="13">
                  <c:v>97.430329625720063</c:v>
                </c:pt>
                <c:pt idx="14">
                  <c:v>96.016398639638354</c:v>
                </c:pt>
                <c:pt idx="15">
                  <c:v>94.602467653566535</c:v>
                </c:pt>
                <c:pt idx="16">
                  <c:v>93.188536667484826</c:v>
                </c:pt>
                <c:pt idx="17">
                  <c:v>91.774605681403131</c:v>
                </c:pt>
                <c:pt idx="18">
                  <c:v>90.360674695331312</c:v>
                </c:pt>
                <c:pt idx="19">
                  <c:v>88.946743709249617</c:v>
                </c:pt>
                <c:pt idx="20">
                  <c:v>87.532812723167922</c:v>
                </c:pt>
                <c:pt idx="21">
                  <c:v>86.118881737096103</c:v>
                </c:pt>
                <c:pt idx="22">
                  <c:v>84.704950751009449</c:v>
                </c:pt>
                <c:pt idx="23">
                  <c:v>83.29101976493763</c:v>
                </c:pt>
                <c:pt idx="24">
                  <c:v>81.877088778855935</c:v>
                </c:pt>
                <c:pt idx="25">
                  <c:v>80.463157792779185</c:v>
                </c:pt>
                <c:pt idx="26">
                  <c:v>79.049226806707367</c:v>
                </c:pt>
                <c:pt idx="27">
                  <c:v>77.635295820625657</c:v>
                </c:pt>
                <c:pt idx="28">
                  <c:v>76.221364834553839</c:v>
                </c:pt>
                <c:pt idx="29">
                  <c:v>74.807433848467184</c:v>
                </c:pt>
                <c:pt idx="30">
                  <c:v>73.39350286239538</c:v>
                </c:pt>
                <c:pt idx="31">
                  <c:v>71.979571876313685</c:v>
                </c:pt>
                <c:pt idx="32">
                  <c:v>70.565640890236921</c:v>
                </c:pt>
                <c:pt idx="33">
                  <c:v>69.151709904155226</c:v>
                </c:pt>
                <c:pt idx="34">
                  <c:v>67.737778918078462</c:v>
                </c:pt>
                <c:pt idx="35">
                  <c:v>66.323847931996752</c:v>
                </c:pt>
                <c:pt idx="36">
                  <c:v>64.909916945929865</c:v>
                </c:pt>
                <c:pt idx="37">
                  <c:v>63.495985959853101</c:v>
                </c:pt>
                <c:pt idx="38">
                  <c:v>62.082054973771413</c:v>
                </c:pt>
                <c:pt idx="39">
                  <c:v>60.668123987699595</c:v>
                </c:pt>
                <c:pt idx="40">
                  <c:v>59.254193001612954</c:v>
                </c:pt>
                <c:pt idx="41">
                  <c:v>57.840262015536197</c:v>
                </c:pt>
                <c:pt idx="42">
                  <c:v>56.42633102945944</c:v>
                </c:pt>
                <c:pt idx="43">
                  <c:v>55.012400043377738</c:v>
                </c:pt>
                <c:pt idx="44">
                  <c:v>53.59846905729605</c:v>
                </c:pt>
                <c:pt idx="45">
                  <c:v>52.184538071224225</c:v>
                </c:pt>
                <c:pt idx="46">
                  <c:v>50.770607085147446</c:v>
                </c:pt>
                <c:pt idx="47">
                  <c:v>49.356676099070697</c:v>
                </c:pt>
                <c:pt idx="48">
                  <c:v>47.94274511299394</c:v>
                </c:pt>
                <c:pt idx="49">
                  <c:v>46.528814126917176</c:v>
                </c:pt>
                <c:pt idx="50">
                  <c:v>45.114883140835474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BCD-4AB3-8607-1A42AE26C775}"/>
            </c:ext>
          </c:extLst>
        </c:ser>
        <c:ser>
          <c:idx val="23"/>
          <c:order val="23"/>
          <c:tx>
            <c:strRef>
              <c:f>グラフ!$AL$5</c:f>
              <c:strCache>
                <c:ptCount val="1"/>
                <c:pt idx="0">
                  <c:v>outer応力:Δ-20℃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グラフ!$AL$6:$AL$56</c:f>
              <c:numCache>
                <c:formatCode>0.0</c:formatCode>
                <c:ptCount val="51"/>
                <c:pt idx="0">
                  <c:v>109.26462310782054</c:v>
                </c:pt>
                <c:pt idx="1">
                  <c:v>107.85069212174872</c:v>
                </c:pt>
                <c:pt idx="2">
                  <c:v>106.436761135667</c:v>
                </c:pt>
                <c:pt idx="3">
                  <c:v>105.02283014958532</c:v>
                </c:pt>
                <c:pt idx="4">
                  <c:v>103.60889916350857</c:v>
                </c:pt>
                <c:pt idx="5">
                  <c:v>102.19496817742686</c:v>
                </c:pt>
                <c:pt idx="6">
                  <c:v>100.78103719135504</c:v>
                </c:pt>
                <c:pt idx="7">
                  <c:v>99.367106205273345</c:v>
                </c:pt>
                <c:pt idx="8">
                  <c:v>97.953175219196567</c:v>
                </c:pt>
                <c:pt idx="9">
                  <c:v>96.539244233124748</c:v>
                </c:pt>
                <c:pt idx="10">
                  <c:v>95.125313247038136</c:v>
                </c:pt>
                <c:pt idx="11">
                  <c:v>93.711382260966289</c:v>
                </c:pt>
                <c:pt idx="12">
                  <c:v>92.297451274884608</c:v>
                </c:pt>
                <c:pt idx="13">
                  <c:v>90.883520288807844</c:v>
                </c:pt>
                <c:pt idx="14">
                  <c:v>89.469589302731066</c:v>
                </c:pt>
                <c:pt idx="15">
                  <c:v>88.055658316654302</c:v>
                </c:pt>
                <c:pt idx="16">
                  <c:v>86.641727330577552</c:v>
                </c:pt>
                <c:pt idx="17">
                  <c:v>85.227796344495857</c:v>
                </c:pt>
                <c:pt idx="18">
                  <c:v>83.813865358419093</c:v>
                </c:pt>
                <c:pt idx="19">
                  <c:v>82.399934372342344</c:v>
                </c:pt>
                <c:pt idx="20">
                  <c:v>80.986003386255717</c:v>
                </c:pt>
                <c:pt idx="21">
                  <c:v>79.57207240018387</c:v>
                </c:pt>
                <c:pt idx="22">
                  <c:v>78.158141414102175</c:v>
                </c:pt>
                <c:pt idx="23">
                  <c:v>76.744210428025411</c:v>
                </c:pt>
                <c:pt idx="24">
                  <c:v>75.330279441948662</c:v>
                </c:pt>
                <c:pt idx="25">
                  <c:v>73.916348455876843</c:v>
                </c:pt>
                <c:pt idx="26">
                  <c:v>72.502417469800065</c:v>
                </c:pt>
                <c:pt idx="27">
                  <c:v>71.088486483713439</c:v>
                </c:pt>
                <c:pt idx="28">
                  <c:v>69.67455549764162</c:v>
                </c:pt>
                <c:pt idx="29">
                  <c:v>68.260624511559925</c:v>
                </c:pt>
                <c:pt idx="30">
                  <c:v>66.846693525483175</c:v>
                </c:pt>
                <c:pt idx="31">
                  <c:v>65.432762539401466</c:v>
                </c:pt>
                <c:pt idx="32">
                  <c:v>64.018831553329633</c:v>
                </c:pt>
                <c:pt idx="33">
                  <c:v>62.604900567243007</c:v>
                </c:pt>
                <c:pt idx="34">
                  <c:v>61.190969581176105</c:v>
                </c:pt>
                <c:pt idx="35">
                  <c:v>59.777038595094417</c:v>
                </c:pt>
                <c:pt idx="36">
                  <c:v>58.363107609017661</c:v>
                </c:pt>
                <c:pt idx="37">
                  <c:v>56.949176622945828</c:v>
                </c:pt>
                <c:pt idx="38">
                  <c:v>55.535245636859202</c:v>
                </c:pt>
                <c:pt idx="39">
                  <c:v>54.121314650787376</c:v>
                </c:pt>
                <c:pt idx="40">
                  <c:v>52.707383664705681</c:v>
                </c:pt>
                <c:pt idx="41">
                  <c:v>51.293452678623986</c:v>
                </c:pt>
                <c:pt idx="42">
                  <c:v>49.879521692547222</c:v>
                </c:pt>
                <c:pt idx="43">
                  <c:v>48.465590706470465</c:v>
                </c:pt>
                <c:pt idx="44">
                  <c:v>47.051659720393701</c:v>
                </c:pt>
                <c:pt idx="45">
                  <c:v>45.637728734316937</c:v>
                </c:pt>
                <c:pt idx="46">
                  <c:v>44.223797748235249</c:v>
                </c:pt>
                <c:pt idx="47">
                  <c:v>42.809866762163423</c:v>
                </c:pt>
                <c:pt idx="48">
                  <c:v>41.395935776081721</c:v>
                </c:pt>
                <c:pt idx="49">
                  <c:v>39.982004790004957</c:v>
                </c:pt>
                <c:pt idx="50">
                  <c:v>38.568073803928201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BCD-4AB3-8607-1A42AE26C775}"/>
            </c:ext>
          </c:extLst>
        </c:ser>
        <c:ser>
          <c:idx val="24"/>
          <c:order val="24"/>
          <c:tx>
            <c:strRef>
              <c:f>グラフ!$AM$5</c:f>
              <c:strCache>
                <c:ptCount val="1"/>
                <c:pt idx="0">
                  <c:v>outer応力:Δ-10℃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グラフ!$AM$6:$AM$56</c:f>
              <c:numCache>
                <c:formatCode>0.0</c:formatCode>
                <c:ptCount val="51"/>
                <c:pt idx="0">
                  <c:v>102.71781377091325</c:v>
                </c:pt>
                <c:pt idx="1">
                  <c:v>101.30388278483649</c:v>
                </c:pt>
                <c:pt idx="2">
                  <c:v>99.889951798759725</c:v>
                </c:pt>
                <c:pt idx="3">
                  <c:v>98.476020812673113</c:v>
                </c:pt>
                <c:pt idx="4">
                  <c:v>97.06208982660128</c:v>
                </c:pt>
                <c:pt idx="5">
                  <c:v>95.648158840519599</c:v>
                </c:pt>
                <c:pt idx="6">
                  <c:v>94.234227854442821</c:v>
                </c:pt>
                <c:pt idx="7">
                  <c:v>92.820296868366057</c:v>
                </c:pt>
                <c:pt idx="8">
                  <c:v>91.406365882284376</c:v>
                </c:pt>
                <c:pt idx="9">
                  <c:v>89.992434896217475</c:v>
                </c:pt>
                <c:pt idx="10">
                  <c:v>88.578503910130848</c:v>
                </c:pt>
                <c:pt idx="11">
                  <c:v>87.164572924054085</c:v>
                </c:pt>
                <c:pt idx="12">
                  <c:v>85.750641937977321</c:v>
                </c:pt>
                <c:pt idx="13">
                  <c:v>84.336710951895625</c:v>
                </c:pt>
                <c:pt idx="14">
                  <c:v>82.922779965823793</c:v>
                </c:pt>
                <c:pt idx="15">
                  <c:v>81.508848979747043</c:v>
                </c:pt>
                <c:pt idx="16">
                  <c:v>80.094917993665348</c:v>
                </c:pt>
                <c:pt idx="17">
                  <c:v>78.680987007588584</c:v>
                </c:pt>
                <c:pt idx="18">
                  <c:v>77.267056021506889</c:v>
                </c:pt>
                <c:pt idx="19">
                  <c:v>75.853125035430111</c:v>
                </c:pt>
                <c:pt idx="20">
                  <c:v>74.439194049348416</c:v>
                </c:pt>
                <c:pt idx="21">
                  <c:v>73.025263063271666</c:v>
                </c:pt>
                <c:pt idx="22">
                  <c:v>71.611332077194902</c:v>
                </c:pt>
                <c:pt idx="23">
                  <c:v>70.197401091123083</c:v>
                </c:pt>
                <c:pt idx="24">
                  <c:v>68.783470105041388</c:v>
                </c:pt>
                <c:pt idx="25">
                  <c:v>67.369539118964639</c:v>
                </c:pt>
                <c:pt idx="26">
                  <c:v>65.955608132887861</c:v>
                </c:pt>
                <c:pt idx="27">
                  <c:v>64.541677146806165</c:v>
                </c:pt>
                <c:pt idx="28">
                  <c:v>63.127746160729409</c:v>
                </c:pt>
                <c:pt idx="29">
                  <c:v>61.713815174647721</c:v>
                </c:pt>
                <c:pt idx="30">
                  <c:v>60.299884188575888</c:v>
                </c:pt>
                <c:pt idx="31">
                  <c:v>58.885953202489254</c:v>
                </c:pt>
                <c:pt idx="32">
                  <c:v>57.472022216427291</c:v>
                </c:pt>
                <c:pt idx="33">
                  <c:v>56.058091230340672</c:v>
                </c:pt>
                <c:pt idx="34">
                  <c:v>54.644160244263901</c:v>
                </c:pt>
                <c:pt idx="35">
                  <c:v>53.230229258187144</c:v>
                </c:pt>
                <c:pt idx="36">
                  <c:v>51.816298272105449</c:v>
                </c:pt>
                <c:pt idx="37">
                  <c:v>50.402367286033609</c:v>
                </c:pt>
                <c:pt idx="38">
                  <c:v>48.988436299951928</c:v>
                </c:pt>
                <c:pt idx="39">
                  <c:v>47.574505313875164</c:v>
                </c:pt>
                <c:pt idx="40">
                  <c:v>46.160574327793462</c:v>
                </c:pt>
                <c:pt idx="41">
                  <c:v>44.746643341716712</c:v>
                </c:pt>
                <c:pt idx="42">
                  <c:v>43.33271235564488</c:v>
                </c:pt>
                <c:pt idx="43">
                  <c:v>41.918781369563185</c:v>
                </c:pt>
                <c:pt idx="44">
                  <c:v>40.504850383481489</c:v>
                </c:pt>
                <c:pt idx="45">
                  <c:v>39.090919397409664</c:v>
                </c:pt>
                <c:pt idx="46">
                  <c:v>37.67698841132303</c:v>
                </c:pt>
                <c:pt idx="47">
                  <c:v>36.263057425251205</c:v>
                </c:pt>
                <c:pt idx="48">
                  <c:v>34.849126439174448</c:v>
                </c:pt>
                <c:pt idx="49">
                  <c:v>33.435195453092746</c:v>
                </c:pt>
                <c:pt idx="50">
                  <c:v>32.021264467015982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3BCD-4AB3-8607-1A42AE26C775}"/>
            </c:ext>
          </c:extLst>
        </c:ser>
        <c:ser>
          <c:idx val="25"/>
          <c:order val="25"/>
          <c:tx>
            <c:strRef>
              <c:f>グラフ!$AN$5</c:f>
              <c:strCache>
                <c:ptCount val="1"/>
                <c:pt idx="0">
                  <c:v>outer応力:Δ0℃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グラフ!$AN$6:$AN$56</c:f>
              <c:numCache>
                <c:formatCode>0.0</c:formatCode>
                <c:ptCount val="51"/>
                <c:pt idx="0">
                  <c:v>96.171004434005965</c:v>
                </c:pt>
                <c:pt idx="1">
                  <c:v>94.757073447924284</c:v>
                </c:pt>
                <c:pt idx="2">
                  <c:v>93.343142461852452</c:v>
                </c:pt>
                <c:pt idx="3">
                  <c:v>91.92921147576584</c:v>
                </c:pt>
                <c:pt idx="4">
                  <c:v>90.515280489689061</c:v>
                </c:pt>
                <c:pt idx="5">
                  <c:v>89.101349503612283</c:v>
                </c:pt>
                <c:pt idx="6">
                  <c:v>87.687418517530617</c:v>
                </c:pt>
                <c:pt idx="7">
                  <c:v>86.273487531458784</c:v>
                </c:pt>
                <c:pt idx="8">
                  <c:v>84.859556545377075</c:v>
                </c:pt>
                <c:pt idx="9">
                  <c:v>83.44562555930527</c:v>
                </c:pt>
                <c:pt idx="10">
                  <c:v>82.031694573223561</c:v>
                </c:pt>
                <c:pt idx="11">
                  <c:v>80.617763587141852</c:v>
                </c:pt>
                <c:pt idx="12">
                  <c:v>79.203832601070047</c:v>
                </c:pt>
                <c:pt idx="13">
                  <c:v>77.789901614988338</c:v>
                </c:pt>
                <c:pt idx="14">
                  <c:v>76.375970628911588</c:v>
                </c:pt>
                <c:pt idx="15">
                  <c:v>74.962039642839756</c:v>
                </c:pt>
                <c:pt idx="16">
                  <c:v>73.548108656753129</c:v>
                </c:pt>
                <c:pt idx="17">
                  <c:v>72.134177670676365</c:v>
                </c:pt>
                <c:pt idx="18">
                  <c:v>70.720246684599601</c:v>
                </c:pt>
                <c:pt idx="19">
                  <c:v>69.306315698517906</c:v>
                </c:pt>
                <c:pt idx="20">
                  <c:v>67.892384712441157</c:v>
                </c:pt>
                <c:pt idx="21">
                  <c:v>66.478453726369324</c:v>
                </c:pt>
                <c:pt idx="22">
                  <c:v>65.064522740287643</c:v>
                </c:pt>
                <c:pt idx="23">
                  <c:v>63.650591754210872</c:v>
                </c:pt>
                <c:pt idx="24">
                  <c:v>62.236660768129163</c:v>
                </c:pt>
                <c:pt idx="25">
                  <c:v>60.822729782057344</c:v>
                </c:pt>
                <c:pt idx="26">
                  <c:v>59.408798795975642</c:v>
                </c:pt>
                <c:pt idx="27">
                  <c:v>57.994867809893954</c:v>
                </c:pt>
                <c:pt idx="28">
                  <c:v>56.580936823822128</c:v>
                </c:pt>
                <c:pt idx="29">
                  <c:v>55.167005837735495</c:v>
                </c:pt>
                <c:pt idx="30">
                  <c:v>53.753074851673539</c:v>
                </c:pt>
                <c:pt idx="31">
                  <c:v>52.339143865586905</c:v>
                </c:pt>
                <c:pt idx="32">
                  <c:v>50.92521287951508</c:v>
                </c:pt>
                <c:pt idx="33">
                  <c:v>49.511281893433392</c:v>
                </c:pt>
                <c:pt idx="34">
                  <c:v>48.097350907351689</c:v>
                </c:pt>
                <c:pt idx="35">
                  <c:v>46.683419921274925</c:v>
                </c:pt>
                <c:pt idx="36">
                  <c:v>45.269488935198169</c:v>
                </c:pt>
                <c:pt idx="37">
                  <c:v>43.855557949121405</c:v>
                </c:pt>
                <c:pt idx="38">
                  <c:v>42.44162696303971</c:v>
                </c:pt>
                <c:pt idx="39">
                  <c:v>41.027695976967884</c:v>
                </c:pt>
                <c:pt idx="40">
                  <c:v>39.61376499089112</c:v>
                </c:pt>
                <c:pt idx="41">
                  <c:v>38.199834004809425</c:v>
                </c:pt>
                <c:pt idx="42">
                  <c:v>36.785903018732668</c:v>
                </c:pt>
                <c:pt idx="43">
                  <c:v>35.371972032655904</c:v>
                </c:pt>
                <c:pt idx="44">
                  <c:v>33.958041046569278</c:v>
                </c:pt>
                <c:pt idx="45">
                  <c:v>32.544110060497445</c:v>
                </c:pt>
                <c:pt idx="46">
                  <c:v>31.13017907441575</c:v>
                </c:pt>
                <c:pt idx="47">
                  <c:v>29.716248088338993</c:v>
                </c:pt>
                <c:pt idx="48">
                  <c:v>28.302317102262229</c:v>
                </c:pt>
                <c:pt idx="49">
                  <c:v>26.888386116185469</c:v>
                </c:pt>
                <c:pt idx="50">
                  <c:v>25.47445513011364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BCD-4AB3-8607-1A42AE26C775}"/>
            </c:ext>
          </c:extLst>
        </c:ser>
        <c:ser>
          <c:idx val="26"/>
          <c:order val="26"/>
          <c:tx>
            <c:strRef>
              <c:f>グラフ!$AO$5</c:f>
              <c:strCache>
                <c:ptCount val="1"/>
                <c:pt idx="0">
                  <c:v>outer応力:Δ+10℃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グラフ!$AO$6:$AO$56</c:f>
              <c:numCache>
                <c:formatCode>0.0</c:formatCode>
                <c:ptCount val="51"/>
                <c:pt idx="0">
                  <c:v>89.624195097098706</c:v>
                </c:pt>
                <c:pt idx="1">
                  <c:v>88.210264111016997</c:v>
                </c:pt>
                <c:pt idx="2">
                  <c:v>86.796333124940247</c:v>
                </c:pt>
                <c:pt idx="3">
                  <c:v>85.382402138858538</c:v>
                </c:pt>
                <c:pt idx="4">
                  <c:v>83.968471152776857</c:v>
                </c:pt>
                <c:pt idx="5">
                  <c:v>82.554540166705024</c:v>
                </c:pt>
                <c:pt idx="6">
                  <c:v>81.140609180623329</c:v>
                </c:pt>
                <c:pt idx="7">
                  <c:v>79.726678194546565</c:v>
                </c:pt>
                <c:pt idx="8">
                  <c:v>78.312747208469816</c:v>
                </c:pt>
                <c:pt idx="9">
                  <c:v>76.898816222393052</c:v>
                </c:pt>
                <c:pt idx="10">
                  <c:v>75.484885236316288</c:v>
                </c:pt>
                <c:pt idx="11">
                  <c:v>74.070954250234593</c:v>
                </c:pt>
                <c:pt idx="12">
                  <c:v>72.657023264157829</c:v>
                </c:pt>
                <c:pt idx="13">
                  <c:v>71.243092278081079</c:v>
                </c:pt>
                <c:pt idx="14">
                  <c:v>69.82916129199937</c:v>
                </c:pt>
                <c:pt idx="15">
                  <c:v>68.415230305927551</c:v>
                </c:pt>
                <c:pt idx="16">
                  <c:v>67.001299319845856</c:v>
                </c:pt>
                <c:pt idx="17">
                  <c:v>65.587368333764147</c:v>
                </c:pt>
                <c:pt idx="18">
                  <c:v>64.173437347692328</c:v>
                </c:pt>
                <c:pt idx="19">
                  <c:v>62.759506361615564</c:v>
                </c:pt>
                <c:pt idx="20">
                  <c:v>61.345575375533876</c:v>
                </c:pt>
                <c:pt idx="21">
                  <c:v>59.931644389457105</c:v>
                </c:pt>
                <c:pt idx="22">
                  <c:v>58.517713403375417</c:v>
                </c:pt>
                <c:pt idx="23">
                  <c:v>57.103782417303592</c:v>
                </c:pt>
                <c:pt idx="24">
                  <c:v>55.689851431216951</c:v>
                </c:pt>
                <c:pt idx="25">
                  <c:v>54.275920445145125</c:v>
                </c:pt>
                <c:pt idx="26">
                  <c:v>52.861989459068369</c:v>
                </c:pt>
                <c:pt idx="27">
                  <c:v>51.448058472981735</c:v>
                </c:pt>
                <c:pt idx="28">
                  <c:v>50.034127486919786</c:v>
                </c:pt>
                <c:pt idx="29">
                  <c:v>48.620196500833153</c:v>
                </c:pt>
                <c:pt idx="30">
                  <c:v>47.206265514761327</c:v>
                </c:pt>
                <c:pt idx="31">
                  <c:v>45.792334528679625</c:v>
                </c:pt>
                <c:pt idx="32">
                  <c:v>44.378403542602868</c:v>
                </c:pt>
                <c:pt idx="33">
                  <c:v>42.96447255652118</c:v>
                </c:pt>
                <c:pt idx="34">
                  <c:v>41.550541570444409</c:v>
                </c:pt>
                <c:pt idx="35">
                  <c:v>40.136610584362714</c:v>
                </c:pt>
                <c:pt idx="36">
                  <c:v>38.722679598285964</c:v>
                </c:pt>
                <c:pt idx="37">
                  <c:v>37.308748612214131</c:v>
                </c:pt>
                <c:pt idx="38">
                  <c:v>35.894817626137367</c:v>
                </c:pt>
                <c:pt idx="39">
                  <c:v>34.480886640060604</c:v>
                </c:pt>
                <c:pt idx="40">
                  <c:v>33.066955653978908</c:v>
                </c:pt>
                <c:pt idx="41">
                  <c:v>31.653024667902145</c:v>
                </c:pt>
                <c:pt idx="42">
                  <c:v>30.239093681820453</c:v>
                </c:pt>
                <c:pt idx="43">
                  <c:v>28.825162695743693</c:v>
                </c:pt>
                <c:pt idx="44">
                  <c:v>27.411231709661998</c:v>
                </c:pt>
                <c:pt idx="45">
                  <c:v>25.997300723585237</c:v>
                </c:pt>
                <c:pt idx="46">
                  <c:v>24.583369737503542</c:v>
                </c:pt>
                <c:pt idx="47">
                  <c:v>23.169438751431716</c:v>
                </c:pt>
                <c:pt idx="48">
                  <c:v>21.755507765359891</c:v>
                </c:pt>
                <c:pt idx="49">
                  <c:v>20.341576779278192</c:v>
                </c:pt>
                <c:pt idx="50">
                  <c:v>18.927645793201428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BCD-4AB3-8607-1A42AE26C775}"/>
            </c:ext>
          </c:extLst>
        </c:ser>
        <c:ser>
          <c:idx val="27"/>
          <c:order val="27"/>
          <c:tx>
            <c:strRef>
              <c:f>グラフ!$AP$5</c:f>
              <c:strCache>
                <c:ptCount val="1"/>
                <c:pt idx="0">
                  <c:v>outer応力:Δ+20℃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グラフ!$AP$6:$AP$56</c:f>
              <c:numCache>
                <c:formatCode>0.0</c:formatCode>
                <c:ptCount val="51"/>
                <c:pt idx="0">
                  <c:v>83.077385760186488</c:v>
                </c:pt>
                <c:pt idx="1">
                  <c:v>81.663454774109738</c:v>
                </c:pt>
                <c:pt idx="2">
                  <c:v>80.249523788028029</c:v>
                </c:pt>
                <c:pt idx="3">
                  <c:v>78.835592801951265</c:v>
                </c:pt>
                <c:pt idx="4">
                  <c:v>77.42166181586957</c:v>
                </c:pt>
                <c:pt idx="5">
                  <c:v>76.00773082979282</c:v>
                </c:pt>
                <c:pt idx="6">
                  <c:v>74.593799843716056</c:v>
                </c:pt>
                <c:pt idx="7">
                  <c:v>73.179868857634361</c:v>
                </c:pt>
                <c:pt idx="8">
                  <c:v>71.765937871562528</c:v>
                </c:pt>
                <c:pt idx="9">
                  <c:v>70.352006885485764</c:v>
                </c:pt>
                <c:pt idx="10">
                  <c:v>68.938075899404083</c:v>
                </c:pt>
                <c:pt idx="11">
                  <c:v>67.524144913327305</c:v>
                </c:pt>
                <c:pt idx="12">
                  <c:v>66.110213927245624</c:v>
                </c:pt>
                <c:pt idx="13">
                  <c:v>64.69628294116886</c:v>
                </c:pt>
                <c:pt idx="14">
                  <c:v>63.282351955092103</c:v>
                </c:pt>
                <c:pt idx="15">
                  <c:v>61.868420969015339</c:v>
                </c:pt>
                <c:pt idx="16">
                  <c:v>60.454489982938568</c:v>
                </c:pt>
                <c:pt idx="17">
                  <c:v>59.040558996861805</c:v>
                </c:pt>
                <c:pt idx="18">
                  <c:v>57.626628010785055</c:v>
                </c:pt>
                <c:pt idx="19">
                  <c:v>56.212697024703353</c:v>
                </c:pt>
                <c:pt idx="20">
                  <c:v>54.798766038621658</c:v>
                </c:pt>
                <c:pt idx="21">
                  <c:v>53.384835052549832</c:v>
                </c:pt>
                <c:pt idx="22">
                  <c:v>51.970904066463198</c:v>
                </c:pt>
                <c:pt idx="23">
                  <c:v>50.556973080391373</c:v>
                </c:pt>
                <c:pt idx="24">
                  <c:v>49.143042094309678</c:v>
                </c:pt>
                <c:pt idx="25">
                  <c:v>47.729111108232921</c:v>
                </c:pt>
                <c:pt idx="26">
                  <c:v>46.315180122166026</c:v>
                </c:pt>
                <c:pt idx="27">
                  <c:v>44.9012491360794</c:v>
                </c:pt>
                <c:pt idx="28">
                  <c:v>43.487318150007567</c:v>
                </c:pt>
                <c:pt idx="29">
                  <c:v>42.073387163925879</c:v>
                </c:pt>
                <c:pt idx="30">
                  <c:v>40.659456177849108</c:v>
                </c:pt>
                <c:pt idx="31">
                  <c:v>39.24552519176742</c:v>
                </c:pt>
                <c:pt idx="32">
                  <c:v>37.831594205695588</c:v>
                </c:pt>
                <c:pt idx="33">
                  <c:v>36.417663219608961</c:v>
                </c:pt>
                <c:pt idx="34">
                  <c:v>35.003732233532197</c:v>
                </c:pt>
                <c:pt idx="35">
                  <c:v>33.589801247455441</c:v>
                </c:pt>
                <c:pt idx="36">
                  <c:v>32.175870261383608</c:v>
                </c:pt>
                <c:pt idx="37">
                  <c:v>30.761939275306847</c:v>
                </c:pt>
                <c:pt idx="38">
                  <c:v>29.348008289225156</c:v>
                </c:pt>
                <c:pt idx="39">
                  <c:v>27.934077303153327</c:v>
                </c:pt>
                <c:pt idx="40">
                  <c:v>26.5201463170667</c:v>
                </c:pt>
                <c:pt idx="41">
                  <c:v>25.106215330989937</c:v>
                </c:pt>
                <c:pt idx="42">
                  <c:v>23.692284344913176</c:v>
                </c:pt>
                <c:pt idx="43">
                  <c:v>22.278353358831481</c:v>
                </c:pt>
                <c:pt idx="44">
                  <c:v>20.864422372749786</c:v>
                </c:pt>
                <c:pt idx="45">
                  <c:v>19.450491386677957</c:v>
                </c:pt>
                <c:pt idx="46">
                  <c:v>18.036560400601196</c:v>
                </c:pt>
                <c:pt idx="47">
                  <c:v>16.622629414524436</c:v>
                </c:pt>
                <c:pt idx="48">
                  <c:v>15.208698428447672</c:v>
                </c:pt>
                <c:pt idx="49">
                  <c:v>13.79476744237091</c:v>
                </c:pt>
                <c:pt idx="50">
                  <c:v>12.380836456289217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BCD-4AB3-8607-1A42AE26C775}"/>
            </c:ext>
          </c:extLst>
        </c:ser>
        <c:ser>
          <c:idx val="28"/>
          <c:order val="28"/>
          <c:tx>
            <c:strRef>
              <c:f>グラフ!$AQ$5</c:f>
              <c:strCache>
                <c:ptCount val="1"/>
                <c:pt idx="0">
                  <c:v>outer応力:Δ+30℃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グラフ!$AQ$6:$AQ$56</c:f>
              <c:numCache>
                <c:formatCode>0.0</c:formatCode>
                <c:ptCount val="51"/>
                <c:pt idx="0">
                  <c:v>76.530576423274269</c:v>
                </c:pt>
                <c:pt idx="1">
                  <c:v>75.116645437202436</c:v>
                </c:pt>
                <c:pt idx="2">
                  <c:v>73.702714451120741</c:v>
                </c:pt>
                <c:pt idx="3">
                  <c:v>72.28878346503906</c:v>
                </c:pt>
                <c:pt idx="4">
                  <c:v>70.874852478962296</c:v>
                </c:pt>
                <c:pt idx="5">
                  <c:v>69.460921492880601</c:v>
                </c:pt>
                <c:pt idx="6">
                  <c:v>68.046990506808783</c:v>
                </c:pt>
                <c:pt idx="7">
                  <c:v>66.633059520727073</c:v>
                </c:pt>
                <c:pt idx="8">
                  <c:v>65.219128534650309</c:v>
                </c:pt>
                <c:pt idx="9">
                  <c:v>63.805197548578491</c:v>
                </c:pt>
                <c:pt idx="10">
                  <c:v>62.391266562491857</c:v>
                </c:pt>
                <c:pt idx="11">
                  <c:v>60.977335576415101</c:v>
                </c:pt>
                <c:pt idx="12">
                  <c:v>59.563404590338344</c:v>
                </c:pt>
                <c:pt idx="13">
                  <c:v>58.149473604256642</c:v>
                </c:pt>
                <c:pt idx="14">
                  <c:v>56.735542618184816</c:v>
                </c:pt>
                <c:pt idx="15">
                  <c:v>55.32161163211299</c:v>
                </c:pt>
                <c:pt idx="16">
                  <c:v>53.907680646031288</c:v>
                </c:pt>
                <c:pt idx="17">
                  <c:v>52.4937496599496</c:v>
                </c:pt>
                <c:pt idx="18">
                  <c:v>51.079818673872836</c:v>
                </c:pt>
                <c:pt idx="19">
                  <c:v>49.665887687796072</c:v>
                </c:pt>
                <c:pt idx="20">
                  <c:v>48.251956701709453</c:v>
                </c:pt>
                <c:pt idx="21">
                  <c:v>46.838025715637613</c:v>
                </c:pt>
                <c:pt idx="22">
                  <c:v>45.424094729555925</c:v>
                </c:pt>
                <c:pt idx="23">
                  <c:v>44.010163743479168</c:v>
                </c:pt>
                <c:pt idx="24">
                  <c:v>42.596232757407343</c:v>
                </c:pt>
                <c:pt idx="25">
                  <c:v>41.182301771330565</c:v>
                </c:pt>
                <c:pt idx="26">
                  <c:v>39.768370785253808</c:v>
                </c:pt>
                <c:pt idx="27">
                  <c:v>38.354439799172127</c:v>
                </c:pt>
                <c:pt idx="28">
                  <c:v>36.940508813095349</c:v>
                </c:pt>
                <c:pt idx="29">
                  <c:v>35.526577827013661</c:v>
                </c:pt>
                <c:pt idx="30">
                  <c:v>34.112646840941835</c:v>
                </c:pt>
                <c:pt idx="31">
                  <c:v>32.698715854855202</c:v>
                </c:pt>
                <c:pt idx="32">
                  <c:v>31.284784868783376</c:v>
                </c:pt>
                <c:pt idx="33">
                  <c:v>29.870853882701681</c:v>
                </c:pt>
                <c:pt idx="34">
                  <c:v>28.456922896629852</c:v>
                </c:pt>
                <c:pt idx="35">
                  <c:v>27.04299191054816</c:v>
                </c:pt>
                <c:pt idx="36">
                  <c:v>25.629060924471396</c:v>
                </c:pt>
                <c:pt idx="37">
                  <c:v>24.215129938399571</c:v>
                </c:pt>
                <c:pt idx="38">
                  <c:v>22.801198952312941</c:v>
                </c:pt>
                <c:pt idx="39">
                  <c:v>21.387267966241115</c:v>
                </c:pt>
                <c:pt idx="40">
                  <c:v>19.97333698015942</c:v>
                </c:pt>
                <c:pt idx="41">
                  <c:v>18.559405994077729</c:v>
                </c:pt>
                <c:pt idx="42">
                  <c:v>17.145475008000961</c:v>
                </c:pt>
                <c:pt idx="43">
                  <c:v>15.731544021924201</c:v>
                </c:pt>
                <c:pt idx="44">
                  <c:v>14.317613035847438</c:v>
                </c:pt>
                <c:pt idx="45">
                  <c:v>12.90368204977068</c:v>
                </c:pt>
                <c:pt idx="46">
                  <c:v>11.489751063688983</c:v>
                </c:pt>
                <c:pt idx="47">
                  <c:v>10.075820077617157</c:v>
                </c:pt>
                <c:pt idx="48">
                  <c:v>8.6618890915354623</c:v>
                </c:pt>
                <c:pt idx="49">
                  <c:v>7.2479581054587001</c:v>
                </c:pt>
                <c:pt idx="50">
                  <c:v>5.8340271193819389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46-4D2A-9109-89209D590241}"/>
            </c:ext>
          </c:extLst>
        </c:ser>
        <c:ser>
          <c:idx val="29"/>
          <c:order val="29"/>
          <c:tx>
            <c:strRef>
              <c:f>グラフ!$AR$5</c:f>
              <c:strCache>
                <c:ptCount val="1"/>
                <c:pt idx="0">
                  <c:v>outer降伏点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グラフ!$AR$6:$AR$56</c:f>
              <c:numCache>
                <c:formatCode>0.0</c:formatCode>
                <c:ptCount val="5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150</c:v>
                </c:pt>
                <c:pt idx="22">
                  <c:v>150</c:v>
                </c:pt>
                <c:pt idx="23">
                  <c:v>150</c:v>
                </c:pt>
                <c:pt idx="24">
                  <c:v>150</c:v>
                </c:pt>
                <c:pt idx="25">
                  <c:v>150</c:v>
                </c:pt>
                <c:pt idx="26">
                  <c:v>150</c:v>
                </c:pt>
                <c:pt idx="27">
                  <c:v>150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46-4D2A-9109-89209D590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8419104"/>
        <c:axId val="18784012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グラフ!$O$5</c15:sqref>
                        </c15:formulaRef>
                      </c:ext>
                    </c:extLst>
                    <c:strCache>
                      <c:ptCount val="1"/>
                      <c:pt idx="0">
                        <c:v>締め代：Δ-30℃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グラフ!$O$6:$O$56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0.16679667000000364</c:v>
                      </c:pt>
                      <c:pt idx="1">
                        <c:v>0.16476026499999818</c:v>
                      </c:pt>
                      <c:pt idx="2">
                        <c:v>0.16272385999999983</c:v>
                      </c:pt>
                      <c:pt idx="3">
                        <c:v>0.16068745500000148</c:v>
                      </c:pt>
                      <c:pt idx="4">
                        <c:v>0.15865104999999602</c:v>
                      </c:pt>
                      <c:pt idx="5">
                        <c:v>0.15661464499999767</c:v>
                      </c:pt>
                      <c:pt idx="6">
                        <c:v>0.15457823999999931</c:v>
                      </c:pt>
                      <c:pt idx="7">
                        <c:v>0.15254183499999385</c:v>
                      </c:pt>
                      <c:pt idx="8">
                        <c:v>0.1505054300000026</c:v>
                      </c:pt>
                      <c:pt idx="9">
                        <c:v>0.14846902500000425</c:v>
                      </c:pt>
                      <c:pt idx="10">
                        <c:v>0.14643261999999879</c:v>
                      </c:pt>
                      <c:pt idx="11">
                        <c:v>0.14439621500000044</c:v>
                      </c:pt>
                      <c:pt idx="12">
                        <c:v>0.14235980999999498</c:v>
                      </c:pt>
                      <c:pt idx="13">
                        <c:v>0.14032340500000373</c:v>
                      </c:pt>
                      <c:pt idx="14">
                        <c:v>0.13828699999999827</c:v>
                      </c:pt>
                      <c:pt idx="15">
                        <c:v>0.13625059500000702</c:v>
                      </c:pt>
                      <c:pt idx="16">
                        <c:v>0.13421419000000157</c:v>
                      </c:pt>
                      <c:pt idx="17">
                        <c:v>0.13217778499999611</c:v>
                      </c:pt>
                      <c:pt idx="18">
                        <c:v>0.13014138000000486</c:v>
                      </c:pt>
                      <c:pt idx="19">
                        <c:v>0.1281049749999994</c:v>
                      </c:pt>
                      <c:pt idx="20">
                        <c:v>0.12606856999999394</c:v>
                      </c:pt>
                      <c:pt idx="21">
                        <c:v>0.12403216500000269</c:v>
                      </c:pt>
                      <c:pt idx="22">
                        <c:v>0.12199575999999013</c:v>
                      </c:pt>
                      <c:pt idx="23">
                        <c:v>0.11995935499999888</c:v>
                      </c:pt>
                      <c:pt idx="24">
                        <c:v>0.11792294999999342</c:v>
                      </c:pt>
                      <c:pt idx="25">
                        <c:v>0.11588654499999507</c:v>
                      </c:pt>
                      <c:pt idx="26">
                        <c:v>0.11385014000000382</c:v>
                      </c:pt>
                      <c:pt idx="27">
                        <c:v>0.11181373499999836</c:v>
                      </c:pt>
                      <c:pt idx="28">
                        <c:v>0.10977733000000711</c:v>
                      </c:pt>
                      <c:pt idx="29">
                        <c:v>0.10774092499999455</c:v>
                      </c:pt>
                      <c:pt idx="30">
                        <c:v>0.1057045200000033</c:v>
                      </c:pt>
                      <c:pt idx="31">
                        <c:v>0.10366811499999784</c:v>
                      </c:pt>
                      <c:pt idx="32">
                        <c:v>0.10163170999999949</c:v>
                      </c:pt>
                      <c:pt idx="33">
                        <c:v>9.9595304999994028E-2</c:v>
                      </c:pt>
                      <c:pt idx="34">
                        <c:v>9.7558899999995674E-2</c:v>
                      </c:pt>
                      <c:pt idx="35">
                        <c:v>9.5522494999990215E-2</c:v>
                      </c:pt>
                      <c:pt idx="36">
                        <c:v>9.3486090000006072E-2</c:v>
                      </c:pt>
                      <c:pt idx="37">
                        <c:v>9.1449685000007719E-2</c:v>
                      </c:pt>
                      <c:pt idx="38">
                        <c:v>8.941328000000226E-2</c:v>
                      </c:pt>
                      <c:pt idx="39">
                        <c:v>8.7376875000011012E-2</c:v>
                      </c:pt>
                      <c:pt idx="40">
                        <c:v>8.5340469999998447E-2</c:v>
                      </c:pt>
                      <c:pt idx="41">
                        <c:v>8.3304065000000094E-2</c:v>
                      </c:pt>
                      <c:pt idx="42">
                        <c:v>8.126766000000174E-2</c:v>
                      </c:pt>
                      <c:pt idx="43">
                        <c:v>7.9231254999996281E-2</c:v>
                      </c:pt>
                      <c:pt idx="44">
                        <c:v>7.7194849999990822E-2</c:v>
                      </c:pt>
                      <c:pt idx="45">
                        <c:v>7.5158444999999574E-2</c:v>
                      </c:pt>
                      <c:pt idx="46">
                        <c:v>7.3122040000001221E-2</c:v>
                      </c:pt>
                      <c:pt idx="47">
                        <c:v>7.1085635000002867E-2</c:v>
                      </c:pt>
                      <c:pt idx="48">
                        <c:v>6.9049230000004513E-2</c:v>
                      </c:pt>
                      <c:pt idx="49">
                        <c:v>6.701282500000616E-2</c:v>
                      </c:pt>
                      <c:pt idx="50">
                        <c:v>6.4976420000000701E-2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3BCD-4AB3-8607-1A42AE26C775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グラフ!$P$5</c15:sqref>
                        </c15:formulaRef>
                      </c:ext>
                    </c:extLst>
                    <c:strCache>
                      <c:ptCount val="1"/>
                      <c:pt idx="0">
                        <c:v>締め代：Δ-20℃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グラフ!$P$6:$P$56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0.15736766999999929</c:v>
                      </c:pt>
                      <c:pt idx="1">
                        <c:v>0.15533126500000805</c:v>
                      </c:pt>
                      <c:pt idx="2">
                        <c:v>0.15329486000000259</c:v>
                      </c:pt>
                      <c:pt idx="3">
                        <c:v>0.15125845499999713</c:v>
                      </c:pt>
                      <c:pt idx="4">
                        <c:v>0.14922204999999877</c:v>
                      </c:pt>
                      <c:pt idx="5">
                        <c:v>0.14718564499999331</c:v>
                      </c:pt>
                      <c:pt idx="6">
                        <c:v>0.14514924000000207</c:v>
                      </c:pt>
                      <c:pt idx="7">
                        <c:v>0.14311283499999661</c:v>
                      </c:pt>
                      <c:pt idx="8">
                        <c:v>0.14107642999999825</c:v>
                      </c:pt>
                      <c:pt idx="9">
                        <c:v>0.13904002500000701</c:v>
                      </c:pt>
                      <c:pt idx="10">
                        <c:v>0.13700361999999444</c:v>
                      </c:pt>
                      <c:pt idx="11">
                        <c:v>0.13496721500000319</c:v>
                      </c:pt>
                      <c:pt idx="12">
                        <c:v>0.13293080999999773</c:v>
                      </c:pt>
                      <c:pt idx="13">
                        <c:v>0.13089440499999938</c:v>
                      </c:pt>
                      <c:pt idx="14">
                        <c:v>0.12885800000000103</c:v>
                      </c:pt>
                      <c:pt idx="15">
                        <c:v>0.12682159500000267</c:v>
                      </c:pt>
                      <c:pt idx="16">
                        <c:v>0.12478519000000432</c:v>
                      </c:pt>
                      <c:pt idx="17">
                        <c:v>0.12274878499999886</c:v>
                      </c:pt>
                      <c:pt idx="18">
                        <c:v>0.12071238000000051</c:v>
                      </c:pt>
                      <c:pt idx="19">
                        <c:v>0.11867597500000215</c:v>
                      </c:pt>
                      <c:pt idx="20">
                        <c:v>0.11663956999998959</c:v>
                      </c:pt>
                      <c:pt idx="21">
                        <c:v>0.11460316499999834</c:v>
                      </c:pt>
                      <c:pt idx="22">
                        <c:v>0.11256675999999288</c:v>
                      </c:pt>
                      <c:pt idx="23">
                        <c:v>0.11053035499999453</c:v>
                      </c:pt>
                      <c:pt idx="24">
                        <c:v>0.10849394999999618</c:v>
                      </c:pt>
                      <c:pt idx="25">
                        <c:v>0.10645754500000493</c:v>
                      </c:pt>
                      <c:pt idx="26">
                        <c:v>0.10442114000000657</c:v>
                      </c:pt>
                      <c:pt idx="27">
                        <c:v>0.10238473499999401</c:v>
                      </c:pt>
                      <c:pt idx="28">
                        <c:v>0.10034833000000276</c:v>
                      </c:pt>
                      <c:pt idx="29">
                        <c:v>9.8311924999997302E-2</c:v>
                      </c:pt>
                      <c:pt idx="30">
                        <c:v>9.6275519999998949E-2</c:v>
                      </c:pt>
                      <c:pt idx="31">
                        <c:v>9.423911499999349E-2</c:v>
                      </c:pt>
                      <c:pt idx="32">
                        <c:v>9.2202710000002241E-2</c:v>
                      </c:pt>
                      <c:pt idx="33">
                        <c:v>9.0166304999989677E-2</c:v>
                      </c:pt>
                      <c:pt idx="34">
                        <c:v>8.8129900000005534E-2</c:v>
                      </c:pt>
                      <c:pt idx="35">
                        <c:v>8.6093495000000075E-2</c:v>
                      </c:pt>
                      <c:pt idx="36">
                        <c:v>8.4057090000001722E-2</c:v>
                      </c:pt>
                      <c:pt idx="37">
                        <c:v>8.2020685000010474E-2</c:v>
                      </c:pt>
                      <c:pt idx="38">
                        <c:v>7.9984279999997909E-2</c:v>
                      </c:pt>
                      <c:pt idx="39">
                        <c:v>7.7947875000006661E-2</c:v>
                      </c:pt>
                      <c:pt idx="40">
                        <c:v>7.5911470000001202E-2</c:v>
                      </c:pt>
                      <c:pt idx="41">
                        <c:v>7.3875064999995743E-2</c:v>
                      </c:pt>
                      <c:pt idx="42">
                        <c:v>7.183865999999739E-2</c:v>
                      </c:pt>
                      <c:pt idx="43">
                        <c:v>6.9802254999999036E-2</c:v>
                      </c:pt>
                      <c:pt idx="44">
                        <c:v>6.7765850000000682E-2</c:v>
                      </c:pt>
                      <c:pt idx="45">
                        <c:v>6.5729445000002329E-2</c:v>
                      </c:pt>
                      <c:pt idx="46">
                        <c:v>6.369303999999687E-2</c:v>
                      </c:pt>
                      <c:pt idx="47">
                        <c:v>6.1656635000005622E-2</c:v>
                      </c:pt>
                      <c:pt idx="48">
                        <c:v>5.9620230000000163E-2</c:v>
                      </c:pt>
                      <c:pt idx="49">
                        <c:v>5.7583825000001809E-2</c:v>
                      </c:pt>
                      <c:pt idx="50">
                        <c:v>5.5547420000003456E-2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BCD-4AB3-8607-1A42AE26C775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グラフ!$Q$5</c15:sqref>
                        </c15:formulaRef>
                      </c:ext>
                    </c:extLst>
                    <c:strCache>
                      <c:ptCount val="1"/>
                      <c:pt idx="0">
                        <c:v>締め代：Δ-10℃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グラフ!$Q$6:$Q$56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0.14793867000000205</c:v>
                      </c:pt>
                      <c:pt idx="1">
                        <c:v>0.14590226500000369</c:v>
                      </c:pt>
                      <c:pt idx="2">
                        <c:v>0.14386586000000534</c:v>
                      </c:pt>
                      <c:pt idx="3">
                        <c:v>0.14182945499999278</c:v>
                      </c:pt>
                      <c:pt idx="4">
                        <c:v>0.13979305000000153</c:v>
                      </c:pt>
                      <c:pt idx="5">
                        <c:v>0.13775664499999607</c:v>
                      </c:pt>
                      <c:pt idx="6">
                        <c:v>0.13572023999999772</c:v>
                      </c:pt>
                      <c:pt idx="7">
                        <c:v>0.13368383499999936</c:v>
                      </c:pt>
                      <c:pt idx="8">
                        <c:v>0.1316474299999939</c:v>
                      </c:pt>
                      <c:pt idx="9">
                        <c:v>0.12961102500000976</c:v>
                      </c:pt>
                      <c:pt idx="10">
                        <c:v>0.1275746199999972</c:v>
                      </c:pt>
                      <c:pt idx="11">
                        <c:v>0.12553821499999884</c:v>
                      </c:pt>
                      <c:pt idx="12">
                        <c:v>0.12350181000000049</c:v>
                      </c:pt>
                      <c:pt idx="13">
                        <c:v>0.12146540499999503</c:v>
                      </c:pt>
                      <c:pt idx="14">
                        <c:v>0.11942900000000378</c:v>
                      </c:pt>
                      <c:pt idx="15">
                        <c:v>0.11739259500000543</c:v>
                      </c:pt>
                      <c:pt idx="16">
                        <c:v>0.11535618999999997</c:v>
                      </c:pt>
                      <c:pt idx="17">
                        <c:v>0.11331978500000162</c:v>
                      </c:pt>
                      <c:pt idx="18">
                        <c:v>0.11128337999999616</c:v>
                      </c:pt>
                      <c:pt idx="19">
                        <c:v>0.1092469749999978</c:v>
                      </c:pt>
                      <c:pt idx="20">
                        <c:v>0.10721056999999234</c:v>
                      </c:pt>
                      <c:pt idx="21">
                        <c:v>0.10517416499999399</c:v>
                      </c:pt>
                      <c:pt idx="22">
                        <c:v>0.10313775999999564</c:v>
                      </c:pt>
                      <c:pt idx="23">
                        <c:v>0.10110135500000439</c:v>
                      </c:pt>
                      <c:pt idx="24">
                        <c:v>9.906494999999893E-2</c:v>
                      </c:pt>
                      <c:pt idx="25">
                        <c:v>9.7028545000000577E-2</c:v>
                      </c:pt>
                      <c:pt idx="26">
                        <c:v>9.4992140000002223E-2</c:v>
                      </c:pt>
                      <c:pt idx="27">
                        <c:v>9.2955734999996764E-2</c:v>
                      </c:pt>
                      <c:pt idx="28">
                        <c:v>9.0919329999998411E-2</c:v>
                      </c:pt>
                      <c:pt idx="29">
                        <c:v>8.8882924999992952E-2</c:v>
                      </c:pt>
                      <c:pt idx="30">
                        <c:v>8.6846520000001703E-2</c:v>
                      </c:pt>
                      <c:pt idx="31">
                        <c:v>8.4810114999989139E-2</c:v>
                      </c:pt>
                      <c:pt idx="32">
                        <c:v>8.2773710000012102E-2</c:v>
                      </c:pt>
                      <c:pt idx="33">
                        <c:v>8.0737304999999537E-2</c:v>
                      </c:pt>
                      <c:pt idx="34">
                        <c:v>7.8700900000001184E-2</c:v>
                      </c:pt>
                      <c:pt idx="35">
                        <c:v>7.666449500000283E-2</c:v>
                      </c:pt>
                      <c:pt idx="36">
                        <c:v>7.4628089999997371E-2</c:v>
                      </c:pt>
                      <c:pt idx="37">
                        <c:v>7.2591685000006123E-2</c:v>
                      </c:pt>
                      <c:pt idx="38">
                        <c:v>7.0555280000000664E-2</c:v>
                      </c:pt>
                      <c:pt idx="39">
                        <c:v>6.8518875000002311E-2</c:v>
                      </c:pt>
                      <c:pt idx="40">
                        <c:v>6.6482469999996852E-2</c:v>
                      </c:pt>
                      <c:pt idx="41">
                        <c:v>6.4446064999998498E-2</c:v>
                      </c:pt>
                      <c:pt idx="42">
                        <c:v>6.240966000000725E-2</c:v>
                      </c:pt>
                      <c:pt idx="43">
                        <c:v>6.0373255000001791E-2</c:v>
                      </c:pt>
                      <c:pt idx="44">
                        <c:v>5.8336849999996332E-2</c:v>
                      </c:pt>
                      <c:pt idx="45">
                        <c:v>5.6300445000005084E-2</c:v>
                      </c:pt>
                      <c:pt idx="46">
                        <c:v>5.4264039999992519E-2</c:v>
                      </c:pt>
                      <c:pt idx="47">
                        <c:v>5.2227635000001271E-2</c:v>
                      </c:pt>
                      <c:pt idx="48">
                        <c:v>5.0191230000002918E-2</c:v>
                      </c:pt>
                      <c:pt idx="49">
                        <c:v>4.8154824999997459E-2</c:v>
                      </c:pt>
                      <c:pt idx="50">
                        <c:v>4.6118419999999105E-2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BCD-4AB3-8607-1A42AE26C775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グラフ!$R$5</c15:sqref>
                        </c15:formulaRef>
                      </c:ext>
                    </c:extLst>
                    <c:strCache>
                      <c:ptCount val="1"/>
                      <c:pt idx="0">
                        <c:v>締め代：Δ0℃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グラフ!$R$6:$R$56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0.1385096700000048</c:v>
                      </c:pt>
                      <c:pt idx="1">
                        <c:v>0.13647326499999934</c:v>
                      </c:pt>
                      <c:pt idx="2">
                        <c:v>0.1344368600000081</c:v>
                      </c:pt>
                      <c:pt idx="3">
                        <c:v>0.13240045499999553</c:v>
                      </c:pt>
                      <c:pt idx="4">
                        <c:v>0.13036404999999718</c:v>
                      </c:pt>
                      <c:pt idx="5">
                        <c:v>0.12832764499999882</c:v>
                      </c:pt>
                      <c:pt idx="6">
                        <c:v>0.12629123999999337</c:v>
                      </c:pt>
                      <c:pt idx="7">
                        <c:v>0.12425483500000212</c:v>
                      </c:pt>
                      <c:pt idx="8">
                        <c:v>0.12221842999999666</c:v>
                      </c:pt>
                      <c:pt idx="9">
                        <c:v>0.12018202500000541</c:v>
                      </c:pt>
                      <c:pt idx="10">
                        <c:v>0.11814561999999995</c:v>
                      </c:pt>
                      <c:pt idx="11">
                        <c:v>0.11610921499999449</c:v>
                      </c:pt>
                      <c:pt idx="12">
                        <c:v>0.11407281000000324</c:v>
                      </c:pt>
                      <c:pt idx="13">
                        <c:v>0.11203640499999779</c:v>
                      </c:pt>
                      <c:pt idx="14">
                        <c:v>0.10999999999999943</c:v>
                      </c:pt>
                      <c:pt idx="15">
                        <c:v>0.10796359500000818</c:v>
                      </c:pt>
                      <c:pt idx="16">
                        <c:v>0.10592718999999562</c:v>
                      </c:pt>
                      <c:pt idx="17">
                        <c:v>0.10389078499999727</c:v>
                      </c:pt>
                      <c:pt idx="18">
                        <c:v>0.10185437999999891</c:v>
                      </c:pt>
                      <c:pt idx="19">
                        <c:v>9.9817974999993453E-2</c:v>
                      </c:pt>
                      <c:pt idx="20">
                        <c:v>9.7781569999995099E-2</c:v>
                      </c:pt>
                      <c:pt idx="21">
                        <c:v>9.5745165000003851E-2</c:v>
                      </c:pt>
                      <c:pt idx="22">
                        <c:v>9.3708759999998392E-2</c:v>
                      </c:pt>
                      <c:pt idx="23">
                        <c:v>9.1672355000000039E-2</c:v>
                      </c:pt>
                      <c:pt idx="24">
                        <c:v>8.963594999999458E-2</c:v>
                      </c:pt>
                      <c:pt idx="25">
                        <c:v>8.7599545000003332E-2</c:v>
                      </c:pt>
                      <c:pt idx="26">
                        <c:v>8.5563139999997873E-2</c:v>
                      </c:pt>
                      <c:pt idx="27">
                        <c:v>8.3526734999992414E-2</c:v>
                      </c:pt>
                      <c:pt idx="28">
                        <c:v>8.1490330000001165E-2</c:v>
                      </c:pt>
                      <c:pt idx="29">
                        <c:v>7.9453924999988601E-2</c:v>
                      </c:pt>
                      <c:pt idx="30">
                        <c:v>7.7417520000011564E-2</c:v>
                      </c:pt>
                      <c:pt idx="31">
                        <c:v>7.5381114999998999E-2</c:v>
                      </c:pt>
                      <c:pt idx="32">
                        <c:v>7.3344710000007751E-2</c:v>
                      </c:pt>
                      <c:pt idx="33">
                        <c:v>7.1308305000002292E-2</c:v>
                      </c:pt>
                      <c:pt idx="34">
                        <c:v>6.9271899999996833E-2</c:v>
                      </c:pt>
                      <c:pt idx="35">
                        <c:v>6.723549499999848E-2</c:v>
                      </c:pt>
                      <c:pt idx="36">
                        <c:v>6.5199090000000126E-2</c:v>
                      </c:pt>
                      <c:pt idx="37">
                        <c:v>6.3162685000001773E-2</c:v>
                      </c:pt>
                      <c:pt idx="38">
                        <c:v>6.1126279999996314E-2</c:v>
                      </c:pt>
                      <c:pt idx="39">
                        <c:v>5.9089875000005065E-2</c:v>
                      </c:pt>
                      <c:pt idx="40">
                        <c:v>5.7053470000006712E-2</c:v>
                      </c:pt>
                      <c:pt idx="41">
                        <c:v>5.5017065000001253E-2</c:v>
                      </c:pt>
                      <c:pt idx="42">
                        <c:v>5.2980660000002899E-2</c:v>
                      </c:pt>
                      <c:pt idx="43">
                        <c:v>5.0944255000004546E-2</c:v>
                      </c:pt>
                      <c:pt idx="44">
                        <c:v>4.8907849999991981E-2</c:v>
                      </c:pt>
                      <c:pt idx="45">
                        <c:v>4.6871445000000733E-2</c:v>
                      </c:pt>
                      <c:pt idx="46">
                        <c:v>4.4835039999995274E-2</c:v>
                      </c:pt>
                      <c:pt idx="47">
                        <c:v>4.2798634999996921E-2</c:v>
                      </c:pt>
                      <c:pt idx="48">
                        <c:v>4.0762229999998567E-2</c:v>
                      </c:pt>
                      <c:pt idx="49">
                        <c:v>3.8725825000000214E-2</c:v>
                      </c:pt>
                      <c:pt idx="50">
                        <c:v>3.6689420000008965E-2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BCD-4AB3-8607-1A42AE26C775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グラフ!$S$5</c15:sqref>
                        </c15:formulaRef>
                      </c:ext>
                    </c:extLst>
                    <c:strCache>
                      <c:ptCount val="1"/>
                      <c:pt idx="0">
                        <c:v>締め代：Δ+10℃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グラフ!$S$6:$S$56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0.12908067000000756</c:v>
                      </c:pt>
                      <c:pt idx="1">
                        <c:v>0.1270442650000021</c:v>
                      </c:pt>
                      <c:pt idx="2">
                        <c:v>0.12500786000000375</c:v>
                      </c:pt>
                      <c:pt idx="3">
                        <c:v>0.12297145499999829</c:v>
                      </c:pt>
                      <c:pt idx="4">
                        <c:v>0.12093504999999283</c:v>
                      </c:pt>
                      <c:pt idx="5">
                        <c:v>0.11889864500000158</c:v>
                      </c:pt>
                      <c:pt idx="6">
                        <c:v>0.11686223999999612</c:v>
                      </c:pt>
                      <c:pt idx="7">
                        <c:v>0.11482583499999777</c:v>
                      </c:pt>
                      <c:pt idx="8">
                        <c:v>0.11278942999999941</c:v>
                      </c:pt>
                      <c:pt idx="9">
                        <c:v>0.11075302500000106</c:v>
                      </c:pt>
                      <c:pt idx="10">
                        <c:v>0.10871662000000271</c:v>
                      </c:pt>
                      <c:pt idx="11">
                        <c:v>0.10668021499999725</c:v>
                      </c:pt>
                      <c:pt idx="12">
                        <c:v>0.10464380999999889</c:v>
                      </c:pt>
                      <c:pt idx="13">
                        <c:v>0.10260740500000054</c:v>
                      </c:pt>
                      <c:pt idx="14">
                        <c:v>0.10057099999999508</c:v>
                      </c:pt>
                      <c:pt idx="15">
                        <c:v>9.8534595000003833E-2</c:v>
                      </c:pt>
                      <c:pt idx="16">
                        <c:v>9.6498189999998374E-2</c:v>
                      </c:pt>
                      <c:pt idx="17">
                        <c:v>9.4461784999992915E-2</c:v>
                      </c:pt>
                      <c:pt idx="18">
                        <c:v>9.2425380000001667E-2</c:v>
                      </c:pt>
                      <c:pt idx="19">
                        <c:v>9.0388975000003313E-2</c:v>
                      </c:pt>
                      <c:pt idx="20">
                        <c:v>8.8352569999997854E-2</c:v>
                      </c:pt>
                      <c:pt idx="21">
                        <c:v>8.6316164999999501E-2</c:v>
                      </c:pt>
                      <c:pt idx="22">
                        <c:v>8.4279759999994042E-2</c:v>
                      </c:pt>
                      <c:pt idx="23">
                        <c:v>8.2243355000002794E-2</c:v>
                      </c:pt>
                      <c:pt idx="24">
                        <c:v>8.0206949999990229E-2</c:v>
                      </c:pt>
                      <c:pt idx="25">
                        <c:v>7.8170544999998981E-2</c:v>
                      </c:pt>
                      <c:pt idx="26">
                        <c:v>7.6134140000000627E-2</c:v>
                      </c:pt>
                      <c:pt idx="27">
                        <c:v>7.4097734999988063E-2</c:v>
                      </c:pt>
                      <c:pt idx="28">
                        <c:v>7.2061330000011026E-2</c:v>
                      </c:pt>
                      <c:pt idx="29">
                        <c:v>7.0024924999998461E-2</c:v>
                      </c:pt>
                      <c:pt idx="30">
                        <c:v>6.7988520000007213E-2</c:v>
                      </c:pt>
                      <c:pt idx="31">
                        <c:v>6.5952115000001754E-2</c:v>
                      </c:pt>
                      <c:pt idx="32">
                        <c:v>6.3915710000003401E-2</c:v>
                      </c:pt>
                      <c:pt idx="33">
                        <c:v>6.1879304999997942E-2</c:v>
                      </c:pt>
                      <c:pt idx="34">
                        <c:v>5.9842899999999588E-2</c:v>
                      </c:pt>
                      <c:pt idx="35">
                        <c:v>5.7806494999994129E-2</c:v>
                      </c:pt>
                      <c:pt idx="36">
                        <c:v>5.5770089999995776E-2</c:v>
                      </c:pt>
                      <c:pt idx="37">
                        <c:v>5.3733685000004527E-2</c:v>
                      </c:pt>
                      <c:pt idx="38">
                        <c:v>5.1697280000006174E-2</c:v>
                      </c:pt>
                      <c:pt idx="39">
                        <c:v>4.966087500000782E-2</c:v>
                      </c:pt>
                      <c:pt idx="40">
                        <c:v>4.7624470000002361E-2</c:v>
                      </c:pt>
                      <c:pt idx="41">
                        <c:v>4.5588065000004008E-2</c:v>
                      </c:pt>
                      <c:pt idx="42">
                        <c:v>4.3551659999998549E-2</c:v>
                      </c:pt>
                      <c:pt idx="43">
                        <c:v>4.1515255000000195E-2</c:v>
                      </c:pt>
                      <c:pt idx="44">
                        <c:v>3.9478849999994736E-2</c:v>
                      </c:pt>
                      <c:pt idx="45">
                        <c:v>3.7442444999996383E-2</c:v>
                      </c:pt>
                      <c:pt idx="46">
                        <c:v>3.5406039999990924E-2</c:v>
                      </c:pt>
                      <c:pt idx="47">
                        <c:v>3.3369634999999676E-2</c:v>
                      </c:pt>
                      <c:pt idx="48">
                        <c:v>3.1333230000008427E-2</c:v>
                      </c:pt>
                      <c:pt idx="49">
                        <c:v>2.9296825000002968E-2</c:v>
                      </c:pt>
                      <c:pt idx="50">
                        <c:v>2.7260420000004615E-2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BCD-4AB3-8607-1A42AE26C775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グラフ!$T$5</c15:sqref>
                        </c15:formulaRef>
                      </c:ext>
                    </c:extLst>
                    <c:strCache>
                      <c:ptCount val="1"/>
                      <c:pt idx="0">
                        <c:v>締め代：Δ+20℃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グラフ!$T$6:$T$56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0.11965167000000321</c:v>
                      </c:pt>
                      <c:pt idx="1">
                        <c:v>0.11761526500000485</c:v>
                      </c:pt>
                      <c:pt idx="2">
                        <c:v>0.11557885999999939</c:v>
                      </c:pt>
                      <c:pt idx="3">
                        <c:v>0.11354245500000104</c:v>
                      </c:pt>
                      <c:pt idx="4">
                        <c:v>0.11150604999999558</c:v>
                      </c:pt>
                      <c:pt idx="5">
                        <c:v>0.10946964499999723</c:v>
                      </c:pt>
                      <c:pt idx="6">
                        <c:v>0.10743323999999888</c:v>
                      </c:pt>
                      <c:pt idx="7">
                        <c:v>0.10539683499999342</c:v>
                      </c:pt>
                      <c:pt idx="8">
                        <c:v>0.10336043000000217</c:v>
                      </c:pt>
                      <c:pt idx="9">
                        <c:v>0.10132402500000381</c:v>
                      </c:pt>
                      <c:pt idx="10">
                        <c:v>9.9287619999998356E-2</c:v>
                      </c:pt>
                      <c:pt idx="11">
                        <c:v>9.7251215000000002E-2</c:v>
                      </c:pt>
                      <c:pt idx="12">
                        <c:v>9.5214809999994543E-2</c:v>
                      </c:pt>
                      <c:pt idx="13">
                        <c:v>9.3178404999996189E-2</c:v>
                      </c:pt>
                      <c:pt idx="14">
                        <c:v>9.1141999999997836E-2</c:v>
                      </c:pt>
                      <c:pt idx="15">
                        <c:v>8.9105594999999482E-2</c:v>
                      </c:pt>
                      <c:pt idx="16">
                        <c:v>8.7069190000001129E-2</c:v>
                      </c:pt>
                      <c:pt idx="17">
                        <c:v>8.5032785000002775E-2</c:v>
                      </c:pt>
                      <c:pt idx="18">
                        <c:v>8.2996380000004422E-2</c:v>
                      </c:pt>
                      <c:pt idx="19">
                        <c:v>8.0959974999998963E-2</c:v>
                      </c:pt>
                      <c:pt idx="20">
                        <c:v>7.8923569999993504E-2</c:v>
                      </c:pt>
                      <c:pt idx="21">
                        <c:v>7.6887165000002256E-2</c:v>
                      </c:pt>
                      <c:pt idx="22">
                        <c:v>7.4850759999989691E-2</c:v>
                      </c:pt>
                      <c:pt idx="23">
                        <c:v>7.2814354999998443E-2</c:v>
                      </c:pt>
                      <c:pt idx="24">
                        <c:v>7.0777949999992984E-2</c:v>
                      </c:pt>
                      <c:pt idx="25">
                        <c:v>6.874154499999463E-2</c:v>
                      </c:pt>
                      <c:pt idx="26">
                        <c:v>6.6705140000010488E-2</c:v>
                      </c:pt>
                      <c:pt idx="27">
                        <c:v>6.4668734999997923E-2</c:v>
                      </c:pt>
                      <c:pt idx="28">
                        <c:v>6.2632330000006675E-2</c:v>
                      </c:pt>
                      <c:pt idx="29">
                        <c:v>6.0595925000001216E-2</c:v>
                      </c:pt>
                      <c:pt idx="30">
                        <c:v>5.8559520000002863E-2</c:v>
                      </c:pt>
                      <c:pt idx="31">
                        <c:v>5.6523114999997404E-2</c:v>
                      </c:pt>
                      <c:pt idx="32">
                        <c:v>5.4486710000006155E-2</c:v>
                      </c:pt>
                      <c:pt idx="33">
                        <c:v>5.2450304999993591E-2</c:v>
                      </c:pt>
                      <c:pt idx="34">
                        <c:v>5.0413899999995238E-2</c:v>
                      </c:pt>
                      <c:pt idx="35">
                        <c:v>4.8377494999996884E-2</c:v>
                      </c:pt>
                      <c:pt idx="36">
                        <c:v>4.6341090000005636E-2</c:v>
                      </c:pt>
                      <c:pt idx="37">
                        <c:v>4.4304685000007282E-2</c:v>
                      </c:pt>
                      <c:pt idx="38">
                        <c:v>4.2268280000001823E-2</c:v>
                      </c:pt>
                      <c:pt idx="39">
                        <c:v>4.0231875000010575E-2</c:v>
                      </c:pt>
                      <c:pt idx="40">
                        <c:v>3.8195469999998011E-2</c:v>
                      </c:pt>
                      <c:pt idx="41">
                        <c:v>3.6159064999999657E-2</c:v>
                      </c:pt>
                      <c:pt idx="42">
                        <c:v>3.4122660000001304E-2</c:v>
                      </c:pt>
                      <c:pt idx="43">
                        <c:v>3.2086254999995845E-2</c:v>
                      </c:pt>
                      <c:pt idx="44">
                        <c:v>3.0049849999990386E-2</c:v>
                      </c:pt>
                      <c:pt idx="45">
                        <c:v>2.8013444999999138E-2</c:v>
                      </c:pt>
                      <c:pt idx="46">
                        <c:v>2.5977040000000784E-2</c:v>
                      </c:pt>
                      <c:pt idx="47">
                        <c:v>2.394063500000243E-2</c:v>
                      </c:pt>
                      <c:pt idx="48">
                        <c:v>2.1904230000004077E-2</c:v>
                      </c:pt>
                      <c:pt idx="49">
                        <c:v>1.9867825000005723E-2</c:v>
                      </c:pt>
                      <c:pt idx="50">
                        <c:v>1.7831420000000264E-2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BCD-4AB3-8607-1A42AE26C775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グラフ!$U$5</c15:sqref>
                        </c15:formulaRef>
                      </c:ext>
                    </c:extLst>
                    <c:strCache>
                      <c:ptCount val="1"/>
                      <c:pt idx="0">
                        <c:v>締め代：Δ+30℃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グラフ!$U$6:$U$56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0.11022266999999886</c:v>
                      </c:pt>
                      <c:pt idx="1">
                        <c:v>0.10818626500000761</c:v>
                      </c:pt>
                      <c:pt idx="2">
                        <c:v>0.10614986000000215</c:v>
                      </c:pt>
                      <c:pt idx="3">
                        <c:v>0.10411345499999669</c:v>
                      </c:pt>
                      <c:pt idx="4">
                        <c:v>0.10207704999999834</c:v>
                      </c:pt>
                      <c:pt idx="5">
                        <c:v>0.10004064499999288</c:v>
                      </c:pt>
                      <c:pt idx="6">
                        <c:v>9.800424000000163E-2</c:v>
                      </c:pt>
                      <c:pt idx="7">
                        <c:v>9.5967834999996171E-2</c:v>
                      </c:pt>
                      <c:pt idx="8">
                        <c:v>9.3931429999997818E-2</c:v>
                      </c:pt>
                      <c:pt idx="9">
                        <c:v>9.1895025000006569E-2</c:v>
                      </c:pt>
                      <c:pt idx="10">
                        <c:v>8.9858619999994005E-2</c:v>
                      </c:pt>
                      <c:pt idx="11">
                        <c:v>8.7822214999995651E-2</c:v>
                      </c:pt>
                      <c:pt idx="12">
                        <c:v>8.5785809999997298E-2</c:v>
                      </c:pt>
                      <c:pt idx="13">
                        <c:v>8.3749404999991839E-2</c:v>
                      </c:pt>
                      <c:pt idx="14">
                        <c:v>8.1713000000000591E-2</c:v>
                      </c:pt>
                      <c:pt idx="15">
                        <c:v>7.9676595000009343E-2</c:v>
                      </c:pt>
                      <c:pt idx="16">
                        <c:v>7.7640190000003884E-2</c:v>
                      </c:pt>
                      <c:pt idx="17">
                        <c:v>7.5603784999998425E-2</c:v>
                      </c:pt>
                      <c:pt idx="18">
                        <c:v>7.3567380000000071E-2</c:v>
                      </c:pt>
                      <c:pt idx="19">
                        <c:v>7.1530975000001717E-2</c:v>
                      </c:pt>
                      <c:pt idx="20">
                        <c:v>6.9494569999989153E-2</c:v>
                      </c:pt>
                      <c:pt idx="21">
                        <c:v>6.7458164999997905E-2</c:v>
                      </c:pt>
                      <c:pt idx="22">
                        <c:v>6.5421759999992446E-2</c:v>
                      </c:pt>
                      <c:pt idx="23">
                        <c:v>6.3385354999994092E-2</c:v>
                      </c:pt>
                      <c:pt idx="24">
                        <c:v>6.1348950000002844E-2</c:v>
                      </c:pt>
                      <c:pt idx="25">
                        <c:v>5.9312545000004491E-2</c:v>
                      </c:pt>
                      <c:pt idx="26">
                        <c:v>5.7276140000006137E-2</c:v>
                      </c:pt>
                      <c:pt idx="27">
                        <c:v>5.5239735000000678E-2</c:v>
                      </c:pt>
                      <c:pt idx="28">
                        <c:v>5.3203330000002325E-2</c:v>
                      </c:pt>
                      <c:pt idx="29">
                        <c:v>5.1166924999996866E-2</c:v>
                      </c:pt>
                      <c:pt idx="30">
                        <c:v>4.9130520000005617E-2</c:v>
                      </c:pt>
                      <c:pt idx="31">
                        <c:v>4.7094114999993053E-2</c:v>
                      </c:pt>
                      <c:pt idx="32">
                        <c:v>4.5057710000001805E-2</c:v>
                      </c:pt>
                      <c:pt idx="33">
                        <c:v>4.3021304999996346E-2</c:v>
                      </c:pt>
                      <c:pt idx="34">
                        <c:v>4.0984900000005098E-2</c:v>
                      </c:pt>
                      <c:pt idx="35">
                        <c:v>3.8948494999999639E-2</c:v>
                      </c:pt>
                      <c:pt idx="36">
                        <c:v>3.6912090000001285E-2</c:v>
                      </c:pt>
                      <c:pt idx="37">
                        <c:v>3.4875685000010037E-2</c:v>
                      </c:pt>
                      <c:pt idx="38">
                        <c:v>3.2839279999997473E-2</c:v>
                      </c:pt>
                      <c:pt idx="39">
                        <c:v>3.0802875000006225E-2</c:v>
                      </c:pt>
                      <c:pt idx="40">
                        <c:v>2.8766470000000766E-2</c:v>
                      </c:pt>
                      <c:pt idx="41">
                        <c:v>2.6730064999995307E-2</c:v>
                      </c:pt>
                      <c:pt idx="42">
                        <c:v>2.4693659999996953E-2</c:v>
                      </c:pt>
                      <c:pt idx="43">
                        <c:v>2.2657254999998599E-2</c:v>
                      </c:pt>
                      <c:pt idx="44">
                        <c:v>2.0620850000000246E-2</c:v>
                      </c:pt>
                      <c:pt idx="45">
                        <c:v>1.8584445000001892E-2</c:v>
                      </c:pt>
                      <c:pt idx="46">
                        <c:v>1.6548039999996433E-2</c:v>
                      </c:pt>
                      <c:pt idx="47">
                        <c:v>1.4511635000005185E-2</c:v>
                      </c:pt>
                      <c:pt idx="48">
                        <c:v>1.2475229999999726E-2</c:v>
                      </c:pt>
                      <c:pt idx="49">
                        <c:v>1.0438825000001373E-2</c:v>
                      </c:pt>
                      <c:pt idx="50">
                        <c:v>8.4024200000030191E-3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BCD-4AB3-8607-1A42AE26C775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グラフ!$V$5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グラフ!$V$6:$V$56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59.163797517995462</c:v>
                      </c:pt>
                      <c:pt idx="1">
                        <c:v>58.441472227658714</c:v>
                      </c:pt>
                      <c:pt idx="2">
                        <c:v>57.719146937324474</c:v>
                      </c:pt>
                      <c:pt idx="3">
                        <c:v>56.996821646990234</c:v>
                      </c:pt>
                      <c:pt idx="4">
                        <c:v>56.274496356653486</c:v>
                      </c:pt>
                      <c:pt idx="5">
                        <c:v>55.552171066319254</c:v>
                      </c:pt>
                      <c:pt idx="6">
                        <c:v>54.829845775985014</c:v>
                      </c:pt>
                      <c:pt idx="7">
                        <c:v>54.107520485648266</c:v>
                      </c:pt>
                      <c:pt idx="8">
                        <c:v>53.385195195316548</c:v>
                      </c:pt>
                      <c:pt idx="9">
                        <c:v>52.662869904982308</c:v>
                      </c:pt>
                      <c:pt idx="10">
                        <c:v>51.940544614645553</c:v>
                      </c:pt>
                      <c:pt idx="11">
                        <c:v>51.21821932431132</c:v>
                      </c:pt>
                      <c:pt idx="12">
                        <c:v>50.495894033974572</c:v>
                      </c:pt>
                      <c:pt idx="13">
                        <c:v>49.773568743642855</c:v>
                      </c:pt>
                      <c:pt idx="14">
                        <c:v>49.0512434533061</c:v>
                      </c:pt>
                      <c:pt idx="15">
                        <c:v>48.328918162974389</c:v>
                      </c:pt>
                      <c:pt idx="16">
                        <c:v>47.606592872637627</c:v>
                      </c:pt>
                      <c:pt idx="17">
                        <c:v>46.884267582300872</c:v>
                      </c:pt>
                      <c:pt idx="18">
                        <c:v>46.161942291969162</c:v>
                      </c:pt>
                      <c:pt idx="19">
                        <c:v>45.439617001632406</c:v>
                      </c:pt>
                      <c:pt idx="20">
                        <c:v>44.717291711295651</c:v>
                      </c:pt>
                      <c:pt idx="21">
                        <c:v>43.994966420963941</c:v>
                      </c:pt>
                      <c:pt idx="22">
                        <c:v>43.272641130624656</c:v>
                      </c:pt>
                      <c:pt idx="23">
                        <c:v>42.550315840292946</c:v>
                      </c:pt>
                      <c:pt idx="24">
                        <c:v>41.827990549956191</c:v>
                      </c:pt>
                      <c:pt idx="25">
                        <c:v>41.105665259621958</c:v>
                      </c:pt>
                      <c:pt idx="26">
                        <c:v>40.383339969290247</c:v>
                      </c:pt>
                      <c:pt idx="27">
                        <c:v>39.661014678953492</c:v>
                      </c:pt>
                      <c:pt idx="28">
                        <c:v>38.938689388621775</c:v>
                      </c:pt>
                      <c:pt idx="29">
                        <c:v>38.216364098282497</c:v>
                      </c:pt>
                      <c:pt idx="30">
                        <c:v>37.494038807950787</c:v>
                      </c:pt>
                      <c:pt idx="31">
                        <c:v>36.771713517614032</c:v>
                      </c:pt>
                      <c:pt idx="32">
                        <c:v>36.049388227279799</c:v>
                      </c:pt>
                      <c:pt idx="33">
                        <c:v>35.327062936943044</c:v>
                      </c:pt>
                      <c:pt idx="34">
                        <c:v>34.604737646608804</c:v>
                      </c:pt>
                      <c:pt idx="35">
                        <c:v>33.882412356272049</c:v>
                      </c:pt>
                      <c:pt idx="36">
                        <c:v>33.160087065942854</c:v>
                      </c:pt>
                      <c:pt idx="37">
                        <c:v>32.437761775608621</c:v>
                      </c:pt>
                      <c:pt idx="38">
                        <c:v>31.715436485271869</c:v>
                      </c:pt>
                      <c:pt idx="39">
                        <c:v>30.993111194940155</c:v>
                      </c:pt>
                      <c:pt idx="40">
                        <c:v>30.270785904600878</c:v>
                      </c:pt>
                      <c:pt idx="41">
                        <c:v>29.548460614266645</c:v>
                      </c:pt>
                      <c:pt idx="42">
                        <c:v>28.826135323932409</c:v>
                      </c:pt>
                      <c:pt idx="43">
                        <c:v>28.103810033595654</c:v>
                      </c:pt>
                      <c:pt idx="44">
                        <c:v>27.381484743258902</c:v>
                      </c:pt>
                      <c:pt idx="45">
                        <c:v>26.659159452927188</c:v>
                      </c:pt>
                      <c:pt idx="46">
                        <c:v>25.936834162592948</c:v>
                      </c:pt>
                      <c:pt idx="47">
                        <c:v>25.214508872258715</c:v>
                      </c:pt>
                      <c:pt idx="48">
                        <c:v>24.492183581924483</c:v>
                      </c:pt>
                      <c:pt idx="49">
                        <c:v>23.76985829159025</c:v>
                      </c:pt>
                      <c:pt idx="50">
                        <c:v>23.047533001253491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BCD-4AB3-8607-1A42AE26C775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グラフ!$W$5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グラフ!$W$6:$W$56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55.819273632731907</c:v>
                      </c:pt>
                      <c:pt idx="1">
                        <c:v>55.096948342400189</c:v>
                      </c:pt>
                      <c:pt idx="2">
                        <c:v>54.374623052063427</c:v>
                      </c:pt>
                      <c:pt idx="3">
                        <c:v>53.652297761726679</c:v>
                      </c:pt>
                      <c:pt idx="4">
                        <c:v>52.929972471392446</c:v>
                      </c:pt>
                      <c:pt idx="5">
                        <c:v>52.207647181055691</c:v>
                      </c:pt>
                      <c:pt idx="6">
                        <c:v>51.485321890723974</c:v>
                      </c:pt>
                      <c:pt idx="7">
                        <c:v>50.762996600387218</c:v>
                      </c:pt>
                      <c:pt idx="8">
                        <c:v>50.040671310052979</c:v>
                      </c:pt>
                      <c:pt idx="9">
                        <c:v>49.318346019721268</c:v>
                      </c:pt>
                      <c:pt idx="10">
                        <c:v>48.596020729381998</c:v>
                      </c:pt>
                      <c:pt idx="11">
                        <c:v>47.87369543905028</c:v>
                      </c:pt>
                      <c:pt idx="12">
                        <c:v>47.151370148713525</c:v>
                      </c:pt>
                      <c:pt idx="13">
                        <c:v>46.429044858379292</c:v>
                      </c:pt>
                      <c:pt idx="14">
                        <c:v>45.706719568045052</c:v>
                      </c:pt>
                      <c:pt idx="15">
                        <c:v>44.98439427771082</c:v>
                      </c:pt>
                      <c:pt idx="16">
                        <c:v>44.262068987376587</c:v>
                      </c:pt>
                      <c:pt idx="17">
                        <c:v>43.539743697039832</c:v>
                      </c:pt>
                      <c:pt idx="18">
                        <c:v>42.817418406705599</c:v>
                      </c:pt>
                      <c:pt idx="19">
                        <c:v>42.095093116371366</c:v>
                      </c:pt>
                      <c:pt idx="20">
                        <c:v>41.372767826032089</c:v>
                      </c:pt>
                      <c:pt idx="21">
                        <c:v>40.650442535700371</c:v>
                      </c:pt>
                      <c:pt idx="22">
                        <c:v>39.928117245363616</c:v>
                      </c:pt>
                      <c:pt idx="23">
                        <c:v>39.205791955029383</c:v>
                      </c:pt>
                      <c:pt idx="24">
                        <c:v>38.48346666469515</c:v>
                      </c:pt>
                      <c:pt idx="25">
                        <c:v>37.76114137436344</c:v>
                      </c:pt>
                      <c:pt idx="26">
                        <c:v>37.0388160840292</c:v>
                      </c:pt>
                      <c:pt idx="27">
                        <c:v>36.316490793689923</c:v>
                      </c:pt>
                      <c:pt idx="28">
                        <c:v>35.594165503358212</c:v>
                      </c:pt>
                      <c:pt idx="29">
                        <c:v>34.871840213021457</c:v>
                      </c:pt>
                      <c:pt idx="30">
                        <c:v>34.149514922687224</c:v>
                      </c:pt>
                      <c:pt idx="31">
                        <c:v>33.427189632350469</c:v>
                      </c:pt>
                      <c:pt idx="32">
                        <c:v>32.704864342018752</c:v>
                      </c:pt>
                      <c:pt idx="33">
                        <c:v>31.982539051679474</c:v>
                      </c:pt>
                      <c:pt idx="34">
                        <c:v>31.260213761350279</c:v>
                      </c:pt>
                      <c:pt idx="35">
                        <c:v>30.537888471013527</c:v>
                      </c:pt>
                      <c:pt idx="36">
                        <c:v>29.815563180679295</c:v>
                      </c:pt>
                      <c:pt idx="37">
                        <c:v>29.093237890347581</c:v>
                      </c:pt>
                      <c:pt idx="38">
                        <c:v>28.370912600008303</c:v>
                      </c:pt>
                      <c:pt idx="39">
                        <c:v>27.648587309676589</c:v>
                      </c:pt>
                      <c:pt idx="40">
                        <c:v>26.926262019339838</c:v>
                      </c:pt>
                      <c:pt idx="41">
                        <c:v>26.203936729003079</c:v>
                      </c:pt>
                      <c:pt idx="42">
                        <c:v>25.481611438668846</c:v>
                      </c:pt>
                      <c:pt idx="43">
                        <c:v>24.759286148334613</c:v>
                      </c:pt>
                      <c:pt idx="44">
                        <c:v>24.036960858000377</c:v>
                      </c:pt>
                      <c:pt idx="45">
                        <c:v>23.314635567666141</c:v>
                      </c:pt>
                      <c:pt idx="46">
                        <c:v>22.592310277329389</c:v>
                      </c:pt>
                      <c:pt idx="47">
                        <c:v>21.869984986997675</c:v>
                      </c:pt>
                      <c:pt idx="48">
                        <c:v>21.147659696660916</c:v>
                      </c:pt>
                      <c:pt idx="49">
                        <c:v>20.425334406326684</c:v>
                      </c:pt>
                      <c:pt idx="50">
                        <c:v>19.703009115992451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BCD-4AB3-8607-1A42AE26C775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グラフ!$X$5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グラフ!$X$6:$X$56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52.474749747470852</c:v>
                      </c:pt>
                      <c:pt idx="1">
                        <c:v>51.75242445713662</c:v>
                      </c:pt>
                      <c:pt idx="2">
                        <c:v>51.030099166802387</c:v>
                      </c:pt>
                      <c:pt idx="3">
                        <c:v>50.307773876463116</c:v>
                      </c:pt>
                      <c:pt idx="4">
                        <c:v>49.585448586131399</c:v>
                      </c:pt>
                      <c:pt idx="5">
                        <c:v>48.863123295794651</c:v>
                      </c:pt>
                      <c:pt idx="6">
                        <c:v>48.140798005460404</c:v>
                      </c:pt>
                      <c:pt idx="7">
                        <c:v>47.418472715126171</c:v>
                      </c:pt>
                      <c:pt idx="8">
                        <c:v>46.696147424789423</c:v>
                      </c:pt>
                      <c:pt idx="9">
                        <c:v>45.973822134460228</c:v>
                      </c:pt>
                      <c:pt idx="10">
                        <c:v>45.25149684412095</c:v>
                      </c:pt>
                      <c:pt idx="11">
                        <c:v>44.529171553786718</c:v>
                      </c:pt>
                      <c:pt idx="12">
                        <c:v>43.806846263452485</c:v>
                      </c:pt>
                      <c:pt idx="13">
                        <c:v>43.084520973115723</c:v>
                      </c:pt>
                      <c:pt idx="14">
                        <c:v>42.362195682784012</c:v>
                      </c:pt>
                      <c:pt idx="15">
                        <c:v>41.63987039244978</c:v>
                      </c:pt>
                      <c:pt idx="16">
                        <c:v>40.917545102113024</c:v>
                      </c:pt>
                      <c:pt idx="17">
                        <c:v>40.195219811778792</c:v>
                      </c:pt>
                      <c:pt idx="18">
                        <c:v>39.472894521442036</c:v>
                      </c:pt>
                      <c:pt idx="19">
                        <c:v>38.750569231107796</c:v>
                      </c:pt>
                      <c:pt idx="20">
                        <c:v>38.028243940771041</c:v>
                      </c:pt>
                      <c:pt idx="21">
                        <c:v>37.305918650436809</c:v>
                      </c:pt>
                      <c:pt idx="22">
                        <c:v>36.583593360102576</c:v>
                      </c:pt>
                      <c:pt idx="23">
                        <c:v>35.861268069770865</c:v>
                      </c:pt>
                      <c:pt idx="24">
                        <c:v>35.13894277943411</c:v>
                      </c:pt>
                      <c:pt idx="25">
                        <c:v>34.416617489099878</c:v>
                      </c:pt>
                      <c:pt idx="26">
                        <c:v>33.694292198765638</c:v>
                      </c:pt>
                      <c:pt idx="27">
                        <c:v>32.971966908428882</c:v>
                      </c:pt>
                      <c:pt idx="28">
                        <c:v>32.24964161809465</c:v>
                      </c:pt>
                      <c:pt idx="29">
                        <c:v>31.527316327757894</c:v>
                      </c:pt>
                      <c:pt idx="30">
                        <c:v>30.804991037426181</c:v>
                      </c:pt>
                      <c:pt idx="31">
                        <c:v>30.082665747086903</c:v>
                      </c:pt>
                      <c:pt idx="32">
                        <c:v>29.36034045676023</c:v>
                      </c:pt>
                      <c:pt idx="33">
                        <c:v>28.638015166420956</c:v>
                      </c:pt>
                      <c:pt idx="34">
                        <c:v>27.91568987608672</c:v>
                      </c:pt>
                      <c:pt idx="35">
                        <c:v>27.193364585752487</c:v>
                      </c:pt>
                      <c:pt idx="36">
                        <c:v>26.471039295415732</c:v>
                      </c:pt>
                      <c:pt idx="37">
                        <c:v>25.748714005084015</c:v>
                      </c:pt>
                      <c:pt idx="38">
                        <c:v>25.026388714747263</c:v>
                      </c:pt>
                      <c:pt idx="39">
                        <c:v>24.304063424413027</c:v>
                      </c:pt>
                      <c:pt idx="40">
                        <c:v>23.581738134076272</c:v>
                      </c:pt>
                      <c:pt idx="41">
                        <c:v>22.859412843742039</c:v>
                      </c:pt>
                      <c:pt idx="42">
                        <c:v>22.137087553410325</c:v>
                      </c:pt>
                      <c:pt idx="43">
                        <c:v>21.41476226307357</c:v>
                      </c:pt>
                      <c:pt idx="44">
                        <c:v>20.692436972736814</c:v>
                      </c:pt>
                      <c:pt idx="45">
                        <c:v>19.970111682405101</c:v>
                      </c:pt>
                      <c:pt idx="46">
                        <c:v>19.247786392065823</c:v>
                      </c:pt>
                      <c:pt idx="47">
                        <c:v>18.525461101734109</c:v>
                      </c:pt>
                      <c:pt idx="48">
                        <c:v>17.803135811399876</c:v>
                      </c:pt>
                      <c:pt idx="49">
                        <c:v>17.080810521063121</c:v>
                      </c:pt>
                      <c:pt idx="50">
                        <c:v>16.358485230728885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BCD-4AB3-8607-1A42AE26C77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グラフ!$Y$5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グラフ!$Y$6:$Y$56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49.130225862209812</c:v>
                      </c:pt>
                      <c:pt idx="1">
                        <c:v>48.407900571873057</c:v>
                      </c:pt>
                      <c:pt idx="2">
                        <c:v>47.685575281541347</c:v>
                      </c:pt>
                      <c:pt idx="3">
                        <c:v>46.963249991202076</c:v>
                      </c:pt>
                      <c:pt idx="4">
                        <c:v>46.240924700867829</c:v>
                      </c:pt>
                      <c:pt idx="5">
                        <c:v>45.518599410533596</c:v>
                      </c:pt>
                      <c:pt idx="6">
                        <c:v>44.796274120196848</c:v>
                      </c:pt>
                      <c:pt idx="7">
                        <c:v>44.073948829865131</c:v>
                      </c:pt>
                      <c:pt idx="8">
                        <c:v>43.351623539528376</c:v>
                      </c:pt>
                      <c:pt idx="9">
                        <c:v>42.629298249196665</c:v>
                      </c:pt>
                      <c:pt idx="10">
                        <c:v>41.90697295885991</c:v>
                      </c:pt>
                      <c:pt idx="11">
                        <c:v>41.184647668523148</c:v>
                      </c:pt>
                      <c:pt idx="12">
                        <c:v>40.462322378191438</c:v>
                      </c:pt>
                      <c:pt idx="13">
                        <c:v>39.739997087854682</c:v>
                      </c:pt>
                      <c:pt idx="14">
                        <c:v>39.01767179752045</c:v>
                      </c:pt>
                      <c:pt idx="15">
                        <c:v>38.295346507188739</c:v>
                      </c:pt>
                      <c:pt idx="16">
                        <c:v>37.573021216849462</c:v>
                      </c:pt>
                      <c:pt idx="17">
                        <c:v>36.850695926515222</c:v>
                      </c:pt>
                      <c:pt idx="18">
                        <c:v>36.128370636180989</c:v>
                      </c:pt>
                      <c:pt idx="19">
                        <c:v>35.406045345844234</c:v>
                      </c:pt>
                      <c:pt idx="20">
                        <c:v>34.683720055510001</c:v>
                      </c:pt>
                      <c:pt idx="21">
                        <c:v>33.961394765178291</c:v>
                      </c:pt>
                      <c:pt idx="22">
                        <c:v>33.239069474841536</c:v>
                      </c:pt>
                      <c:pt idx="23">
                        <c:v>32.516744184507303</c:v>
                      </c:pt>
                      <c:pt idx="24">
                        <c:v>31.794418894170541</c:v>
                      </c:pt>
                      <c:pt idx="25">
                        <c:v>31.07209360383883</c:v>
                      </c:pt>
                      <c:pt idx="26">
                        <c:v>30.349768313502071</c:v>
                      </c:pt>
                      <c:pt idx="27">
                        <c:v>29.62744302316532</c:v>
                      </c:pt>
                      <c:pt idx="28">
                        <c:v>28.905117732833606</c:v>
                      </c:pt>
                      <c:pt idx="29">
                        <c:v>28.182792442494328</c:v>
                      </c:pt>
                      <c:pt idx="30">
                        <c:v>27.460467152167656</c:v>
                      </c:pt>
                      <c:pt idx="31">
                        <c:v>26.738141861828382</c:v>
                      </c:pt>
                      <c:pt idx="32">
                        <c:v>26.015816571496668</c:v>
                      </c:pt>
                      <c:pt idx="33">
                        <c:v>25.293491281159913</c:v>
                      </c:pt>
                      <c:pt idx="34">
                        <c:v>24.571165990823157</c:v>
                      </c:pt>
                      <c:pt idx="35">
                        <c:v>23.848840700488921</c:v>
                      </c:pt>
                      <c:pt idx="36">
                        <c:v>23.126515410154688</c:v>
                      </c:pt>
                      <c:pt idx="37">
                        <c:v>22.404190119820452</c:v>
                      </c:pt>
                      <c:pt idx="38">
                        <c:v>21.681864829483697</c:v>
                      </c:pt>
                      <c:pt idx="39">
                        <c:v>20.959539539151983</c:v>
                      </c:pt>
                      <c:pt idx="40">
                        <c:v>20.23721424881775</c:v>
                      </c:pt>
                      <c:pt idx="41">
                        <c:v>19.514888958480995</c:v>
                      </c:pt>
                      <c:pt idx="42">
                        <c:v>18.792563668146759</c:v>
                      </c:pt>
                      <c:pt idx="43">
                        <c:v>18.070238377812526</c:v>
                      </c:pt>
                      <c:pt idx="44">
                        <c:v>17.347913087473252</c:v>
                      </c:pt>
                      <c:pt idx="45">
                        <c:v>16.625587797141534</c:v>
                      </c:pt>
                      <c:pt idx="46">
                        <c:v>15.903262506804781</c:v>
                      </c:pt>
                      <c:pt idx="47">
                        <c:v>15.180937216470547</c:v>
                      </c:pt>
                      <c:pt idx="48">
                        <c:v>14.458611926136312</c:v>
                      </c:pt>
                      <c:pt idx="49">
                        <c:v>13.736286635802077</c:v>
                      </c:pt>
                      <c:pt idx="50">
                        <c:v>13.013961345470364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BCD-4AB3-8607-1A42AE26C77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グラフ!$Z$5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グラフ!$Z$6:$Z$56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45.785701976948772</c:v>
                      </c:pt>
                      <c:pt idx="1">
                        <c:v>45.063376686612017</c:v>
                      </c:pt>
                      <c:pt idx="2">
                        <c:v>44.341051396277784</c:v>
                      </c:pt>
                      <c:pt idx="3">
                        <c:v>43.618726105941022</c:v>
                      </c:pt>
                      <c:pt idx="4">
                        <c:v>42.896400815604274</c:v>
                      </c:pt>
                      <c:pt idx="5">
                        <c:v>42.174075525272556</c:v>
                      </c:pt>
                      <c:pt idx="6">
                        <c:v>41.451750234935801</c:v>
                      </c:pt>
                      <c:pt idx="7">
                        <c:v>40.729424944601568</c:v>
                      </c:pt>
                      <c:pt idx="8">
                        <c:v>40.007099654267336</c:v>
                      </c:pt>
                      <c:pt idx="9">
                        <c:v>39.284774363933103</c:v>
                      </c:pt>
                      <c:pt idx="10">
                        <c:v>38.562449073598863</c:v>
                      </c:pt>
                      <c:pt idx="11">
                        <c:v>37.840123783262108</c:v>
                      </c:pt>
                      <c:pt idx="12">
                        <c:v>37.117798492927875</c:v>
                      </c:pt>
                      <c:pt idx="13">
                        <c:v>36.395473202593642</c:v>
                      </c:pt>
                      <c:pt idx="14">
                        <c:v>35.673147912256887</c:v>
                      </c:pt>
                      <c:pt idx="15">
                        <c:v>34.950822621925177</c:v>
                      </c:pt>
                      <c:pt idx="16">
                        <c:v>34.228497331588414</c:v>
                      </c:pt>
                      <c:pt idx="17">
                        <c:v>33.506172041251659</c:v>
                      </c:pt>
                      <c:pt idx="18">
                        <c:v>32.783846750919949</c:v>
                      </c:pt>
                      <c:pt idx="19">
                        <c:v>32.061521460585716</c:v>
                      </c:pt>
                      <c:pt idx="20">
                        <c:v>31.339196170248961</c:v>
                      </c:pt>
                      <c:pt idx="21">
                        <c:v>30.616870879914721</c:v>
                      </c:pt>
                      <c:pt idx="22">
                        <c:v>29.894545589577969</c:v>
                      </c:pt>
                      <c:pt idx="23">
                        <c:v>29.172220299246256</c:v>
                      </c:pt>
                      <c:pt idx="24">
                        <c:v>28.449895008906978</c:v>
                      </c:pt>
                      <c:pt idx="25">
                        <c:v>27.727569718575264</c:v>
                      </c:pt>
                      <c:pt idx="26">
                        <c:v>27.005244428241031</c:v>
                      </c:pt>
                      <c:pt idx="27">
                        <c:v>26.282919137901754</c:v>
                      </c:pt>
                      <c:pt idx="28">
                        <c:v>25.560593847575085</c:v>
                      </c:pt>
                      <c:pt idx="29">
                        <c:v>24.838268557235807</c:v>
                      </c:pt>
                      <c:pt idx="30">
                        <c:v>24.115943266904093</c:v>
                      </c:pt>
                      <c:pt idx="31">
                        <c:v>23.393617976567338</c:v>
                      </c:pt>
                      <c:pt idx="32">
                        <c:v>22.671292686233102</c:v>
                      </c:pt>
                      <c:pt idx="33">
                        <c:v>21.94896739589635</c:v>
                      </c:pt>
                      <c:pt idx="34">
                        <c:v>21.226642105562114</c:v>
                      </c:pt>
                      <c:pt idx="35">
                        <c:v>20.504316815225359</c:v>
                      </c:pt>
                      <c:pt idx="36">
                        <c:v>19.781991524891126</c:v>
                      </c:pt>
                      <c:pt idx="37">
                        <c:v>19.059666234559412</c:v>
                      </c:pt>
                      <c:pt idx="38">
                        <c:v>18.337340944225176</c:v>
                      </c:pt>
                      <c:pt idx="39">
                        <c:v>17.615015653890939</c:v>
                      </c:pt>
                      <c:pt idx="40">
                        <c:v>16.892690363554188</c:v>
                      </c:pt>
                      <c:pt idx="41">
                        <c:v>16.170365073219951</c:v>
                      </c:pt>
                      <c:pt idx="42">
                        <c:v>15.448039782883196</c:v>
                      </c:pt>
                      <c:pt idx="43">
                        <c:v>14.725714492548962</c:v>
                      </c:pt>
                      <c:pt idx="44">
                        <c:v>14.003389202212206</c:v>
                      </c:pt>
                      <c:pt idx="45">
                        <c:v>13.281063911877974</c:v>
                      </c:pt>
                      <c:pt idx="46">
                        <c:v>12.558738621541218</c:v>
                      </c:pt>
                      <c:pt idx="47">
                        <c:v>11.836413331209505</c:v>
                      </c:pt>
                      <c:pt idx="48">
                        <c:v>11.114088040877791</c:v>
                      </c:pt>
                      <c:pt idx="49">
                        <c:v>10.391762750541035</c:v>
                      </c:pt>
                      <c:pt idx="50">
                        <c:v>9.6694374602067992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BCD-4AB3-8607-1A42AE26C77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グラフ!$AA$5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グラフ!$AA$6:$AA$56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42.441178091685209</c:v>
                      </c:pt>
                      <c:pt idx="1">
                        <c:v>41.718852801350977</c:v>
                      </c:pt>
                      <c:pt idx="2">
                        <c:v>40.996527511014214</c:v>
                      </c:pt>
                      <c:pt idx="3">
                        <c:v>40.274202220679982</c:v>
                      </c:pt>
                      <c:pt idx="4">
                        <c:v>39.551876930343226</c:v>
                      </c:pt>
                      <c:pt idx="5">
                        <c:v>38.829551640008994</c:v>
                      </c:pt>
                      <c:pt idx="6">
                        <c:v>38.107226349674761</c:v>
                      </c:pt>
                      <c:pt idx="7">
                        <c:v>37.384901059338006</c:v>
                      </c:pt>
                      <c:pt idx="8">
                        <c:v>36.662575769006295</c:v>
                      </c:pt>
                      <c:pt idx="9">
                        <c:v>35.940250478672056</c:v>
                      </c:pt>
                      <c:pt idx="10">
                        <c:v>35.2179251883353</c:v>
                      </c:pt>
                      <c:pt idx="11">
                        <c:v>34.495599898001068</c:v>
                      </c:pt>
                      <c:pt idx="12">
                        <c:v>33.773274607664312</c:v>
                      </c:pt>
                      <c:pt idx="13">
                        <c:v>33.05094931733008</c:v>
                      </c:pt>
                      <c:pt idx="14">
                        <c:v>32.328624026995847</c:v>
                      </c:pt>
                      <c:pt idx="15">
                        <c:v>31.606298736661607</c:v>
                      </c:pt>
                      <c:pt idx="16">
                        <c:v>30.883973446327374</c:v>
                      </c:pt>
                      <c:pt idx="17">
                        <c:v>30.161648155993138</c:v>
                      </c:pt>
                      <c:pt idx="18">
                        <c:v>29.439322865658905</c:v>
                      </c:pt>
                      <c:pt idx="19">
                        <c:v>28.71699757532215</c:v>
                      </c:pt>
                      <c:pt idx="20">
                        <c:v>27.994672284985395</c:v>
                      </c:pt>
                      <c:pt idx="21">
                        <c:v>27.272346994653681</c:v>
                      </c:pt>
                      <c:pt idx="22">
                        <c:v>26.550021704314403</c:v>
                      </c:pt>
                      <c:pt idx="23">
                        <c:v>25.827696413982689</c:v>
                      </c:pt>
                      <c:pt idx="24">
                        <c:v>25.105371123645938</c:v>
                      </c:pt>
                      <c:pt idx="25">
                        <c:v>24.383045833311705</c:v>
                      </c:pt>
                      <c:pt idx="26">
                        <c:v>23.66072054298251</c:v>
                      </c:pt>
                      <c:pt idx="27">
                        <c:v>22.938395252643232</c:v>
                      </c:pt>
                      <c:pt idx="28">
                        <c:v>22.216069962311519</c:v>
                      </c:pt>
                      <c:pt idx="29">
                        <c:v>21.493744671974767</c:v>
                      </c:pt>
                      <c:pt idx="30">
                        <c:v>20.771419381640527</c:v>
                      </c:pt>
                      <c:pt idx="31">
                        <c:v>20.049094091303775</c:v>
                      </c:pt>
                      <c:pt idx="32">
                        <c:v>19.326768800972062</c:v>
                      </c:pt>
                      <c:pt idx="33">
                        <c:v>18.604443510632784</c:v>
                      </c:pt>
                      <c:pt idx="34">
                        <c:v>17.882118220298551</c:v>
                      </c:pt>
                      <c:pt idx="35">
                        <c:v>17.159792929964318</c:v>
                      </c:pt>
                      <c:pt idx="36">
                        <c:v>16.437467639632601</c:v>
                      </c:pt>
                      <c:pt idx="37">
                        <c:v>15.715142349298366</c:v>
                      </c:pt>
                      <c:pt idx="38">
                        <c:v>14.992817058961613</c:v>
                      </c:pt>
                      <c:pt idx="39">
                        <c:v>14.270491768629897</c:v>
                      </c:pt>
                      <c:pt idx="40">
                        <c:v>13.548166478290623</c:v>
                      </c:pt>
                      <c:pt idx="41">
                        <c:v>12.825841187956389</c:v>
                      </c:pt>
                      <c:pt idx="42">
                        <c:v>12.103515897622154</c:v>
                      </c:pt>
                      <c:pt idx="43">
                        <c:v>11.381190607285399</c:v>
                      </c:pt>
                      <c:pt idx="44">
                        <c:v>10.658865316948644</c:v>
                      </c:pt>
                      <c:pt idx="45">
                        <c:v>9.9365400266169299</c:v>
                      </c:pt>
                      <c:pt idx="46">
                        <c:v>9.2142147362826954</c:v>
                      </c:pt>
                      <c:pt idx="47">
                        <c:v>8.4918894459484608</c:v>
                      </c:pt>
                      <c:pt idx="48">
                        <c:v>7.7695641556142254</c:v>
                      </c:pt>
                      <c:pt idx="49">
                        <c:v>7.0472388652799909</c:v>
                      </c:pt>
                      <c:pt idx="50">
                        <c:v>6.3249135749432366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BCD-4AB3-8607-1A42AE26C775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グラフ!$AB$5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グラフ!$AB$6:$AB$56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39.09665420642164</c:v>
                      </c:pt>
                      <c:pt idx="1">
                        <c:v>38.374328916089929</c:v>
                      </c:pt>
                      <c:pt idx="2">
                        <c:v>37.652003625753174</c:v>
                      </c:pt>
                      <c:pt idx="3">
                        <c:v>36.929678335416419</c:v>
                      </c:pt>
                      <c:pt idx="4">
                        <c:v>36.207353045082186</c:v>
                      </c:pt>
                      <c:pt idx="5">
                        <c:v>35.485027754745431</c:v>
                      </c:pt>
                      <c:pt idx="6">
                        <c:v>34.762702464413721</c:v>
                      </c:pt>
                      <c:pt idx="7">
                        <c:v>34.040377174076959</c:v>
                      </c:pt>
                      <c:pt idx="8">
                        <c:v>33.318051883742726</c:v>
                      </c:pt>
                      <c:pt idx="9">
                        <c:v>32.595726593411015</c:v>
                      </c:pt>
                      <c:pt idx="10">
                        <c:v>31.873401303071738</c:v>
                      </c:pt>
                      <c:pt idx="11">
                        <c:v>31.151076012737505</c:v>
                      </c:pt>
                      <c:pt idx="12">
                        <c:v>30.428750722403269</c:v>
                      </c:pt>
                      <c:pt idx="13">
                        <c:v>29.706425432066514</c:v>
                      </c:pt>
                      <c:pt idx="14">
                        <c:v>28.9841001417348</c:v>
                      </c:pt>
                      <c:pt idx="15">
                        <c:v>28.261774851403086</c:v>
                      </c:pt>
                      <c:pt idx="16">
                        <c:v>27.539449561066331</c:v>
                      </c:pt>
                      <c:pt idx="17">
                        <c:v>26.817124270729575</c:v>
                      </c:pt>
                      <c:pt idx="18">
                        <c:v>26.094798980395339</c:v>
                      </c:pt>
                      <c:pt idx="19">
                        <c:v>25.372473690061106</c:v>
                      </c:pt>
                      <c:pt idx="20">
                        <c:v>24.650148399721832</c:v>
                      </c:pt>
                      <c:pt idx="21">
                        <c:v>23.927823109390115</c:v>
                      </c:pt>
                      <c:pt idx="22">
                        <c:v>23.205497819053363</c:v>
                      </c:pt>
                      <c:pt idx="23">
                        <c:v>22.48317252871913</c:v>
                      </c:pt>
                      <c:pt idx="24">
                        <c:v>21.760847238387417</c:v>
                      </c:pt>
                      <c:pt idx="25">
                        <c:v>21.038521948053177</c:v>
                      </c:pt>
                      <c:pt idx="26">
                        <c:v>20.316196657718944</c:v>
                      </c:pt>
                      <c:pt idx="27">
                        <c:v>19.593871367382192</c:v>
                      </c:pt>
                      <c:pt idx="28">
                        <c:v>18.871546077047952</c:v>
                      </c:pt>
                      <c:pt idx="29">
                        <c:v>18.149220786711201</c:v>
                      </c:pt>
                      <c:pt idx="30">
                        <c:v>17.426895496379487</c:v>
                      </c:pt>
                      <c:pt idx="31">
                        <c:v>16.704570206040209</c:v>
                      </c:pt>
                      <c:pt idx="32">
                        <c:v>15.982244915708495</c:v>
                      </c:pt>
                      <c:pt idx="33">
                        <c:v>15.259919625371742</c:v>
                      </c:pt>
                      <c:pt idx="34">
                        <c:v>14.537594335040026</c:v>
                      </c:pt>
                      <c:pt idx="35">
                        <c:v>13.815269044703273</c:v>
                      </c:pt>
                      <c:pt idx="36">
                        <c:v>13.092943754369038</c:v>
                      </c:pt>
                      <c:pt idx="37">
                        <c:v>12.370618464037324</c:v>
                      </c:pt>
                      <c:pt idx="38">
                        <c:v>11.648293173698049</c:v>
                      </c:pt>
                      <c:pt idx="39">
                        <c:v>10.925967883366335</c:v>
                      </c:pt>
                      <c:pt idx="40">
                        <c:v>10.20364259302958</c:v>
                      </c:pt>
                      <c:pt idx="41">
                        <c:v>9.4813173026928261</c:v>
                      </c:pt>
                      <c:pt idx="42">
                        <c:v>8.7589920123585898</c:v>
                      </c:pt>
                      <c:pt idx="43">
                        <c:v>8.0366667220243553</c:v>
                      </c:pt>
                      <c:pt idx="44">
                        <c:v>7.3143414316901207</c:v>
                      </c:pt>
                      <c:pt idx="45">
                        <c:v>6.5920161413558871</c:v>
                      </c:pt>
                      <c:pt idx="46">
                        <c:v>5.8696908510191319</c:v>
                      </c:pt>
                      <c:pt idx="47">
                        <c:v>5.147365560687418</c:v>
                      </c:pt>
                      <c:pt idx="48">
                        <c:v>4.4250402703506628</c:v>
                      </c:pt>
                      <c:pt idx="49">
                        <c:v>3.7027149800164283</c:v>
                      </c:pt>
                      <c:pt idx="50">
                        <c:v>2.9803896896821938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BCD-4AB3-8607-1A42AE26C775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グラフ!$AC$5</c15:sqref>
                        </c15:formulaRef>
                      </c:ext>
                    </c:extLst>
                    <c:strCache>
                      <c:ptCount val="1"/>
                      <c:pt idx="0">
                        <c:v>inner応力:Δ-30℃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グラフ!$AC$6:$AC$56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302.16444084778072</c:v>
                      </c:pt>
                      <c:pt idx="1">
                        <c:v>298.4753433486145</c:v>
                      </c:pt>
                      <c:pt idx="2">
                        <c:v>294.78624584946107</c:v>
                      </c:pt>
                      <c:pt idx="3">
                        <c:v>291.09714835030763</c:v>
                      </c:pt>
                      <c:pt idx="4">
                        <c:v>287.40805085114141</c:v>
                      </c:pt>
                      <c:pt idx="5">
                        <c:v>283.71895335198803</c:v>
                      </c:pt>
                      <c:pt idx="6">
                        <c:v>280.0298558528346</c:v>
                      </c:pt>
                      <c:pt idx="7">
                        <c:v>276.34075835366838</c:v>
                      </c:pt>
                      <c:pt idx="8">
                        <c:v>272.65166085452779</c:v>
                      </c:pt>
                      <c:pt idx="9">
                        <c:v>268.96256335537441</c:v>
                      </c:pt>
                      <c:pt idx="10">
                        <c:v>265.27346585620813</c:v>
                      </c:pt>
                      <c:pt idx="11">
                        <c:v>261.58436835705476</c:v>
                      </c:pt>
                      <c:pt idx="12">
                        <c:v>257.89527085788853</c:v>
                      </c:pt>
                      <c:pt idx="13">
                        <c:v>254.20617335874798</c:v>
                      </c:pt>
                      <c:pt idx="14">
                        <c:v>250.51707585958169</c:v>
                      </c:pt>
                      <c:pt idx="15">
                        <c:v>246.82797836044122</c:v>
                      </c:pt>
                      <c:pt idx="16">
                        <c:v>243.13888086127491</c:v>
                      </c:pt>
                      <c:pt idx="17">
                        <c:v>239.44978336210866</c:v>
                      </c:pt>
                      <c:pt idx="18">
                        <c:v>235.76068586296813</c:v>
                      </c:pt>
                      <c:pt idx="19">
                        <c:v>232.07158836380185</c:v>
                      </c:pt>
                      <c:pt idx="20">
                        <c:v>228.3824908646356</c:v>
                      </c:pt>
                      <c:pt idx="21">
                        <c:v>224.6933933654951</c:v>
                      </c:pt>
                      <c:pt idx="22">
                        <c:v>221.00429586631594</c:v>
                      </c:pt>
                      <c:pt idx="23">
                        <c:v>217.31519836717538</c:v>
                      </c:pt>
                      <c:pt idx="24">
                        <c:v>213.62610086800913</c:v>
                      </c:pt>
                      <c:pt idx="25">
                        <c:v>209.93700336885576</c:v>
                      </c:pt>
                      <c:pt idx="26">
                        <c:v>206.24790586971525</c:v>
                      </c:pt>
                      <c:pt idx="27">
                        <c:v>202.558808370549</c:v>
                      </c:pt>
                      <c:pt idx="28">
                        <c:v>198.86971087140844</c:v>
                      </c:pt>
                      <c:pt idx="29">
                        <c:v>195.18061337222929</c:v>
                      </c:pt>
                      <c:pt idx="30">
                        <c:v>191.49151587308879</c:v>
                      </c:pt>
                      <c:pt idx="31">
                        <c:v>187.80241837392254</c:v>
                      </c:pt>
                      <c:pt idx="32">
                        <c:v>184.11332087476916</c:v>
                      </c:pt>
                      <c:pt idx="33">
                        <c:v>180.42422337560288</c:v>
                      </c:pt>
                      <c:pt idx="34">
                        <c:v>176.73512587644944</c:v>
                      </c:pt>
                      <c:pt idx="35">
                        <c:v>173.04602837728319</c:v>
                      </c:pt>
                      <c:pt idx="36">
                        <c:v>169.35693087815554</c:v>
                      </c:pt>
                      <c:pt idx="37">
                        <c:v>165.66783337900216</c:v>
                      </c:pt>
                      <c:pt idx="38">
                        <c:v>161.97873587983591</c:v>
                      </c:pt>
                      <c:pt idx="39">
                        <c:v>158.28963838069538</c:v>
                      </c:pt>
                      <c:pt idx="40">
                        <c:v>154.60054088151622</c:v>
                      </c:pt>
                      <c:pt idx="41">
                        <c:v>150.91144338236285</c:v>
                      </c:pt>
                      <c:pt idx="42">
                        <c:v>147.22234588320944</c:v>
                      </c:pt>
                      <c:pt idx="43">
                        <c:v>143.53324838404319</c:v>
                      </c:pt>
                      <c:pt idx="44">
                        <c:v>139.84415088487691</c:v>
                      </c:pt>
                      <c:pt idx="45">
                        <c:v>136.15505338573641</c:v>
                      </c:pt>
                      <c:pt idx="46">
                        <c:v>132.46595588658298</c:v>
                      </c:pt>
                      <c:pt idx="47">
                        <c:v>128.7768583874296</c:v>
                      </c:pt>
                      <c:pt idx="48">
                        <c:v>125.08776088827622</c:v>
                      </c:pt>
                      <c:pt idx="49">
                        <c:v>121.39866338912283</c:v>
                      </c:pt>
                      <c:pt idx="50">
                        <c:v>117.70956588995655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D-4AB3-8607-1A42AE26C775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グラフ!$AD$5</c15:sqref>
                        </c15:formulaRef>
                      </c:ext>
                    </c:extLst>
                    <c:strCache>
                      <c:ptCount val="1"/>
                      <c:pt idx="0">
                        <c:v>inner応力:Δ-20℃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グラフ!$AD$6:$AD$56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285.08311354817113</c:v>
                      </c:pt>
                      <c:pt idx="1">
                        <c:v>281.3940160490306</c:v>
                      </c:pt>
                      <c:pt idx="2">
                        <c:v>277.70491854986426</c:v>
                      </c:pt>
                      <c:pt idx="3">
                        <c:v>274.01582105069804</c:v>
                      </c:pt>
                      <c:pt idx="4">
                        <c:v>270.32672355154466</c:v>
                      </c:pt>
                      <c:pt idx="5">
                        <c:v>266.63762605237838</c:v>
                      </c:pt>
                      <c:pt idx="6">
                        <c:v>262.94852855323785</c:v>
                      </c:pt>
                      <c:pt idx="7">
                        <c:v>259.25943105407157</c:v>
                      </c:pt>
                      <c:pt idx="8">
                        <c:v>255.57033355491816</c:v>
                      </c:pt>
                      <c:pt idx="9">
                        <c:v>251.88123605577769</c:v>
                      </c:pt>
                      <c:pt idx="10">
                        <c:v>248.19213855659854</c:v>
                      </c:pt>
                      <c:pt idx="11">
                        <c:v>244.50304105745801</c:v>
                      </c:pt>
                      <c:pt idx="12">
                        <c:v>240.81394355829175</c:v>
                      </c:pt>
                      <c:pt idx="13">
                        <c:v>237.12484605913838</c:v>
                      </c:pt>
                      <c:pt idx="14">
                        <c:v>233.43574855998494</c:v>
                      </c:pt>
                      <c:pt idx="15">
                        <c:v>229.74665106083154</c:v>
                      </c:pt>
                      <c:pt idx="16">
                        <c:v>226.05755356167816</c:v>
                      </c:pt>
                      <c:pt idx="17">
                        <c:v>222.36845606251191</c:v>
                      </c:pt>
                      <c:pt idx="18">
                        <c:v>218.67935856335853</c:v>
                      </c:pt>
                      <c:pt idx="19">
                        <c:v>214.99026106420516</c:v>
                      </c:pt>
                      <c:pt idx="20">
                        <c:v>211.30116356502597</c:v>
                      </c:pt>
                      <c:pt idx="21">
                        <c:v>207.61206606588544</c:v>
                      </c:pt>
                      <c:pt idx="22">
                        <c:v>203.92296856671919</c:v>
                      </c:pt>
                      <c:pt idx="23">
                        <c:v>200.23387106756581</c:v>
                      </c:pt>
                      <c:pt idx="24">
                        <c:v>196.54477356841244</c:v>
                      </c:pt>
                      <c:pt idx="25">
                        <c:v>192.85567606927191</c:v>
                      </c:pt>
                      <c:pt idx="26">
                        <c:v>189.16657857011847</c:v>
                      </c:pt>
                      <c:pt idx="27">
                        <c:v>185.47748107093935</c:v>
                      </c:pt>
                      <c:pt idx="28">
                        <c:v>181.78838357179885</c:v>
                      </c:pt>
                      <c:pt idx="29">
                        <c:v>178.09928607263259</c:v>
                      </c:pt>
                      <c:pt idx="30">
                        <c:v>174.41018857347916</c:v>
                      </c:pt>
                      <c:pt idx="31">
                        <c:v>170.72109107431291</c:v>
                      </c:pt>
                      <c:pt idx="32">
                        <c:v>167.03199357517238</c:v>
                      </c:pt>
                      <c:pt idx="33">
                        <c:v>163.34289607599322</c:v>
                      </c:pt>
                      <c:pt idx="34">
                        <c:v>159.65379857686557</c:v>
                      </c:pt>
                      <c:pt idx="35">
                        <c:v>155.96470107769932</c:v>
                      </c:pt>
                      <c:pt idx="36">
                        <c:v>152.27560357854594</c:v>
                      </c:pt>
                      <c:pt idx="37">
                        <c:v>148.58650607940541</c:v>
                      </c:pt>
                      <c:pt idx="38">
                        <c:v>144.89740858022626</c:v>
                      </c:pt>
                      <c:pt idx="39">
                        <c:v>141.20831108108575</c:v>
                      </c:pt>
                      <c:pt idx="40">
                        <c:v>137.5192135819195</c:v>
                      </c:pt>
                      <c:pt idx="41">
                        <c:v>133.83011608275319</c:v>
                      </c:pt>
                      <c:pt idx="42">
                        <c:v>130.14101858359982</c:v>
                      </c:pt>
                      <c:pt idx="43">
                        <c:v>126.45192108444644</c:v>
                      </c:pt>
                      <c:pt idx="44">
                        <c:v>122.76282358529303</c:v>
                      </c:pt>
                      <c:pt idx="45">
                        <c:v>119.07372608613964</c:v>
                      </c:pt>
                      <c:pt idx="46">
                        <c:v>115.38462858697338</c:v>
                      </c:pt>
                      <c:pt idx="47">
                        <c:v>111.69553108783286</c:v>
                      </c:pt>
                      <c:pt idx="48">
                        <c:v>108.00643358866657</c:v>
                      </c:pt>
                      <c:pt idx="49">
                        <c:v>104.31733608951319</c:v>
                      </c:pt>
                      <c:pt idx="50">
                        <c:v>100.62823859035981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BCD-4AB3-8607-1A42AE26C775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グラフ!$AE$5</c15:sqref>
                        </c15:formulaRef>
                      </c:ext>
                    </c:extLst>
                    <c:strCache>
                      <c:ptCount val="1"/>
                      <c:pt idx="0">
                        <c:v>inner応力:Δ-10℃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グラフ!$AE$6:$AE$56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268.00178624857432</c:v>
                      </c:pt>
                      <c:pt idx="1">
                        <c:v>264.31268874942094</c:v>
                      </c:pt>
                      <c:pt idx="2">
                        <c:v>260.62359125026751</c:v>
                      </c:pt>
                      <c:pt idx="3">
                        <c:v>256.93449375108844</c:v>
                      </c:pt>
                      <c:pt idx="4">
                        <c:v>253.24539625194791</c:v>
                      </c:pt>
                      <c:pt idx="5">
                        <c:v>249.55629875278169</c:v>
                      </c:pt>
                      <c:pt idx="6">
                        <c:v>245.86720125362822</c:v>
                      </c:pt>
                      <c:pt idx="7">
                        <c:v>242.17810375447482</c:v>
                      </c:pt>
                      <c:pt idx="8">
                        <c:v>238.4890062553086</c:v>
                      </c:pt>
                      <c:pt idx="9">
                        <c:v>234.79990875618094</c:v>
                      </c:pt>
                      <c:pt idx="10">
                        <c:v>231.11081125700179</c:v>
                      </c:pt>
                      <c:pt idx="11">
                        <c:v>227.42171375784841</c:v>
                      </c:pt>
                      <c:pt idx="12">
                        <c:v>223.732616258695</c:v>
                      </c:pt>
                      <c:pt idx="13">
                        <c:v>220.04351875952869</c:v>
                      </c:pt>
                      <c:pt idx="14">
                        <c:v>216.35442126038822</c:v>
                      </c:pt>
                      <c:pt idx="15">
                        <c:v>212.66532376123484</c:v>
                      </c:pt>
                      <c:pt idx="16">
                        <c:v>208.97622626206856</c:v>
                      </c:pt>
                      <c:pt idx="17">
                        <c:v>205.28712876291516</c:v>
                      </c:pt>
                      <c:pt idx="18">
                        <c:v>201.59803126374891</c:v>
                      </c:pt>
                      <c:pt idx="19">
                        <c:v>197.90893376459547</c:v>
                      </c:pt>
                      <c:pt idx="20">
                        <c:v>194.21983626542922</c:v>
                      </c:pt>
                      <c:pt idx="21">
                        <c:v>190.53073876627585</c:v>
                      </c:pt>
                      <c:pt idx="22">
                        <c:v>186.84164126712244</c:v>
                      </c:pt>
                      <c:pt idx="23">
                        <c:v>183.15254376798194</c:v>
                      </c:pt>
                      <c:pt idx="24">
                        <c:v>179.46344626881569</c:v>
                      </c:pt>
                      <c:pt idx="25">
                        <c:v>175.77434876966231</c:v>
                      </c:pt>
                      <c:pt idx="26">
                        <c:v>172.08525127050888</c:v>
                      </c:pt>
                      <c:pt idx="27">
                        <c:v>168.3961537713426</c:v>
                      </c:pt>
                      <c:pt idx="28">
                        <c:v>164.70705627218922</c:v>
                      </c:pt>
                      <c:pt idx="29">
                        <c:v>161.01795877302297</c:v>
                      </c:pt>
                      <c:pt idx="30">
                        <c:v>157.32886127388244</c:v>
                      </c:pt>
                      <c:pt idx="31">
                        <c:v>153.63976377470328</c:v>
                      </c:pt>
                      <c:pt idx="32">
                        <c:v>149.9506662755885</c:v>
                      </c:pt>
                      <c:pt idx="33">
                        <c:v>146.26156877640938</c:v>
                      </c:pt>
                      <c:pt idx="34">
                        <c:v>142.57247127725597</c:v>
                      </c:pt>
                      <c:pt idx="35">
                        <c:v>138.88337377810259</c:v>
                      </c:pt>
                      <c:pt idx="36">
                        <c:v>135.19427627893631</c:v>
                      </c:pt>
                      <c:pt idx="37">
                        <c:v>131.50517877979578</c:v>
                      </c:pt>
                      <c:pt idx="38">
                        <c:v>127.81608128062953</c:v>
                      </c:pt>
                      <c:pt idx="39">
                        <c:v>124.12698378147613</c:v>
                      </c:pt>
                      <c:pt idx="40">
                        <c:v>120.43788628230986</c:v>
                      </c:pt>
                      <c:pt idx="41">
                        <c:v>116.74878878315647</c:v>
                      </c:pt>
                      <c:pt idx="42">
                        <c:v>113.05969128401597</c:v>
                      </c:pt>
                      <c:pt idx="43">
                        <c:v>109.37059378484969</c:v>
                      </c:pt>
                      <c:pt idx="44">
                        <c:v>105.68149628568342</c:v>
                      </c:pt>
                      <c:pt idx="45">
                        <c:v>101.99239878654289</c:v>
                      </c:pt>
                      <c:pt idx="46">
                        <c:v>98.303301287363752</c:v>
                      </c:pt>
                      <c:pt idx="47">
                        <c:v>94.614203788223236</c:v>
                      </c:pt>
                      <c:pt idx="48">
                        <c:v>90.925106289069845</c:v>
                      </c:pt>
                      <c:pt idx="49">
                        <c:v>87.236008789903579</c:v>
                      </c:pt>
                      <c:pt idx="50">
                        <c:v>83.546911290750174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BCD-4AB3-8607-1A42AE26C775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グラフ!$AF$5</c15:sqref>
                        </c15:formulaRef>
                      </c:ext>
                    </c:extLst>
                    <c:strCache>
                      <c:ptCount val="1"/>
                      <c:pt idx="0">
                        <c:v>inner応力:Δ0℃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グラフ!$AF$6:$AF$56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250.92045894897757</c:v>
                      </c:pt>
                      <c:pt idx="1">
                        <c:v>247.23136144981132</c:v>
                      </c:pt>
                      <c:pt idx="2">
                        <c:v>243.54226395067082</c:v>
                      </c:pt>
                      <c:pt idx="3">
                        <c:v>239.85316645149172</c:v>
                      </c:pt>
                      <c:pt idx="4">
                        <c:v>236.16406895233823</c:v>
                      </c:pt>
                      <c:pt idx="5">
                        <c:v>232.47497145318485</c:v>
                      </c:pt>
                      <c:pt idx="6">
                        <c:v>228.78587395401863</c:v>
                      </c:pt>
                      <c:pt idx="7">
                        <c:v>225.0967764548781</c:v>
                      </c:pt>
                      <c:pt idx="8">
                        <c:v>221.40767895571184</c:v>
                      </c:pt>
                      <c:pt idx="9">
                        <c:v>217.71858145657131</c:v>
                      </c:pt>
                      <c:pt idx="10">
                        <c:v>214.02948395740503</c:v>
                      </c:pt>
                      <c:pt idx="11">
                        <c:v>210.34038645823875</c:v>
                      </c:pt>
                      <c:pt idx="12">
                        <c:v>206.65128895909825</c:v>
                      </c:pt>
                      <c:pt idx="13">
                        <c:v>202.962191459932</c:v>
                      </c:pt>
                      <c:pt idx="14">
                        <c:v>199.27309396077857</c:v>
                      </c:pt>
                      <c:pt idx="15">
                        <c:v>195.58399646163809</c:v>
                      </c:pt>
                      <c:pt idx="16">
                        <c:v>191.89489896245894</c:v>
                      </c:pt>
                      <c:pt idx="17">
                        <c:v>188.20580146330553</c:v>
                      </c:pt>
                      <c:pt idx="18">
                        <c:v>184.51670396415216</c:v>
                      </c:pt>
                      <c:pt idx="19">
                        <c:v>180.82760646498585</c:v>
                      </c:pt>
                      <c:pt idx="20">
                        <c:v>177.13850896583247</c:v>
                      </c:pt>
                      <c:pt idx="21">
                        <c:v>173.44941146669197</c:v>
                      </c:pt>
                      <c:pt idx="22">
                        <c:v>169.76031396752572</c:v>
                      </c:pt>
                      <c:pt idx="23">
                        <c:v>166.07121646837234</c:v>
                      </c:pt>
                      <c:pt idx="24">
                        <c:v>162.38211896920603</c:v>
                      </c:pt>
                      <c:pt idx="25">
                        <c:v>158.69302147006553</c:v>
                      </c:pt>
                      <c:pt idx="26">
                        <c:v>155.00392397089925</c:v>
                      </c:pt>
                      <c:pt idx="27">
                        <c:v>151.314826471733</c:v>
                      </c:pt>
                      <c:pt idx="28">
                        <c:v>147.62572897259247</c:v>
                      </c:pt>
                      <c:pt idx="29">
                        <c:v>143.93663147341331</c:v>
                      </c:pt>
                      <c:pt idx="30">
                        <c:v>140.24753397429853</c:v>
                      </c:pt>
                      <c:pt idx="31">
                        <c:v>136.55843647511941</c:v>
                      </c:pt>
                      <c:pt idx="32">
                        <c:v>132.86933897597891</c:v>
                      </c:pt>
                      <c:pt idx="33">
                        <c:v>129.18024147681263</c:v>
                      </c:pt>
                      <c:pt idx="34">
                        <c:v>125.49114397764636</c:v>
                      </c:pt>
                      <c:pt idx="35">
                        <c:v>121.80204647849295</c:v>
                      </c:pt>
                      <c:pt idx="36">
                        <c:v>118.11294897933958</c:v>
                      </c:pt>
                      <c:pt idx="37">
                        <c:v>114.42385148018617</c:v>
                      </c:pt>
                      <c:pt idx="38">
                        <c:v>110.73475398101989</c:v>
                      </c:pt>
                      <c:pt idx="39">
                        <c:v>107.04565648187939</c:v>
                      </c:pt>
                      <c:pt idx="40">
                        <c:v>103.35655898272599</c:v>
                      </c:pt>
                      <c:pt idx="41">
                        <c:v>99.667461483559734</c:v>
                      </c:pt>
                      <c:pt idx="42">
                        <c:v>95.978363984406329</c:v>
                      </c:pt>
                      <c:pt idx="43">
                        <c:v>92.289266485252938</c:v>
                      </c:pt>
                      <c:pt idx="44">
                        <c:v>88.600168986073811</c:v>
                      </c:pt>
                      <c:pt idx="45">
                        <c:v>84.911071486933267</c:v>
                      </c:pt>
                      <c:pt idx="46">
                        <c:v>81.221973987767015</c:v>
                      </c:pt>
                      <c:pt idx="47">
                        <c:v>77.532876488613624</c:v>
                      </c:pt>
                      <c:pt idx="48">
                        <c:v>73.843778989460219</c:v>
                      </c:pt>
                      <c:pt idx="49">
                        <c:v>70.154681490306828</c:v>
                      </c:pt>
                      <c:pt idx="50">
                        <c:v>66.465583991166312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BCD-4AB3-8607-1A42AE26C775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グラフ!$AG$5</c15:sqref>
                        </c15:formulaRef>
                      </c:ext>
                    </c:extLst>
                    <c:strCache>
                      <c:ptCount val="1"/>
                      <c:pt idx="0">
                        <c:v>inner応力:Δ+10℃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グラフ!$AG$6:$AG$56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233.83913164938087</c:v>
                      </c:pt>
                      <c:pt idx="1">
                        <c:v>230.15003415021457</c:v>
                      </c:pt>
                      <c:pt idx="2">
                        <c:v>226.46093665106119</c:v>
                      </c:pt>
                      <c:pt idx="3">
                        <c:v>222.77183915189491</c:v>
                      </c:pt>
                      <c:pt idx="4">
                        <c:v>219.08274165272869</c:v>
                      </c:pt>
                      <c:pt idx="5">
                        <c:v>215.39364415358813</c:v>
                      </c:pt>
                      <c:pt idx="6">
                        <c:v>211.70454665442185</c:v>
                      </c:pt>
                      <c:pt idx="7">
                        <c:v>208.01544915526847</c:v>
                      </c:pt>
                      <c:pt idx="8">
                        <c:v>204.32635165611509</c:v>
                      </c:pt>
                      <c:pt idx="9">
                        <c:v>200.63725415696172</c:v>
                      </c:pt>
                      <c:pt idx="10">
                        <c:v>196.94815665780831</c:v>
                      </c:pt>
                      <c:pt idx="11">
                        <c:v>193.259059158642</c:v>
                      </c:pt>
                      <c:pt idx="12">
                        <c:v>189.56996165948863</c:v>
                      </c:pt>
                      <c:pt idx="13">
                        <c:v>185.88086416033525</c:v>
                      </c:pt>
                      <c:pt idx="14">
                        <c:v>182.191766661169</c:v>
                      </c:pt>
                      <c:pt idx="15">
                        <c:v>178.5026691620285</c:v>
                      </c:pt>
                      <c:pt idx="16">
                        <c:v>174.81357166286216</c:v>
                      </c:pt>
                      <c:pt idx="17">
                        <c:v>171.12447416369591</c:v>
                      </c:pt>
                      <c:pt idx="18">
                        <c:v>167.43537666455541</c:v>
                      </c:pt>
                      <c:pt idx="19">
                        <c:v>163.74627916540203</c:v>
                      </c:pt>
                      <c:pt idx="20">
                        <c:v>160.05718166623575</c:v>
                      </c:pt>
                      <c:pt idx="21">
                        <c:v>156.36808416708234</c:v>
                      </c:pt>
                      <c:pt idx="22">
                        <c:v>152.67898666791606</c:v>
                      </c:pt>
                      <c:pt idx="23">
                        <c:v>148.98988916877556</c:v>
                      </c:pt>
                      <c:pt idx="24">
                        <c:v>145.30079166959641</c:v>
                      </c:pt>
                      <c:pt idx="25">
                        <c:v>141.61169417045588</c:v>
                      </c:pt>
                      <c:pt idx="26">
                        <c:v>137.9225966713025</c:v>
                      </c:pt>
                      <c:pt idx="27">
                        <c:v>134.23349917212335</c:v>
                      </c:pt>
                      <c:pt idx="28">
                        <c:v>130.54440167300859</c:v>
                      </c:pt>
                      <c:pt idx="29">
                        <c:v>126.85530417382945</c:v>
                      </c:pt>
                      <c:pt idx="30">
                        <c:v>123.16620667468892</c:v>
                      </c:pt>
                      <c:pt idx="31">
                        <c:v>119.47710917552267</c:v>
                      </c:pt>
                      <c:pt idx="32">
                        <c:v>115.78801167636925</c:v>
                      </c:pt>
                      <c:pt idx="33">
                        <c:v>112.09891417720301</c:v>
                      </c:pt>
                      <c:pt idx="34">
                        <c:v>108.40981667804962</c:v>
                      </c:pt>
                      <c:pt idx="35">
                        <c:v>104.72071917888334</c:v>
                      </c:pt>
                      <c:pt idx="36">
                        <c:v>101.03162167972997</c:v>
                      </c:pt>
                      <c:pt idx="37">
                        <c:v>97.342524180589436</c:v>
                      </c:pt>
                      <c:pt idx="38">
                        <c:v>93.653426681436031</c:v>
                      </c:pt>
                      <c:pt idx="39">
                        <c:v>89.96432918228264</c:v>
                      </c:pt>
                      <c:pt idx="40">
                        <c:v>86.275231683116374</c:v>
                      </c:pt>
                      <c:pt idx="41">
                        <c:v>82.586134183962983</c:v>
                      </c:pt>
                      <c:pt idx="42">
                        <c:v>78.897036684796717</c:v>
                      </c:pt>
                      <c:pt idx="43">
                        <c:v>75.207939185643312</c:v>
                      </c:pt>
                      <c:pt idx="44">
                        <c:v>71.518841686477046</c:v>
                      </c:pt>
                      <c:pt idx="45">
                        <c:v>67.829744187323655</c:v>
                      </c:pt>
                      <c:pt idx="46">
                        <c:v>64.140646688157389</c:v>
                      </c:pt>
                      <c:pt idx="47">
                        <c:v>60.45154918901688</c:v>
                      </c:pt>
                      <c:pt idx="48">
                        <c:v>56.762451689876357</c:v>
                      </c:pt>
                      <c:pt idx="49">
                        <c:v>53.073354190710091</c:v>
                      </c:pt>
                      <c:pt idx="50">
                        <c:v>49.384256691556686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BCD-4AB3-8607-1A42AE26C775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グラフ!$AH$5</c15:sqref>
                        </c15:formulaRef>
                      </c:ext>
                    </c:extLst>
                    <c:strCache>
                      <c:ptCount val="1"/>
                      <c:pt idx="0">
                        <c:v>inner応力:Δ+20℃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グラフ!$AH$6:$AH$56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216.75780434977125</c:v>
                      </c:pt>
                      <c:pt idx="1">
                        <c:v>213.06870685061787</c:v>
                      </c:pt>
                      <c:pt idx="2">
                        <c:v>209.37960935145156</c:v>
                      </c:pt>
                      <c:pt idx="3">
                        <c:v>205.69051185229819</c:v>
                      </c:pt>
                      <c:pt idx="4">
                        <c:v>202.00141435313188</c:v>
                      </c:pt>
                      <c:pt idx="5">
                        <c:v>198.3123168539785</c:v>
                      </c:pt>
                      <c:pt idx="6">
                        <c:v>194.62321935482512</c:v>
                      </c:pt>
                      <c:pt idx="7">
                        <c:v>190.93412185565887</c:v>
                      </c:pt>
                      <c:pt idx="8">
                        <c:v>187.24502435651834</c:v>
                      </c:pt>
                      <c:pt idx="9">
                        <c:v>183.55592685736494</c:v>
                      </c:pt>
                      <c:pt idx="10">
                        <c:v>179.86682935819866</c:v>
                      </c:pt>
                      <c:pt idx="11">
                        <c:v>176.17773185904528</c:v>
                      </c:pt>
                      <c:pt idx="12">
                        <c:v>172.48863435987903</c:v>
                      </c:pt>
                      <c:pt idx="13">
                        <c:v>168.79953686072562</c:v>
                      </c:pt>
                      <c:pt idx="14">
                        <c:v>165.11043936157225</c:v>
                      </c:pt>
                      <c:pt idx="15">
                        <c:v>161.42134186241881</c:v>
                      </c:pt>
                      <c:pt idx="16">
                        <c:v>157.73224436326544</c:v>
                      </c:pt>
                      <c:pt idx="17">
                        <c:v>154.04314686411203</c:v>
                      </c:pt>
                      <c:pt idx="18">
                        <c:v>150.35404936495866</c:v>
                      </c:pt>
                      <c:pt idx="19">
                        <c:v>146.6649518657924</c:v>
                      </c:pt>
                      <c:pt idx="20">
                        <c:v>142.97585436662612</c:v>
                      </c:pt>
                      <c:pt idx="21">
                        <c:v>139.28675686748559</c:v>
                      </c:pt>
                      <c:pt idx="22">
                        <c:v>135.59765936830644</c:v>
                      </c:pt>
                      <c:pt idx="23">
                        <c:v>131.90856186916594</c:v>
                      </c:pt>
                      <c:pt idx="24">
                        <c:v>128.21946436999968</c:v>
                      </c:pt>
                      <c:pt idx="25">
                        <c:v>124.53036687084629</c:v>
                      </c:pt>
                      <c:pt idx="26">
                        <c:v>120.84126937171864</c:v>
                      </c:pt>
                      <c:pt idx="27">
                        <c:v>117.15217187253948</c:v>
                      </c:pt>
                      <c:pt idx="28">
                        <c:v>113.46307437339897</c:v>
                      </c:pt>
                      <c:pt idx="29">
                        <c:v>109.77397687423272</c:v>
                      </c:pt>
                      <c:pt idx="30">
                        <c:v>106.0848793750793</c:v>
                      </c:pt>
                      <c:pt idx="31">
                        <c:v>102.39578187591306</c:v>
                      </c:pt>
                      <c:pt idx="32">
                        <c:v>98.706684376772529</c:v>
                      </c:pt>
                      <c:pt idx="33">
                        <c:v>95.017586877593388</c:v>
                      </c:pt>
                      <c:pt idx="34">
                        <c:v>91.328489378439983</c:v>
                      </c:pt>
                      <c:pt idx="35">
                        <c:v>87.639391879286606</c:v>
                      </c:pt>
                      <c:pt idx="36">
                        <c:v>83.950294380146076</c:v>
                      </c:pt>
                      <c:pt idx="37">
                        <c:v>80.261196880992685</c:v>
                      </c:pt>
                      <c:pt idx="38">
                        <c:v>76.572099381826419</c:v>
                      </c:pt>
                      <c:pt idx="39">
                        <c:v>72.883001882685889</c:v>
                      </c:pt>
                      <c:pt idx="40">
                        <c:v>69.193904383506762</c:v>
                      </c:pt>
                      <c:pt idx="41">
                        <c:v>65.504806884353357</c:v>
                      </c:pt>
                      <c:pt idx="42">
                        <c:v>61.815709385199966</c:v>
                      </c:pt>
                      <c:pt idx="43">
                        <c:v>58.126611886033707</c:v>
                      </c:pt>
                      <c:pt idx="44">
                        <c:v>54.437514386867434</c:v>
                      </c:pt>
                      <c:pt idx="45">
                        <c:v>50.748416887726911</c:v>
                      </c:pt>
                      <c:pt idx="46">
                        <c:v>47.05931938857352</c:v>
                      </c:pt>
                      <c:pt idx="47">
                        <c:v>43.370221889420122</c:v>
                      </c:pt>
                      <c:pt idx="48">
                        <c:v>39.681124390266724</c:v>
                      </c:pt>
                      <c:pt idx="49">
                        <c:v>35.992026891113333</c:v>
                      </c:pt>
                      <c:pt idx="50">
                        <c:v>32.302929391947075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BCD-4AB3-8607-1A42AE26C775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グラフ!$AI$5</c15:sqref>
                        </c15:formulaRef>
                      </c:ext>
                    </c:extLst>
                    <c:strCache>
                      <c:ptCount val="1"/>
                      <c:pt idx="0">
                        <c:v>inner応力:Δ+30℃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グラフ!$AI$6:$AI$56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199.67647705016159</c:v>
                      </c:pt>
                      <c:pt idx="1">
                        <c:v>195.98737955102106</c:v>
                      </c:pt>
                      <c:pt idx="2">
                        <c:v>192.29828205185481</c:v>
                      </c:pt>
                      <c:pt idx="3">
                        <c:v>188.60918455268856</c:v>
                      </c:pt>
                      <c:pt idx="4">
                        <c:v>184.92008705353518</c:v>
                      </c:pt>
                      <c:pt idx="5">
                        <c:v>181.23098955436893</c:v>
                      </c:pt>
                      <c:pt idx="6">
                        <c:v>177.54189205522837</c:v>
                      </c:pt>
                      <c:pt idx="7">
                        <c:v>173.85279455606209</c:v>
                      </c:pt>
                      <c:pt idx="8">
                        <c:v>170.16369705690872</c:v>
                      </c:pt>
                      <c:pt idx="9">
                        <c:v>166.47459955776822</c:v>
                      </c:pt>
                      <c:pt idx="10">
                        <c:v>162.78550205858906</c:v>
                      </c:pt>
                      <c:pt idx="11">
                        <c:v>159.09640455943568</c:v>
                      </c:pt>
                      <c:pt idx="12">
                        <c:v>155.40730706028228</c:v>
                      </c:pt>
                      <c:pt idx="13">
                        <c:v>151.718209561116</c:v>
                      </c:pt>
                      <c:pt idx="14">
                        <c:v>148.02911206197547</c:v>
                      </c:pt>
                      <c:pt idx="15">
                        <c:v>144.34001456283497</c:v>
                      </c:pt>
                      <c:pt idx="16">
                        <c:v>140.65091706366871</c:v>
                      </c:pt>
                      <c:pt idx="17">
                        <c:v>136.96181956450243</c:v>
                      </c:pt>
                      <c:pt idx="18">
                        <c:v>133.27272206534903</c:v>
                      </c:pt>
                      <c:pt idx="19">
                        <c:v>129.58362456619562</c:v>
                      </c:pt>
                      <c:pt idx="20">
                        <c:v>125.89452706701651</c:v>
                      </c:pt>
                      <c:pt idx="21">
                        <c:v>122.20542956787598</c:v>
                      </c:pt>
                      <c:pt idx="22">
                        <c:v>118.51633206870972</c:v>
                      </c:pt>
                      <c:pt idx="23">
                        <c:v>114.82723456955634</c:v>
                      </c:pt>
                      <c:pt idx="24">
                        <c:v>111.13813707041581</c:v>
                      </c:pt>
                      <c:pt idx="25">
                        <c:v>107.44903957126239</c:v>
                      </c:pt>
                      <c:pt idx="26">
                        <c:v>103.75994207210901</c:v>
                      </c:pt>
                      <c:pt idx="27">
                        <c:v>100.07084457294276</c:v>
                      </c:pt>
                      <c:pt idx="28">
                        <c:v>96.381747073789342</c:v>
                      </c:pt>
                      <c:pt idx="29">
                        <c:v>92.692649574623076</c:v>
                      </c:pt>
                      <c:pt idx="30">
                        <c:v>89.003552075482574</c:v>
                      </c:pt>
                      <c:pt idx="31">
                        <c:v>85.314454576303405</c:v>
                      </c:pt>
                      <c:pt idx="32">
                        <c:v>81.625357077162889</c:v>
                      </c:pt>
                      <c:pt idx="33">
                        <c:v>77.936259577996637</c:v>
                      </c:pt>
                      <c:pt idx="34">
                        <c:v>74.247162078856107</c:v>
                      </c:pt>
                      <c:pt idx="35">
                        <c:v>70.558064579689855</c:v>
                      </c:pt>
                      <c:pt idx="36">
                        <c:v>66.86896708053645</c:v>
                      </c:pt>
                      <c:pt idx="37">
                        <c:v>63.179869581395934</c:v>
                      </c:pt>
                      <c:pt idx="38">
                        <c:v>59.490772082216793</c:v>
                      </c:pt>
                      <c:pt idx="39">
                        <c:v>55.801674583076277</c:v>
                      </c:pt>
                      <c:pt idx="40">
                        <c:v>52.112577083910011</c:v>
                      </c:pt>
                      <c:pt idx="41">
                        <c:v>48.423479584743752</c:v>
                      </c:pt>
                      <c:pt idx="42">
                        <c:v>44.734382085590347</c:v>
                      </c:pt>
                      <c:pt idx="43">
                        <c:v>41.045284586436956</c:v>
                      </c:pt>
                      <c:pt idx="44">
                        <c:v>37.356187087283558</c:v>
                      </c:pt>
                      <c:pt idx="45">
                        <c:v>33.667089588130167</c:v>
                      </c:pt>
                      <c:pt idx="46">
                        <c:v>29.977992088963902</c:v>
                      </c:pt>
                      <c:pt idx="47">
                        <c:v>26.288894589823379</c:v>
                      </c:pt>
                      <c:pt idx="48">
                        <c:v>22.599797090657116</c:v>
                      </c:pt>
                      <c:pt idx="49">
                        <c:v>18.910699591503718</c:v>
                      </c:pt>
                      <c:pt idx="50">
                        <c:v>15.221602092350325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BCD-4AB3-8607-1A42AE26C775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グラフ!$AJ$5</c15:sqref>
                        </c15:formulaRef>
                      </c:ext>
                    </c:extLst>
                    <c:strCache>
                      <c:ptCount val="1"/>
                      <c:pt idx="0">
                        <c:v>inner降伏点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グラフ!$AJ$6:$AJ$56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345</c:v>
                      </c:pt>
                      <c:pt idx="1">
                        <c:v>345</c:v>
                      </c:pt>
                      <c:pt idx="2">
                        <c:v>345</c:v>
                      </c:pt>
                      <c:pt idx="3">
                        <c:v>345</c:v>
                      </c:pt>
                      <c:pt idx="4">
                        <c:v>345</c:v>
                      </c:pt>
                      <c:pt idx="5">
                        <c:v>345</c:v>
                      </c:pt>
                      <c:pt idx="6">
                        <c:v>345</c:v>
                      </c:pt>
                      <c:pt idx="7">
                        <c:v>345</c:v>
                      </c:pt>
                      <c:pt idx="8">
                        <c:v>345</c:v>
                      </c:pt>
                      <c:pt idx="9">
                        <c:v>345</c:v>
                      </c:pt>
                      <c:pt idx="10">
                        <c:v>345</c:v>
                      </c:pt>
                      <c:pt idx="11">
                        <c:v>345</c:v>
                      </c:pt>
                      <c:pt idx="12">
                        <c:v>345</c:v>
                      </c:pt>
                      <c:pt idx="13">
                        <c:v>345</c:v>
                      </c:pt>
                      <c:pt idx="14">
                        <c:v>345</c:v>
                      </c:pt>
                      <c:pt idx="15">
                        <c:v>345</c:v>
                      </c:pt>
                      <c:pt idx="16">
                        <c:v>345</c:v>
                      </c:pt>
                      <c:pt idx="17">
                        <c:v>345</c:v>
                      </c:pt>
                      <c:pt idx="18">
                        <c:v>345</c:v>
                      </c:pt>
                      <c:pt idx="19">
                        <c:v>345</c:v>
                      </c:pt>
                      <c:pt idx="20">
                        <c:v>345</c:v>
                      </c:pt>
                      <c:pt idx="21">
                        <c:v>345</c:v>
                      </c:pt>
                      <c:pt idx="22">
                        <c:v>345</c:v>
                      </c:pt>
                      <c:pt idx="23">
                        <c:v>345</c:v>
                      </c:pt>
                      <c:pt idx="24">
                        <c:v>345</c:v>
                      </c:pt>
                      <c:pt idx="25">
                        <c:v>345</c:v>
                      </c:pt>
                      <c:pt idx="26">
                        <c:v>345</c:v>
                      </c:pt>
                      <c:pt idx="27">
                        <c:v>345</c:v>
                      </c:pt>
                      <c:pt idx="28">
                        <c:v>345</c:v>
                      </c:pt>
                      <c:pt idx="29">
                        <c:v>345</c:v>
                      </c:pt>
                      <c:pt idx="30">
                        <c:v>345</c:v>
                      </c:pt>
                      <c:pt idx="31">
                        <c:v>345</c:v>
                      </c:pt>
                      <c:pt idx="32">
                        <c:v>345</c:v>
                      </c:pt>
                      <c:pt idx="33">
                        <c:v>345</c:v>
                      </c:pt>
                      <c:pt idx="34">
                        <c:v>345</c:v>
                      </c:pt>
                      <c:pt idx="35">
                        <c:v>345</c:v>
                      </c:pt>
                      <c:pt idx="36">
                        <c:v>345</c:v>
                      </c:pt>
                      <c:pt idx="37">
                        <c:v>345</c:v>
                      </c:pt>
                      <c:pt idx="38">
                        <c:v>345</c:v>
                      </c:pt>
                      <c:pt idx="39">
                        <c:v>345</c:v>
                      </c:pt>
                      <c:pt idx="40">
                        <c:v>345</c:v>
                      </c:pt>
                      <c:pt idx="41">
                        <c:v>345</c:v>
                      </c:pt>
                      <c:pt idx="42">
                        <c:v>345</c:v>
                      </c:pt>
                      <c:pt idx="43">
                        <c:v>345</c:v>
                      </c:pt>
                      <c:pt idx="44">
                        <c:v>345</c:v>
                      </c:pt>
                      <c:pt idx="45">
                        <c:v>345</c:v>
                      </c:pt>
                      <c:pt idx="46">
                        <c:v>345</c:v>
                      </c:pt>
                      <c:pt idx="47">
                        <c:v>345</c:v>
                      </c:pt>
                      <c:pt idx="48">
                        <c:v>345</c:v>
                      </c:pt>
                      <c:pt idx="49">
                        <c:v>345</c:v>
                      </c:pt>
                      <c:pt idx="50">
                        <c:v>345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BCD-4AB3-8607-1A42AE26C775}"/>
                  </c:ext>
                </c:extLst>
              </c15:ser>
            </c15:filteredScatterSeries>
          </c:ext>
        </c:extLst>
      </c:scatterChart>
      <c:valAx>
        <c:axId val="1878419104"/>
        <c:scaling>
          <c:orientation val="minMax"/>
          <c:max val="20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グラフ!$N$5</c:f>
              <c:strCache>
                <c:ptCount val="1"/>
                <c:pt idx="0">
                  <c:v>inner温度[℃]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8401216"/>
        <c:crosses val="autoZero"/>
        <c:crossBetween val="midCat"/>
      </c:valAx>
      <c:valAx>
        <c:axId val="18784012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グラフ!$AK$4</c:f>
              <c:strCache>
                <c:ptCount val="1"/>
                <c:pt idx="0">
                  <c:v>outer応力[MPa]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8419104"/>
        <c:crossesAt val="-100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'圧入力推定 (2)'!$W$16</c:f>
              <c:strCache>
                <c:ptCount val="1"/>
                <c:pt idx="0">
                  <c:v>Assy圧入力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'圧入力推定 (2)'!$C$17:$C$37</c:f>
              <c:numCache>
                <c:formatCode>General</c:formatCode>
                <c:ptCount val="21"/>
                <c:pt idx="0">
                  <c:v>40</c:v>
                </c:pt>
                <c:pt idx="1">
                  <c:v>38</c:v>
                </c:pt>
                <c:pt idx="2">
                  <c:v>36</c:v>
                </c:pt>
                <c:pt idx="3">
                  <c:v>34</c:v>
                </c:pt>
                <c:pt idx="4">
                  <c:v>32</c:v>
                </c:pt>
                <c:pt idx="5">
                  <c:v>30</c:v>
                </c:pt>
                <c:pt idx="6">
                  <c:v>28</c:v>
                </c:pt>
                <c:pt idx="7">
                  <c:v>26</c:v>
                </c:pt>
                <c:pt idx="8">
                  <c:v>24</c:v>
                </c:pt>
                <c:pt idx="9">
                  <c:v>22</c:v>
                </c:pt>
                <c:pt idx="10">
                  <c:v>20</c:v>
                </c:pt>
                <c:pt idx="11">
                  <c:v>18</c:v>
                </c:pt>
                <c:pt idx="12">
                  <c:v>16</c:v>
                </c:pt>
                <c:pt idx="13">
                  <c:v>14</c:v>
                </c:pt>
                <c:pt idx="14">
                  <c:v>12</c:v>
                </c:pt>
                <c:pt idx="15">
                  <c:v>10</c:v>
                </c:pt>
                <c:pt idx="16">
                  <c:v>8</c:v>
                </c:pt>
                <c:pt idx="17">
                  <c:v>6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</c:numCache>
            </c:numRef>
          </c:xVal>
          <c:yVal>
            <c:numRef>
              <c:f>'圧入力推定 (2)'!$W$17:$W$37</c:f>
              <c:numCache>
                <c:formatCode>0</c:formatCode>
                <c:ptCount val="21"/>
                <c:pt idx="0">
                  <c:v>8238.261999644048</c:v>
                </c:pt>
                <c:pt idx="1">
                  <c:v>8911.7175650647623</c:v>
                </c:pt>
                <c:pt idx="2">
                  <c:v>9585.1731304854766</c:v>
                </c:pt>
                <c:pt idx="3">
                  <c:v>10258.628695906191</c:v>
                </c:pt>
                <c:pt idx="4">
                  <c:v>10932.084261326905</c:v>
                </c:pt>
                <c:pt idx="5">
                  <c:v>11605.539826747619</c:v>
                </c:pt>
                <c:pt idx="6">
                  <c:v>12278.995392168334</c:v>
                </c:pt>
                <c:pt idx="7">
                  <c:v>12952.450957589048</c:v>
                </c:pt>
                <c:pt idx="8">
                  <c:v>13625.906523009764</c:v>
                </c:pt>
                <c:pt idx="9">
                  <c:v>14299.362088430478</c:v>
                </c:pt>
                <c:pt idx="10">
                  <c:v>14972.817653851193</c:v>
                </c:pt>
                <c:pt idx="11">
                  <c:v>15646.273219271909</c:v>
                </c:pt>
                <c:pt idx="12">
                  <c:v>16319.728784692621</c:v>
                </c:pt>
                <c:pt idx="13">
                  <c:v>16993.184350113333</c:v>
                </c:pt>
                <c:pt idx="14">
                  <c:v>17666.639915534048</c:v>
                </c:pt>
                <c:pt idx="15">
                  <c:v>18340.095480954766</c:v>
                </c:pt>
                <c:pt idx="16">
                  <c:v>19013.55104637548</c:v>
                </c:pt>
                <c:pt idx="17">
                  <c:v>19687.006611796194</c:v>
                </c:pt>
                <c:pt idx="18">
                  <c:v>20360.462177216908</c:v>
                </c:pt>
                <c:pt idx="19">
                  <c:v>21033.917742637623</c:v>
                </c:pt>
                <c:pt idx="20">
                  <c:v>21707.373308058337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3F-4BF6-A964-0CD1133735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002591"/>
        <c:axId val="953153871"/>
      </c:scatterChart>
      <c:valAx>
        <c:axId val="954002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'圧入力推定 (2)'!$C$16</c:f>
              <c:strCache>
                <c:ptCount val="1"/>
                <c:pt idx="0">
                  <c:v>内筒非はめあい径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3153871"/>
        <c:crosses val="autoZero"/>
        <c:crossBetween val="midCat"/>
      </c:valAx>
      <c:valAx>
        <c:axId val="95315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'圧入力推定 (2)'!$W$16</c:f>
              <c:strCache>
                <c:ptCount val="1"/>
                <c:pt idx="0">
                  <c:v>Assy圧入力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4002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MH</a:t>
            </a:r>
            <a:r>
              <a:rPr lang="ja-JP" altLang="en-US"/>
              <a:t>の</a:t>
            </a:r>
            <a:r>
              <a:rPr lang="en-US" altLang="ja-JP"/>
              <a:t>BRG</a:t>
            </a:r>
            <a:endParaRPr 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円筒近似!$K$2</c:f>
              <c:strCache>
                <c:ptCount val="1"/>
                <c:pt idx="0">
                  <c:v>内径変位D=100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円筒近似!$A$3:$A$23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円筒近似!$K$3:$K$23</c:f>
              <c:numCache>
                <c:formatCode>0.0000</c:formatCode>
                <c:ptCount val="21"/>
                <c:pt idx="0">
                  <c:v>0</c:v>
                </c:pt>
                <c:pt idx="1">
                  <c:v>1.9610479317345515E-3</c:v>
                </c:pt>
                <c:pt idx="2">
                  <c:v>3.9220958634691031E-3</c:v>
                </c:pt>
                <c:pt idx="3">
                  <c:v>5.8831437952036542E-3</c:v>
                </c:pt>
                <c:pt idx="4">
                  <c:v>7.8441917269382062E-3</c:v>
                </c:pt>
                <c:pt idx="5">
                  <c:v>9.8052396586727573E-3</c:v>
                </c:pt>
                <c:pt idx="6">
                  <c:v>1.1766287590407308E-2</c:v>
                </c:pt>
                <c:pt idx="7">
                  <c:v>1.3727335522141859E-2</c:v>
                </c:pt>
                <c:pt idx="8">
                  <c:v>1.5688383453876412E-2</c:v>
                </c:pt>
                <c:pt idx="9">
                  <c:v>1.7649431385610963E-2</c:v>
                </c:pt>
                <c:pt idx="10">
                  <c:v>1.9610479317345515E-2</c:v>
                </c:pt>
                <c:pt idx="11">
                  <c:v>2.1571527249080066E-2</c:v>
                </c:pt>
                <c:pt idx="12">
                  <c:v>2.3532575180814617E-2</c:v>
                </c:pt>
                <c:pt idx="13">
                  <c:v>2.5493623112549168E-2</c:v>
                </c:pt>
                <c:pt idx="14">
                  <c:v>2.7454671044283719E-2</c:v>
                </c:pt>
                <c:pt idx="15">
                  <c:v>2.941571897601827E-2</c:v>
                </c:pt>
                <c:pt idx="16">
                  <c:v>3.1376766907752825E-2</c:v>
                </c:pt>
                <c:pt idx="17">
                  <c:v>3.3337814839487376E-2</c:v>
                </c:pt>
                <c:pt idx="18">
                  <c:v>3.5298862771221927E-2</c:v>
                </c:pt>
                <c:pt idx="19">
                  <c:v>3.7259910702956478E-2</c:v>
                </c:pt>
                <c:pt idx="20">
                  <c:v>3.9220958634691029E-2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61-40BB-A7B9-9E13DB0ED033}"/>
            </c:ext>
          </c:extLst>
        </c:ser>
        <c:ser>
          <c:idx val="1"/>
          <c:order val="1"/>
          <c:tx>
            <c:strRef>
              <c:f>円筒近似!$L$2</c:f>
              <c:strCache>
                <c:ptCount val="1"/>
                <c:pt idx="0">
                  <c:v>内径変位D=110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円筒近似!$A$3:$A$23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円筒近似!$L$3:$L$23</c:f>
              <c:numCache>
                <c:formatCode>0.0000</c:formatCode>
                <c:ptCount val="21"/>
                <c:pt idx="0">
                  <c:v>0</c:v>
                </c:pt>
                <c:pt idx="1">
                  <c:v>1.2896961899602744E-3</c:v>
                </c:pt>
                <c:pt idx="2">
                  <c:v>2.5793923799205488E-3</c:v>
                </c:pt>
                <c:pt idx="3">
                  <c:v>3.8690885698808232E-3</c:v>
                </c:pt>
                <c:pt idx="4">
                  <c:v>5.1587847598410976E-3</c:v>
                </c:pt>
                <c:pt idx="5">
                  <c:v>6.4484809498013716E-3</c:v>
                </c:pt>
                <c:pt idx="6">
                  <c:v>7.7381771397616464E-3</c:v>
                </c:pt>
                <c:pt idx="7">
                  <c:v>9.0278733297219221E-3</c:v>
                </c:pt>
                <c:pt idx="8">
                  <c:v>1.0317569519682195E-2</c:v>
                </c:pt>
                <c:pt idx="9">
                  <c:v>1.160726570964247E-2</c:v>
                </c:pt>
                <c:pt idx="10">
                  <c:v>1.2896961899602743E-2</c:v>
                </c:pt>
                <c:pt idx="11">
                  <c:v>1.4186658089563018E-2</c:v>
                </c:pt>
                <c:pt idx="12">
                  <c:v>1.5476354279523293E-2</c:v>
                </c:pt>
                <c:pt idx="13">
                  <c:v>1.6766050469483568E-2</c:v>
                </c:pt>
                <c:pt idx="14">
                  <c:v>1.8055746659443844E-2</c:v>
                </c:pt>
                <c:pt idx="15">
                  <c:v>1.9345442849404117E-2</c:v>
                </c:pt>
                <c:pt idx="16">
                  <c:v>2.063513903936439E-2</c:v>
                </c:pt>
                <c:pt idx="17">
                  <c:v>2.1924835229324664E-2</c:v>
                </c:pt>
                <c:pt idx="18">
                  <c:v>2.321453141928494E-2</c:v>
                </c:pt>
                <c:pt idx="19">
                  <c:v>2.4504227609245213E-2</c:v>
                </c:pt>
                <c:pt idx="20">
                  <c:v>2.5793923799205486E-2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61-40BB-A7B9-9E13DB0ED033}"/>
            </c:ext>
          </c:extLst>
        </c:ser>
        <c:ser>
          <c:idx val="2"/>
          <c:order val="2"/>
          <c:tx>
            <c:strRef>
              <c:f>円筒近似!$M$2</c:f>
              <c:strCache>
                <c:ptCount val="1"/>
                <c:pt idx="0">
                  <c:v>内径変位D=120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円筒近似!$A$3:$A$23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円筒近似!$M$3:$M$23</c:f>
              <c:numCache>
                <c:formatCode>0.0000</c:formatCode>
                <c:ptCount val="21"/>
                <c:pt idx="0">
                  <c:v>0</c:v>
                </c:pt>
                <c:pt idx="1">
                  <c:v>1.0053157358786867E-3</c:v>
                </c:pt>
                <c:pt idx="2">
                  <c:v>2.0106314717573733E-3</c:v>
                </c:pt>
                <c:pt idx="3">
                  <c:v>3.01594720763606E-3</c:v>
                </c:pt>
                <c:pt idx="4">
                  <c:v>4.0212629435147466E-3</c:v>
                </c:pt>
                <c:pt idx="5">
                  <c:v>5.0265786793934333E-3</c:v>
                </c:pt>
                <c:pt idx="6">
                  <c:v>6.03189441527212E-3</c:v>
                </c:pt>
                <c:pt idx="7">
                  <c:v>7.0372101511508066E-3</c:v>
                </c:pt>
                <c:pt idx="8">
                  <c:v>8.0425258870294933E-3</c:v>
                </c:pt>
                <c:pt idx="9">
                  <c:v>9.0478416229081791E-3</c:v>
                </c:pt>
                <c:pt idx="10">
                  <c:v>1.0053157358786867E-2</c:v>
                </c:pt>
                <c:pt idx="11">
                  <c:v>1.1058473094665552E-2</c:v>
                </c:pt>
                <c:pt idx="12">
                  <c:v>1.206378883054424E-2</c:v>
                </c:pt>
                <c:pt idx="13">
                  <c:v>1.3069104566422927E-2</c:v>
                </c:pt>
                <c:pt idx="14">
                  <c:v>1.4074420302301613E-2</c:v>
                </c:pt>
                <c:pt idx="15">
                  <c:v>1.5079736038180301E-2</c:v>
                </c:pt>
                <c:pt idx="16">
                  <c:v>1.6085051774058987E-2</c:v>
                </c:pt>
                <c:pt idx="17">
                  <c:v>1.7090367509937674E-2</c:v>
                </c:pt>
                <c:pt idx="18">
                  <c:v>1.8095683245816358E-2</c:v>
                </c:pt>
                <c:pt idx="19">
                  <c:v>1.9100998981695046E-2</c:v>
                </c:pt>
                <c:pt idx="20">
                  <c:v>2.0106314717573733E-2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61-40BB-A7B9-9E13DB0ED033}"/>
            </c:ext>
          </c:extLst>
        </c:ser>
        <c:ser>
          <c:idx val="3"/>
          <c:order val="3"/>
          <c:tx>
            <c:strRef>
              <c:f>円筒近似!$N$2</c:f>
              <c:strCache>
                <c:ptCount val="1"/>
                <c:pt idx="0">
                  <c:v>内径変位D=130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円筒近似!$A$3:$A$23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円筒近似!$N$3:$N$23</c:f>
              <c:numCache>
                <c:formatCode>0.0000</c:formatCode>
                <c:ptCount val="21"/>
                <c:pt idx="0">
                  <c:v>0</c:v>
                </c:pt>
                <c:pt idx="1">
                  <c:v>8.4956304363649612E-4</c:v>
                </c:pt>
                <c:pt idx="2">
                  <c:v>1.6991260872729922E-3</c:v>
                </c:pt>
                <c:pt idx="3">
                  <c:v>2.5486891309094879E-3</c:v>
                </c:pt>
                <c:pt idx="4">
                  <c:v>3.3982521745459845E-3</c:v>
                </c:pt>
                <c:pt idx="5">
                  <c:v>4.2478152181824802E-3</c:v>
                </c:pt>
                <c:pt idx="6">
                  <c:v>5.0973782618189759E-3</c:v>
                </c:pt>
                <c:pt idx="7">
                  <c:v>5.9469413054554724E-3</c:v>
                </c:pt>
                <c:pt idx="8">
                  <c:v>6.796504349091969E-3</c:v>
                </c:pt>
                <c:pt idx="9">
                  <c:v>7.6460673927284646E-3</c:v>
                </c:pt>
                <c:pt idx="10">
                  <c:v>8.4956304363649603E-3</c:v>
                </c:pt>
                <c:pt idx="11">
                  <c:v>9.3451934800014569E-3</c:v>
                </c:pt>
                <c:pt idx="12">
                  <c:v>1.0194756523637952E-2</c:v>
                </c:pt>
                <c:pt idx="13">
                  <c:v>1.104431956727445E-2</c:v>
                </c:pt>
                <c:pt idx="14">
                  <c:v>1.1893882610910945E-2</c:v>
                </c:pt>
                <c:pt idx="15">
                  <c:v>1.2743445654547441E-2</c:v>
                </c:pt>
                <c:pt idx="16">
                  <c:v>1.3593008698183938E-2</c:v>
                </c:pt>
                <c:pt idx="17">
                  <c:v>1.4442571741820433E-2</c:v>
                </c:pt>
                <c:pt idx="18">
                  <c:v>1.5292134785456929E-2</c:v>
                </c:pt>
                <c:pt idx="19">
                  <c:v>1.6141697829093426E-2</c:v>
                </c:pt>
                <c:pt idx="20">
                  <c:v>1.6991260872729921E-2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B61-40BB-A7B9-9E13DB0ED033}"/>
            </c:ext>
          </c:extLst>
        </c:ser>
        <c:ser>
          <c:idx val="4"/>
          <c:order val="4"/>
          <c:tx>
            <c:strRef>
              <c:f>円筒近似!$O$2</c:f>
              <c:strCache>
                <c:ptCount val="1"/>
                <c:pt idx="0">
                  <c:v>内径変位D=140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円筒近似!$A$3:$A$23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円筒近似!$O$3:$O$23</c:f>
              <c:numCache>
                <c:formatCode>0.0000</c:formatCode>
                <c:ptCount val="21"/>
                <c:pt idx="0">
                  <c:v>0</c:v>
                </c:pt>
                <c:pt idx="1">
                  <c:v>7.5203353962156774E-4</c:v>
                </c:pt>
                <c:pt idx="2">
                  <c:v>1.5040670792431355E-3</c:v>
                </c:pt>
                <c:pt idx="3">
                  <c:v>2.256100618864703E-3</c:v>
                </c:pt>
                <c:pt idx="4">
                  <c:v>3.008134158486271E-3</c:v>
                </c:pt>
                <c:pt idx="5">
                  <c:v>3.7601676981078385E-3</c:v>
                </c:pt>
                <c:pt idx="6">
                  <c:v>4.512201237729406E-3</c:v>
                </c:pt>
                <c:pt idx="7">
                  <c:v>5.264234777350974E-3</c:v>
                </c:pt>
                <c:pt idx="8">
                  <c:v>6.0162683169725419E-3</c:v>
                </c:pt>
                <c:pt idx="9">
                  <c:v>6.768301856594109E-3</c:v>
                </c:pt>
                <c:pt idx="10">
                  <c:v>7.520335396215677E-3</c:v>
                </c:pt>
                <c:pt idx="11">
                  <c:v>8.2723689358372449E-3</c:v>
                </c:pt>
                <c:pt idx="12">
                  <c:v>9.024402475458812E-3</c:v>
                </c:pt>
                <c:pt idx="13">
                  <c:v>9.7764360150803808E-3</c:v>
                </c:pt>
                <c:pt idx="14">
                  <c:v>1.0528469554701948E-2</c:v>
                </c:pt>
                <c:pt idx="15">
                  <c:v>1.1280503094323515E-2</c:v>
                </c:pt>
                <c:pt idx="16">
                  <c:v>1.2032536633945084E-2</c:v>
                </c:pt>
                <c:pt idx="17">
                  <c:v>1.2784570173566651E-2</c:v>
                </c:pt>
                <c:pt idx="18">
                  <c:v>1.3536603713188218E-2</c:v>
                </c:pt>
                <c:pt idx="19">
                  <c:v>1.4288637252809787E-2</c:v>
                </c:pt>
                <c:pt idx="20">
                  <c:v>1.5040670792431354E-2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B61-40BB-A7B9-9E13DB0ED033}"/>
            </c:ext>
          </c:extLst>
        </c:ser>
        <c:ser>
          <c:idx val="5"/>
          <c:order val="5"/>
          <c:tx>
            <c:strRef>
              <c:f>円筒近似!$P$2</c:f>
              <c:strCache>
                <c:ptCount val="1"/>
                <c:pt idx="0">
                  <c:v>内径変位D=150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円筒近似!$A$3:$A$23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円筒近似!$P$3:$P$23</c:f>
              <c:numCache>
                <c:formatCode>0.0000</c:formatCode>
                <c:ptCount val="21"/>
                <c:pt idx="0">
                  <c:v>0</c:v>
                </c:pt>
                <c:pt idx="1">
                  <c:v>6.8568368064359983E-4</c:v>
                </c:pt>
                <c:pt idx="2">
                  <c:v>1.3713673612871997E-3</c:v>
                </c:pt>
                <c:pt idx="3">
                  <c:v>2.0570510419307994E-3</c:v>
                </c:pt>
                <c:pt idx="4">
                  <c:v>2.7427347225743993E-3</c:v>
                </c:pt>
                <c:pt idx="5">
                  <c:v>3.4284184032179988E-3</c:v>
                </c:pt>
                <c:pt idx="6">
                  <c:v>4.1141020838615988E-3</c:v>
                </c:pt>
                <c:pt idx="7">
                  <c:v>4.7997857645051987E-3</c:v>
                </c:pt>
                <c:pt idx="8">
                  <c:v>5.4854694451487987E-3</c:v>
                </c:pt>
                <c:pt idx="9">
                  <c:v>6.1711531257923986E-3</c:v>
                </c:pt>
                <c:pt idx="10">
                  <c:v>6.8568368064359977E-3</c:v>
                </c:pt>
                <c:pt idx="11">
                  <c:v>7.5425204870795976E-3</c:v>
                </c:pt>
                <c:pt idx="12">
                  <c:v>8.2282041677231976E-3</c:v>
                </c:pt>
                <c:pt idx="13">
                  <c:v>8.9138878483667975E-3</c:v>
                </c:pt>
                <c:pt idx="14">
                  <c:v>9.5995715290103974E-3</c:v>
                </c:pt>
                <c:pt idx="15">
                  <c:v>1.0285255209653997E-2</c:v>
                </c:pt>
                <c:pt idx="16">
                  <c:v>1.0970938890297597E-2</c:v>
                </c:pt>
                <c:pt idx="17">
                  <c:v>1.1656622570941197E-2</c:v>
                </c:pt>
                <c:pt idx="18">
                  <c:v>1.2342306251584797E-2</c:v>
                </c:pt>
                <c:pt idx="19">
                  <c:v>1.3027989932228395E-2</c:v>
                </c:pt>
                <c:pt idx="20">
                  <c:v>1.3713673612871995E-2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B61-40BB-A7B9-9E13DB0ED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6371360"/>
        <c:axId val="906377888"/>
      </c:scatterChart>
      <c:valAx>
        <c:axId val="906371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/>
                  <a:t>面圧</a:t>
                </a:r>
                <a:r>
                  <a:rPr lang="en-US"/>
                  <a:t>[MPa]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6377888"/>
        <c:crosses val="autoZero"/>
        <c:crossBetween val="midCat"/>
      </c:valAx>
      <c:valAx>
        <c:axId val="90637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/>
                  <a:t>内径の変形量</a:t>
                </a:r>
                <a:r>
                  <a:rPr lang="en-US"/>
                  <a:t>[mm]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6371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emf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microsoft.com/office/2017/06/relationships/model3d" Target="../media/model3d1.glb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86</xdr:row>
      <xdr:rowOff>0</xdr:rowOff>
    </xdr:from>
    <xdr:to>
      <xdr:col>12</xdr:col>
      <xdr:colOff>173157</xdr:colOff>
      <xdr:row>105</xdr:row>
      <xdr:rowOff>21844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340178</xdr:colOff>
      <xdr:row>86</xdr:row>
      <xdr:rowOff>34019</xdr:rowOff>
    </xdr:from>
    <xdr:to>
      <xdr:col>19</xdr:col>
      <xdr:colOff>574169</xdr:colOff>
      <xdr:row>105</xdr:row>
      <xdr:rowOff>55863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0</xdr:colOff>
      <xdr:row>41</xdr:row>
      <xdr:rowOff>281766</xdr:rowOff>
    </xdr:from>
    <xdr:to>
      <xdr:col>12</xdr:col>
      <xdr:colOff>173157</xdr:colOff>
      <xdr:row>60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743625</xdr:colOff>
      <xdr:row>65</xdr:row>
      <xdr:rowOff>204375</xdr:rowOff>
    </xdr:from>
    <xdr:to>
      <xdr:col>12</xdr:col>
      <xdr:colOff>166688</xdr:colOff>
      <xdr:row>85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533400</xdr:colOff>
      <xdr:row>104</xdr:row>
      <xdr:rowOff>146779</xdr:rowOff>
    </xdr:from>
    <xdr:to>
      <xdr:col>5</xdr:col>
      <xdr:colOff>716630</xdr:colOff>
      <xdr:row>115</xdr:row>
      <xdr:rowOff>186690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0ABAF18-38EF-49ED-A22C-61E7DC929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9200" y="23487792"/>
          <a:ext cx="5922043" cy="25021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489100</xdr:colOff>
          <xdr:row>1</xdr:row>
          <xdr:rowOff>209398</xdr:rowOff>
        </xdr:from>
        <xdr:to>
          <xdr:col>10</xdr:col>
          <xdr:colOff>870965</xdr:colOff>
          <xdr:row>22</xdr:row>
          <xdr:rowOff>317204</xdr:rowOff>
        </xdr:to>
        <xdr:pic>
          <xdr:nvPicPr>
            <xdr:cNvPr id="81" name="図 80">
              <a:extLst>
                <a:ext uri="{FF2B5EF4-FFF2-40B4-BE49-F238E27FC236}">
                  <a16:creationId xmlns:a16="http://schemas.microsoft.com/office/drawing/2014/main" id="{1F611A5C-8A7B-4B24-A7A0-18EE70246814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画像" spid="_x0000_s1082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8594009" y="434534"/>
              <a:ext cx="3629025" cy="5043488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>
    <xdr:from>
      <xdr:col>11</xdr:col>
      <xdr:colOff>184150</xdr:colOff>
      <xdr:row>21</xdr:row>
      <xdr:rowOff>17462</xdr:rowOff>
    </xdr:from>
    <xdr:to>
      <xdr:col>14</xdr:col>
      <xdr:colOff>666750</xdr:colOff>
      <xdr:row>22</xdr:row>
      <xdr:rowOff>276225</xdr:rowOff>
    </xdr:to>
    <xdr:sp macro="" textlink="">
      <xdr:nvSpPr>
        <xdr:cNvPr id="87" name="OuterSideView">
          <a:extLst>
            <a:ext uri="{FF2B5EF4-FFF2-40B4-BE49-F238E27FC236}">
              <a16:creationId xmlns:a16="http://schemas.microsoft.com/office/drawing/2014/main" id="{43A108F4-7AE4-42B3-A41D-B3E555FF3027}"/>
            </a:ext>
          </a:extLst>
        </xdr:cNvPr>
        <xdr:cNvSpPr/>
      </xdr:nvSpPr>
      <xdr:spPr>
        <a:xfrm>
          <a:off x="12814300" y="4927600"/>
          <a:ext cx="2540000" cy="48260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186173</xdr:colOff>
      <xdr:row>2</xdr:row>
      <xdr:rowOff>145552</xdr:rowOff>
    </xdr:from>
    <xdr:to>
      <xdr:col>14</xdr:col>
      <xdr:colOff>668773</xdr:colOff>
      <xdr:row>13</xdr:row>
      <xdr:rowOff>118564</xdr:rowOff>
    </xdr:to>
    <xdr:sp macro="" textlink="">
      <xdr:nvSpPr>
        <xdr:cNvPr id="88" name="OuterTopView">
          <a:extLst>
            <a:ext uri="{FF2B5EF4-FFF2-40B4-BE49-F238E27FC236}">
              <a16:creationId xmlns:a16="http://schemas.microsoft.com/office/drawing/2014/main" id="{E2CFFF1A-2A68-4C97-A94D-7E7498DAF25D}"/>
            </a:ext>
          </a:extLst>
        </xdr:cNvPr>
        <xdr:cNvSpPr/>
      </xdr:nvSpPr>
      <xdr:spPr>
        <a:xfrm>
          <a:off x="12816323" y="698002"/>
          <a:ext cx="2540000" cy="2540000"/>
        </a:xfrm>
        <a:prstGeom prst="flowChartConnector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57150</xdr:colOff>
      <xdr:row>5</xdr:row>
      <xdr:rowOff>33337</xdr:rowOff>
    </xdr:from>
    <xdr:to>
      <xdr:col>14</xdr:col>
      <xdr:colOff>107950</xdr:colOff>
      <xdr:row>11</xdr:row>
      <xdr:rowOff>7937</xdr:rowOff>
    </xdr:to>
    <xdr:sp macro="" textlink="">
      <xdr:nvSpPr>
        <xdr:cNvPr id="89" name="InnerTopView">
          <a:extLst>
            <a:ext uri="{FF2B5EF4-FFF2-40B4-BE49-F238E27FC236}">
              <a16:creationId xmlns:a16="http://schemas.microsoft.com/office/drawing/2014/main" id="{E8D75D76-46FB-4D25-B2D4-87E00ADA8988}"/>
            </a:ext>
          </a:extLst>
        </xdr:cNvPr>
        <xdr:cNvSpPr/>
      </xdr:nvSpPr>
      <xdr:spPr>
        <a:xfrm flipH="1" flipV="1">
          <a:off x="13373100" y="1257300"/>
          <a:ext cx="1422400" cy="1422400"/>
        </a:xfrm>
        <a:prstGeom prst="flowChartConnector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209550</xdr:colOff>
      <xdr:row>5</xdr:row>
      <xdr:rowOff>185737</xdr:rowOff>
    </xdr:from>
    <xdr:to>
      <xdr:col>13</xdr:col>
      <xdr:colOff>641350</xdr:colOff>
      <xdr:row>10</xdr:row>
      <xdr:rowOff>79375</xdr:rowOff>
    </xdr:to>
    <xdr:sp macro="" textlink="">
      <xdr:nvSpPr>
        <xdr:cNvPr id="90" name="HoleTopView">
          <a:extLst>
            <a:ext uri="{FF2B5EF4-FFF2-40B4-BE49-F238E27FC236}">
              <a16:creationId xmlns:a16="http://schemas.microsoft.com/office/drawing/2014/main" id="{1275E527-5EB9-45E0-8323-69EE06936167}"/>
            </a:ext>
          </a:extLst>
        </xdr:cNvPr>
        <xdr:cNvSpPr/>
      </xdr:nvSpPr>
      <xdr:spPr>
        <a:xfrm>
          <a:off x="13525500" y="1409700"/>
          <a:ext cx="1117600" cy="1117600"/>
        </a:xfrm>
        <a:prstGeom prst="flowChartConnector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57150</xdr:colOff>
      <xdr:row>21</xdr:row>
      <xdr:rowOff>17462</xdr:rowOff>
    </xdr:from>
    <xdr:to>
      <xdr:col>14</xdr:col>
      <xdr:colOff>107950</xdr:colOff>
      <xdr:row>22</xdr:row>
      <xdr:rowOff>276225</xdr:rowOff>
    </xdr:to>
    <xdr:sp macro="" textlink="">
      <xdr:nvSpPr>
        <xdr:cNvPr id="91" name="InnerSideView">
          <a:extLst>
            <a:ext uri="{FF2B5EF4-FFF2-40B4-BE49-F238E27FC236}">
              <a16:creationId xmlns:a16="http://schemas.microsoft.com/office/drawing/2014/main" id="{A04ED2C0-1307-4739-82EA-87F79800D775}"/>
            </a:ext>
          </a:extLst>
        </xdr:cNvPr>
        <xdr:cNvSpPr/>
      </xdr:nvSpPr>
      <xdr:spPr>
        <a:xfrm>
          <a:off x="13373100" y="4927600"/>
          <a:ext cx="1422400" cy="482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209550</xdr:colOff>
      <xdr:row>21</xdr:row>
      <xdr:rowOff>17462</xdr:rowOff>
    </xdr:from>
    <xdr:to>
      <xdr:col>13</xdr:col>
      <xdr:colOff>641350</xdr:colOff>
      <xdr:row>22</xdr:row>
      <xdr:rowOff>276225</xdr:rowOff>
    </xdr:to>
    <xdr:sp macro="" textlink="">
      <xdr:nvSpPr>
        <xdr:cNvPr id="92" name="HoleSideView">
          <a:extLst>
            <a:ext uri="{FF2B5EF4-FFF2-40B4-BE49-F238E27FC236}">
              <a16:creationId xmlns:a16="http://schemas.microsoft.com/office/drawing/2014/main" id="{D2AD6F3C-4F0D-46C8-BBC8-AECA5657A95C}"/>
            </a:ext>
          </a:extLst>
        </xdr:cNvPr>
        <xdr:cNvSpPr/>
      </xdr:nvSpPr>
      <xdr:spPr>
        <a:xfrm>
          <a:off x="13525500" y="4927600"/>
          <a:ext cx="1117600" cy="4826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1</xdr:row>
      <xdr:rowOff>3488</xdr:rowOff>
    </xdr:from>
    <xdr:to>
      <xdr:col>0</xdr:col>
      <xdr:colOff>3619050</xdr:colOff>
      <xdr:row>2</xdr:row>
      <xdr:rowOff>1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592AA544-CE9C-408F-AA9F-11417E7C6961}"/>
            </a:ext>
          </a:extLst>
        </xdr:cNvPr>
        <xdr:cNvGrpSpPr>
          <a:grpSpLocks noChangeAspect="1"/>
        </xdr:cNvGrpSpPr>
      </xdr:nvGrpSpPr>
      <xdr:grpSpPr>
        <a:xfrm>
          <a:off x="19050" y="227326"/>
          <a:ext cx="3600000" cy="5040000"/>
          <a:chOff x="13250955" y="3143250"/>
          <a:chExt cx="4448153" cy="6120000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4CF7B6EB-2D21-49C6-BD5A-3613426D0AC8}"/>
              </a:ext>
            </a:extLst>
          </xdr:cNvPr>
          <xdr:cNvSpPr/>
        </xdr:nvSpPr>
        <xdr:spPr>
          <a:xfrm>
            <a:off x="13250955" y="3143250"/>
            <a:ext cx="4448153" cy="6120000"/>
          </a:xfrm>
          <a:prstGeom prst="rect">
            <a:avLst/>
          </a:prstGeom>
          <a:solidFill>
            <a:sysClr val="window" lastClr="FFFFFF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grpSp>
        <xdr:nvGrpSpPr>
          <xdr:cNvPr id="4" name="グループ化 3">
            <a:extLst>
              <a:ext uri="{FF2B5EF4-FFF2-40B4-BE49-F238E27FC236}">
                <a16:creationId xmlns:a16="http://schemas.microsoft.com/office/drawing/2014/main" id="{22A03AC3-73DB-4AD2-8DAB-A28E1932487F}"/>
              </a:ext>
            </a:extLst>
          </xdr:cNvPr>
          <xdr:cNvGrpSpPr/>
        </xdr:nvGrpSpPr>
        <xdr:grpSpPr>
          <a:xfrm>
            <a:off x="13384867" y="3248193"/>
            <a:ext cx="4176226" cy="5627459"/>
            <a:chOff x="13384867" y="3248193"/>
            <a:chExt cx="4176226" cy="5627459"/>
          </a:xfrm>
        </xdr:grpSpPr>
        <xdr:pic>
          <xdr:nvPicPr>
            <xdr:cNvPr id="5" name="図 4">
              <a:extLst>
                <a:ext uri="{FF2B5EF4-FFF2-40B4-BE49-F238E27FC236}">
                  <a16:creationId xmlns:a16="http://schemas.microsoft.com/office/drawing/2014/main" id="{FFB9FE83-BC83-49E4-8450-81129B19A883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/>
            <a:srcRect t="3415" r="61680" b="15627"/>
            <a:stretch/>
          </xdr:blipFill>
          <xdr:spPr>
            <a:xfrm>
              <a:off x="13503929" y="4575921"/>
              <a:ext cx="4006104" cy="4208929"/>
            </a:xfrm>
            <a:prstGeom prst="rect">
              <a:avLst/>
            </a:prstGeom>
          </xdr:spPr>
        </xdr:pic>
        <xdr:cxnSp macro="">
          <xdr:nvCxnSpPr>
            <xdr:cNvPr id="6" name="直線矢印コネクタ 5">
              <a:extLst>
                <a:ext uri="{FF2B5EF4-FFF2-40B4-BE49-F238E27FC236}">
                  <a16:creationId xmlns:a16="http://schemas.microsoft.com/office/drawing/2014/main" id="{FD46C0E6-EEF1-42F1-B107-E0450D170ED5}"/>
                </a:ext>
              </a:extLst>
            </xdr:cNvPr>
            <xdr:cNvCxnSpPr>
              <a:cxnSpLocks/>
              <a:stCxn id="7" idx="2"/>
            </xdr:cNvCxnSpPr>
          </xdr:nvCxnSpPr>
          <xdr:spPr>
            <a:xfrm flipH="1">
              <a:off x="16898433" y="5249324"/>
              <a:ext cx="158976" cy="1267616"/>
            </a:xfrm>
            <a:prstGeom prst="straightConnector1">
              <a:avLst/>
            </a:prstGeom>
            <a:ln>
              <a:solidFill>
                <a:srgbClr val="FF0000"/>
              </a:solidFill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" name="テキスト ボックス 6">
              <a:extLst>
                <a:ext uri="{FF2B5EF4-FFF2-40B4-BE49-F238E27FC236}">
                  <a16:creationId xmlns:a16="http://schemas.microsoft.com/office/drawing/2014/main" id="{EE95C7F9-9C01-493E-BB12-5F3F22E96A19}"/>
                </a:ext>
              </a:extLst>
            </xdr:cNvPr>
            <xdr:cNvSpPr txBox="1">
              <a:spLocks/>
            </xdr:cNvSpPr>
          </xdr:nvSpPr>
          <xdr:spPr>
            <a:xfrm>
              <a:off x="16553724" y="4792143"/>
              <a:ext cx="1007369" cy="45718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overflow" horzOverflow="overflow" wrap="square" rtlCol="0" anchor="ctr">
              <a:noAutofit/>
            </a:bodyPr>
            <a:lstStyle/>
            <a:p>
              <a:pPr algn="ctr"/>
              <a:r>
                <a:rPr kumimoji="1" lang="en-US" altLang="ja-JP" sz="1100"/>
                <a:t>Outer Part</a:t>
              </a:r>
            </a:p>
            <a:p>
              <a:pPr algn="ctr"/>
              <a:r>
                <a:rPr kumimoji="1" lang="en-US" altLang="ja-JP" sz="1100"/>
                <a:t>(Yellow)</a:t>
              </a:r>
              <a:endParaRPr kumimoji="1" lang="ja-JP" altLang="en-US" sz="1100"/>
            </a:p>
          </xdr:txBody>
        </xdr:sp>
        <xdr:cxnSp macro="">
          <xdr:nvCxnSpPr>
            <xdr:cNvPr id="8" name="直線矢印コネクタ 7">
              <a:extLst>
                <a:ext uri="{FF2B5EF4-FFF2-40B4-BE49-F238E27FC236}">
                  <a16:creationId xmlns:a16="http://schemas.microsoft.com/office/drawing/2014/main" id="{4B86E161-CE2C-4A08-9AEC-EAB206033319}"/>
                </a:ext>
              </a:extLst>
            </xdr:cNvPr>
            <xdr:cNvCxnSpPr>
              <a:cxnSpLocks/>
              <a:stCxn id="9" idx="2"/>
            </xdr:cNvCxnSpPr>
          </xdr:nvCxnSpPr>
          <xdr:spPr>
            <a:xfrm>
              <a:off x="13898683" y="5320708"/>
              <a:ext cx="1015225" cy="491785"/>
            </a:xfrm>
            <a:prstGeom prst="straightConnector1">
              <a:avLst/>
            </a:prstGeom>
            <a:ln>
              <a:solidFill>
                <a:srgbClr val="FF0000"/>
              </a:solidFill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9" name="テキスト ボックス 8">
              <a:extLst>
                <a:ext uri="{FF2B5EF4-FFF2-40B4-BE49-F238E27FC236}">
                  <a16:creationId xmlns:a16="http://schemas.microsoft.com/office/drawing/2014/main" id="{D27A36C1-6F91-4F5B-8673-3DE0730F7FD2}"/>
                </a:ext>
              </a:extLst>
            </xdr:cNvPr>
            <xdr:cNvSpPr txBox="1">
              <a:spLocks/>
            </xdr:cNvSpPr>
          </xdr:nvSpPr>
          <xdr:spPr>
            <a:xfrm>
              <a:off x="13384867" y="4863528"/>
              <a:ext cx="1027632" cy="45718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overflow" horzOverflow="overflow" wrap="square" rtlCol="0" anchor="ctr">
              <a:noAutofit/>
            </a:bodyPr>
            <a:lstStyle/>
            <a:p>
              <a:pPr algn="ctr"/>
              <a:r>
                <a:rPr kumimoji="1" lang="en-US" altLang="ja-JP" sz="1100"/>
                <a:t>Inner Part</a:t>
              </a:r>
            </a:p>
            <a:p>
              <a:pPr algn="ctr"/>
              <a:r>
                <a:rPr kumimoji="1" lang="en-US" altLang="ja-JP" sz="1100"/>
                <a:t>(Blue)</a:t>
              </a:r>
              <a:endParaRPr kumimoji="1" lang="ja-JP" altLang="en-US" sz="1100"/>
            </a:p>
          </xdr:txBody>
        </xdr:sp>
        <xdr:cxnSp macro="">
          <xdr:nvCxnSpPr>
            <xdr:cNvPr id="10" name="直線矢印コネクタ 9">
              <a:extLst>
                <a:ext uri="{FF2B5EF4-FFF2-40B4-BE49-F238E27FC236}">
                  <a16:creationId xmlns:a16="http://schemas.microsoft.com/office/drawing/2014/main" id="{BAA090F3-3F7E-4452-9A24-73972F21E21F}"/>
                </a:ext>
              </a:extLst>
            </xdr:cNvPr>
            <xdr:cNvCxnSpPr>
              <a:cxnSpLocks/>
              <a:stCxn id="11" idx="0"/>
            </xdr:cNvCxnSpPr>
          </xdr:nvCxnSpPr>
          <xdr:spPr>
            <a:xfrm flipH="1" flipV="1">
              <a:off x="14753255" y="7115498"/>
              <a:ext cx="614854" cy="1416539"/>
            </a:xfrm>
            <a:prstGeom prst="straightConnector1">
              <a:avLst/>
            </a:prstGeom>
            <a:ln>
              <a:solidFill>
                <a:srgbClr val="FF0000"/>
              </a:solidFill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テキスト ボックス 10">
              <a:extLst>
                <a:ext uri="{FF2B5EF4-FFF2-40B4-BE49-F238E27FC236}">
                  <a16:creationId xmlns:a16="http://schemas.microsoft.com/office/drawing/2014/main" id="{7A6638F0-B535-448F-BE72-DD0A36787F68}"/>
                </a:ext>
              </a:extLst>
            </xdr:cNvPr>
            <xdr:cNvSpPr txBox="1">
              <a:spLocks/>
            </xdr:cNvSpPr>
          </xdr:nvSpPr>
          <xdr:spPr>
            <a:xfrm>
              <a:off x="14798498" y="8532037"/>
              <a:ext cx="1139221" cy="34361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overflow" horzOverflow="overflow" wrap="square" rtlCol="0" anchor="ctr">
              <a:noAutofit/>
            </a:bodyPr>
            <a:lstStyle/>
            <a:p>
              <a:pPr algn="ctr"/>
              <a:r>
                <a:rPr kumimoji="1" lang="ja-JP" altLang="en-US" sz="1100"/>
                <a:t>はめあい部</a:t>
              </a:r>
            </a:p>
          </xdr:txBody>
        </xdr:sp>
        <xdr:grpSp>
          <xdr:nvGrpSpPr>
            <xdr:cNvPr id="12" name="グループ化 11">
              <a:extLst>
                <a:ext uri="{FF2B5EF4-FFF2-40B4-BE49-F238E27FC236}">
                  <a16:creationId xmlns:a16="http://schemas.microsoft.com/office/drawing/2014/main" id="{9BDD095F-A009-4D27-8B78-2E60871D9844}"/>
                </a:ext>
              </a:extLst>
            </xdr:cNvPr>
            <xdr:cNvGrpSpPr/>
          </xdr:nvGrpSpPr>
          <xdr:grpSpPr>
            <a:xfrm>
              <a:off x="15268710" y="3248193"/>
              <a:ext cx="555665" cy="1641488"/>
              <a:chOff x="15674162" y="2610676"/>
              <a:chExt cx="559758" cy="1638121"/>
            </a:xfrm>
          </xdr:grpSpPr>
          <mc:AlternateContent xmlns:mc="http://schemas.openxmlformats.org/markup-compatibility/2006">
            <mc:Choice xmlns:am3d="http://schemas.microsoft.com/office/drawing/2017/model3d" Requires="am3d">
              <xdr:graphicFrame macro="">
                <xdr:nvGraphicFramePr>
                  <xdr:cNvPr id="13" name="3D モデル 12" descr="太くて薄い灰色をした直線の矢印">
                    <a:extLst>
                      <a:ext uri="{FF2B5EF4-FFF2-40B4-BE49-F238E27FC236}">
                        <a16:creationId xmlns:a16="http://schemas.microsoft.com/office/drawing/2014/main" id="{1B8F981D-879E-408C-9466-7174639F582C}"/>
                      </a:ext>
                    </a:extLst>
                  </xdr:cNvPr>
                  <xdr:cNvGraphicFramePr>
                    <a:graphicFrameLocks noChangeAspect="1"/>
                  </xdr:cNvGraphicFramePr>
                </xdr:nvGraphicFramePr>
                <xdr:xfrm rot="5400000">
                  <a:off x="15168801" y="3183679"/>
                  <a:ext cx="1582857" cy="547380"/>
                </xdr:xfrm>
                <a:graphic>
                  <a:graphicData uri="http://schemas.microsoft.com/office/drawing/2017/model3d">
                    <am3d:model3d xmlns:r="http://schemas.openxmlformats.org/officeDocument/2006/relationships" r:embed="rId2">
                      <am3d:spPr>
                        <a:xfrm rot="5400000">
                          <a:off x="0" y="0"/>
                          <a:ext cx="1306209" cy="439768"/>
                        </a:xfrm>
                        <a:prstGeom prst="rect">
                          <a:avLst/>
                        </a:prstGeom>
                      </am3d:spPr>
                      <am3d:camera>
                        <am3d:pos x="0" y="0" z="49265132"/>
                        <am3d:up dx="0" dy="36000000" dz="0"/>
                        <am3d:lookAt x="0" y="0" z="0"/>
                        <am3d:perspective fov="2700000"/>
                      </am3d:camera>
                      <am3d:trans>
                        <am3d:meterPerModelUnit n="2106943" d="1000000"/>
                        <am3d:preTrans dx="0" dy="-9860495" dz="-1482"/>
                        <am3d:scale>
                          <am3d:sx n="1000000" d="1000000"/>
                          <am3d:sy n="1000000" d="1000000"/>
                          <am3d:sz n="1000000" d="1000000"/>
                        </am3d:scale>
                        <am3d:rot ax="-15260" ay="1179810" az="-5150"/>
                        <am3d:postTrans dx="0" dy="0" dz="0"/>
                      </am3d:trans>
                      <am3d:raster rName="Office3DRenderer" rVer="16.0.8326">
                        <am3d:blip r:embed="rId3"/>
                      </am3d:raster>
                      <am3d:objViewport viewportSz="1376177"/>
                      <am3d:ambientLight>
                        <am3d:clr>
                          <a:scrgbClr r="50000" g="50000" b="50000"/>
                        </am3d:clr>
                        <am3d:illuminance n="500000" d="1000000"/>
                      </am3d:ambientLight>
                      <am3d:ptLight rad="0">
                        <am3d:clr>
                          <a:scrgbClr r="100000" g="75000" b="50000"/>
                        </am3d:clr>
                        <am3d:intensity n="9765625" d="1000000"/>
                        <am3d:pos x="21959998" y="70920001" z="16344003"/>
                      </am3d:ptLight>
                      <am3d:ptLight rad="0">
                        <am3d:clr>
                          <a:scrgbClr r="40000" g="60000" b="95000"/>
                        </am3d:clr>
                        <am3d:intensity n="12250000" d="1000000"/>
                        <am3d:pos x="-37964106" y="51130435" z="57631972"/>
                      </am3d:ptLight>
                      <am3d:ptLight rad="0">
                        <am3d:clr>
                          <a:scrgbClr r="86837" g="72700" b="100000"/>
                        </am3d:clr>
                        <am3d:intensity n="3125000" d="1000000"/>
                        <am3d:pos x="-37739122" y="58056624" z="-34769649"/>
                      </am3d:ptLight>
                    </am3d:model3d>
                  </a:graphicData>
                </a:graphic>
              </xdr:graphicFrame>
            </mc:Choice>
            <mc:Fallback>
              <xdr:pic>
                <xdr:nvPicPr>
                  <xdr:cNvPr id="13" name="3D モデル 12" descr="太くて薄い灰色をした直線の矢印">
                    <a:extLst>
                      <a:ext uri="{FF2B5EF4-FFF2-40B4-BE49-F238E27FC236}">
                        <a16:creationId xmlns:a16="http://schemas.microsoft.com/office/drawing/2014/main" id="{1B8F981D-879E-408C-9466-7174639F582C}"/>
                      </a:ext>
                    </a:extLst>
                  </xdr:cNvPr>
                  <xdr:cNvPicPr>
                    <a:picLocks noGrp="1" noRot="1" noChangeAspect="1" noMove="1" noResize="1" noEditPoints="1" noAdjustHandles="1" noChangeArrowheads="1" noChangeShapeType="1" noCrop="1"/>
                  </xdr:cNvPicPr>
                </xdr:nvPicPr>
                <xdr:blipFill>
                  <a:blip xmlns:r="http://schemas.openxmlformats.org/officeDocument/2006/relationships" r:embed="rId3"/>
                  <a:stretch>
                    <a:fillRect/>
                  </a:stretch>
                </xdr:blipFill>
                <xdr:spPr>
                  <a:xfrm rot="5400000">
                    <a:off x="1228793" y="792576"/>
                    <a:ext cx="1306209" cy="439768"/>
                  </a:xfrm>
                  <a:prstGeom prst="rect">
                    <a:avLst/>
                  </a:prstGeom>
                </xdr:spPr>
              </xdr:pic>
            </mc:Fallback>
          </mc:AlternateContent>
          <xdr:sp macro="" textlink="">
            <xdr:nvSpPr>
              <xdr:cNvPr id="14" name="テキスト ボックス 13">
                <a:extLst>
                  <a:ext uri="{FF2B5EF4-FFF2-40B4-BE49-F238E27FC236}">
                    <a16:creationId xmlns:a16="http://schemas.microsoft.com/office/drawing/2014/main" id="{F86A7102-C6D8-4B35-A402-5E6FD58B1282}"/>
                  </a:ext>
                </a:extLst>
              </xdr:cNvPr>
              <xdr:cNvSpPr txBox="1"/>
            </xdr:nvSpPr>
            <xdr:spPr>
              <a:xfrm>
                <a:off x="15674162" y="2610676"/>
                <a:ext cx="524673" cy="126527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vert="wordArtVertRtl" wrap="square" rtlCol="0" anchor="ctr">
                <a:spAutoFit/>
              </a:bodyPr>
              <a:lstStyle/>
              <a:p>
                <a:r>
                  <a:rPr kumimoji="1" lang="ja-JP" altLang="en-US" sz="1050" b="1">
                    <a:solidFill>
                      <a:schemeClr val="bg1"/>
                    </a:solidFill>
                  </a:rPr>
                  <a:t>圧入荷重</a:t>
                </a:r>
              </a:p>
            </xdr:txBody>
          </xdr:sp>
        </xdr:grpSp>
      </xdr:grpSp>
    </xdr:grpSp>
    <xdr:clientData/>
  </xdr:twoCellAnchor>
  <xdr:twoCellAnchor editAs="oneCell">
    <xdr:from>
      <xdr:col>2</xdr:col>
      <xdr:colOff>0</xdr:colOff>
      <xdr:row>1</xdr:row>
      <xdr:rowOff>3488</xdr:rowOff>
    </xdr:from>
    <xdr:to>
      <xdr:col>2</xdr:col>
      <xdr:colOff>3600000</xdr:colOff>
      <xdr:row>2</xdr:row>
      <xdr:rowOff>1</xdr:rowOff>
    </xdr:to>
    <xdr:grpSp>
      <xdr:nvGrpSpPr>
        <xdr:cNvPr id="15" name="グループ化 14">
          <a:extLst>
            <a:ext uri="{FF2B5EF4-FFF2-40B4-BE49-F238E27FC236}">
              <a16:creationId xmlns:a16="http://schemas.microsoft.com/office/drawing/2014/main" id="{B6F2D613-9FFD-4AE6-8B60-FE8EEDDE33E5}"/>
            </a:ext>
          </a:extLst>
        </xdr:cNvPr>
        <xdr:cNvGrpSpPr>
          <a:grpSpLocks noChangeAspect="1"/>
        </xdr:cNvGrpSpPr>
      </xdr:nvGrpSpPr>
      <xdr:grpSpPr>
        <a:xfrm>
          <a:off x="4033838" y="227326"/>
          <a:ext cx="3600000" cy="5040000"/>
          <a:chOff x="18254906" y="3150153"/>
          <a:chExt cx="4471786" cy="6120000"/>
        </a:xfrm>
      </xdr:grpSpPr>
      <xdr:sp macro="" textlink="">
        <xdr:nvSpPr>
          <xdr:cNvPr id="16" name="正方形/長方形 15">
            <a:extLst>
              <a:ext uri="{FF2B5EF4-FFF2-40B4-BE49-F238E27FC236}">
                <a16:creationId xmlns:a16="http://schemas.microsoft.com/office/drawing/2014/main" id="{27DBA020-5405-4066-8810-0C04C938CAB9}"/>
              </a:ext>
            </a:extLst>
          </xdr:cNvPr>
          <xdr:cNvSpPr/>
        </xdr:nvSpPr>
        <xdr:spPr>
          <a:xfrm>
            <a:off x="18254906" y="3150153"/>
            <a:ext cx="4471786" cy="6120000"/>
          </a:xfrm>
          <a:prstGeom prst="rect">
            <a:avLst/>
          </a:prstGeom>
          <a:solidFill>
            <a:sysClr val="window" lastClr="FFFFFF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grpSp>
        <xdr:nvGrpSpPr>
          <xdr:cNvPr id="17" name="グループ化 16">
            <a:extLst>
              <a:ext uri="{FF2B5EF4-FFF2-40B4-BE49-F238E27FC236}">
                <a16:creationId xmlns:a16="http://schemas.microsoft.com/office/drawing/2014/main" id="{A9FBDB31-95D8-4B77-A58D-C404F1AEBA6A}"/>
              </a:ext>
            </a:extLst>
          </xdr:cNvPr>
          <xdr:cNvGrpSpPr/>
        </xdr:nvGrpSpPr>
        <xdr:grpSpPr>
          <a:xfrm>
            <a:off x="18319861" y="3748609"/>
            <a:ext cx="4342315" cy="4292173"/>
            <a:chOff x="18319861" y="3748609"/>
            <a:chExt cx="4342315" cy="4292173"/>
          </a:xfrm>
        </xdr:grpSpPr>
        <xdr:pic>
          <xdr:nvPicPr>
            <xdr:cNvPr id="18" name="図 17">
              <a:extLst>
                <a:ext uri="{FF2B5EF4-FFF2-40B4-BE49-F238E27FC236}">
                  <a16:creationId xmlns:a16="http://schemas.microsoft.com/office/drawing/2014/main" id="{D761362C-2877-49A0-886B-22636EACCCF5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/>
            <a:srcRect l="61520" t="24067" b="5256"/>
            <a:stretch/>
          </xdr:blipFill>
          <xdr:spPr>
            <a:xfrm>
              <a:off x="18488866" y="4366093"/>
              <a:ext cx="4022873" cy="3674689"/>
            </a:xfrm>
            <a:prstGeom prst="rect">
              <a:avLst/>
            </a:prstGeom>
          </xdr:spPr>
        </xdr:pic>
        <xdr:cxnSp macro="">
          <xdr:nvCxnSpPr>
            <xdr:cNvPr id="19" name="直線矢印コネクタ 18">
              <a:extLst>
                <a:ext uri="{FF2B5EF4-FFF2-40B4-BE49-F238E27FC236}">
                  <a16:creationId xmlns:a16="http://schemas.microsoft.com/office/drawing/2014/main" id="{0F0E9BDF-86D2-4FA3-9D74-9A996789BE1A}"/>
                </a:ext>
              </a:extLst>
            </xdr:cNvPr>
            <xdr:cNvCxnSpPr>
              <a:cxnSpLocks/>
              <a:stCxn id="20" idx="0"/>
            </xdr:cNvCxnSpPr>
          </xdr:nvCxnSpPr>
          <xdr:spPr>
            <a:xfrm flipV="1">
              <a:off x="18865553" y="6506947"/>
              <a:ext cx="330975" cy="621634"/>
            </a:xfrm>
            <a:prstGeom prst="straightConnector1">
              <a:avLst/>
            </a:prstGeom>
            <a:ln>
              <a:solidFill>
                <a:srgbClr val="FF0000"/>
              </a:solidFill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" name="テキスト ボックス 19">
              <a:extLst>
                <a:ext uri="{FF2B5EF4-FFF2-40B4-BE49-F238E27FC236}">
                  <a16:creationId xmlns:a16="http://schemas.microsoft.com/office/drawing/2014/main" id="{91DC077D-7AE9-4D01-865A-C97C51C73B5C}"/>
                </a:ext>
              </a:extLst>
            </xdr:cNvPr>
            <xdr:cNvSpPr txBox="1">
              <a:spLocks/>
            </xdr:cNvSpPr>
          </xdr:nvSpPr>
          <xdr:spPr>
            <a:xfrm>
              <a:off x="18325895" y="7128582"/>
              <a:ext cx="1079314" cy="45718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overflow" horzOverflow="overflow" wrap="square" rtlCol="0" anchor="ctr">
              <a:noAutofit/>
            </a:bodyPr>
            <a:lstStyle/>
            <a:p>
              <a:pPr algn="ctr"/>
              <a:r>
                <a:rPr kumimoji="1" lang="en-US" altLang="ja-JP" sz="1100"/>
                <a:t>Outer Part</a:t>
              </a:r>
            </a:p>
            <a:p>
              <a:pPr algn="ctr"/>
              <a:r>
                <a:rPr kumimoji="1" lang="en-US" altLang="ja-JP" sz="1100"/>
                <a:t>(Yellow)</a:t>
              </a:r>
              <a:endParaRPr kumimoji="1" lang="ja-JP" altLang="en-US" sz="1100"/>
            </a:p>
          </xdr:txBody>
        </xdr:sp>
        <xdr:cxnSp macro="">
          <xdr:nvCxnSpPr>
            <xdr:cNvPr id="21" name="直線矢印コネクタ 20">
              <a:extLst>
                <a:ext uri="{FF2B5EF4-FFF2-40B4-BE49-F238E27FC236}">
                  <a16:creationId xmlns:a16="http://schemas.microsoft.com/office/drawing/2014/main" id="{47B97B41-EA8E-4CDF-AC7B-EF7FDC6095A5}"/>
                </a:ext>
              </a:extLst>
            </xdr:cNvPr>
            <xdr:cNvCxnSpPr>
              <a:cxnSpLocks/>
              <a:stCxn id="22" idx="2"/>
            </xdr:cNvCxnSpPr>
          </xdr:nvCxnSpPr>
          <xdr:spPr>
            <a:xfrm>
              <a:off x="18889471" y="4465036"/>
              <a:ext cx="742675" cy="1566810"/>
            </a:xfrm>
            <a:prstGeom prst="straightConnector1">
              <a:avLst/>
            </a:prstGeom>
            <a:ln>
              <a:solidFill>
                <a:srgbClr val="FF0000"/>
              </a:solidFill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" name="テキスト ボックス 21">
              <a:extLst>
                <a:ext uri="{FF2B5EF4-FFF2-40B4-BE49-F238E27FC236}">
                  <a16:creationId xmlns:a16="http://schemas.microsoft.com/office/drawing/2014/main" id="{CB2F3EBC-FF3D-4D4A-ADD6-4FF39D098E59}"/>
                </a:ext>
              </a:extLst>
            </xdr:cNvPr>
            <xdr:cNvSpPr txBox="1">
              <a:spLocks/>
            </xdr:cNvSpPr>
          </xdr:nvSpPr>
          <xdr:spPr>
            <a:xfrm>
              <a:off x="18319861" y="4121420"/>
              <a:ext cx="1141461" cy="34361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overflow" horzOverflow="overflow" wrap="square" rtlCol="0" anchor="ctr">
              <a:noAutofit/>
            </a:bodyPr>
            <a:lstStyle/>
            <a:p>
              <a:pPr algn="ctr"/>
              <a:r>
                <a:rPr kumimoji="1" lang="ja-JP" altLang="en-US" sz="1100"/>
                <a:t>はめあい部</a:t>
              </a:r>
            </a:p>
          </xdr:txBody>
        </xdr:sp>
        <xdr:cxnSp macro="">
          <xdr:nvCxnSpPr>
            <xdr:cNvPr id="23" name="直線矢印コネクタ 22">
              <a:extLst>
                <a:ext uri="{FF2B5EF4-FFF2-40B4-BE49-F238E27FC236}">
                  <a16:creationId xmlns:a16="http://schemas.microsoft.com/office/drawing/2014/main" id="{9D601515-A823-4B9A-923B-0ADA56157797}"/>
                </a:ext>
              </a:extLst>
            </xdr:cNvPr>
            <xdr:cNvCxnSpPr>
              <a:cxnSpLocks/>
              <a:stCxn id="24" idx="1"/>
            </xdr:cNvCxnSpPr>
          </xdr:nvCxnSpPr>
          <xdr:spPr>
            <a:xfrm flipH="1" flipV="1">
              <a:off x="21132615" y="7267016"/>
              <a:ext cx="469244" cy="106061"/>
            </a:xfrm>
            <a:prstGeom prst="straightConnector1">
              <a:avLst/>
            </a:prstGeom>
            <a:ln>
              <a:solidFill>
                <a:srgbClr val="FF0000"/>
              </a:solidFill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" name="テキスト ボックス 23">
              <a:extLst>
                <a:ext uri="{FF2B5EF4-FFF2-40B4-BE49-F238E27FC236}">
                  <a16:creationId xmlns:a16="http://schemas.microsoft.com/office/drawing/2014/main" id="{23586F41-24C5-42D4-BD4C-36C983C5121E}"/>
                </a:ext>
              </a:extLst>
            </xdr:cNvPr>
            <xdr:cNvSpPr txBox="1">
              <a:spLocks/>
            </xdr:cNvSpPr>
          </xdr:nvSpPr>
          <xdr:spPr>
            <a:xfrm>
              <a:off x="21601860" y="7144486"/>
              <a:ext cx="1060316" cy="45718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overflow" horzOverflow="overflow" wrap="square" rtlCol="0" anchor="ctr">
              <a:noAutofit/>
            </a:bodyPr>
            <a:lstStyle/>
            <a:p>
              <a:pPr algn="ctr"/>
              <a:r>
                <a:rPr kumimoji="1" lang="en-US" altLang="ja-JP" sz="1100"/>
                <a:t>Inner Part</a:t>
              </a:r>
            </a:p>
            <a:p>
              <a:pPr algn="ctr"/>
              <a:r>
                <a:rPr kumimoji="1" lang="en-US" altLang="ja-JP" sz="1100"/>
                <a:t>(Blue)</a:t>
              </a:r>
              <a:endParaRPr kumimoji="1" lang="ja-JP" altLang="en-US" sz="1100"/>
            </a:p>
          </xdr:txBody>
        </xdr:sp>
        <xdr:grpSp>
          <xdr:nvGrpSpPr>
            <xdr:cNvPr id="25" name="グループ化 24">
              <a:extLst>
                <a:ext uri="{FF2B5EF4-FFF2-40B4-BE49-F238E27FC236}">
                  <a16:creationId xmlns:a16="http://schemas.microsoft.com/office/drawing/2014/main" id="{3FFD0C07-052D-4F92-9380-2A90FD0F9499}"/>
                </a:ext>
              </a:extLst>
            </xdr:cNvPr>
            <xdr:cNvGrpSpPr/>
          </xdr:nvGrpSpPr>
          <xdr:grpSpPr>
            <a:xfrm>
              <a:off x="21539092" y="3748609"/>
              <a:ext cx="558663" cy="1643107"/>
              <a:chOff x="15674698" y="2610676"/>
              <a:chExt cx="558663" cy="1639737"/>
            </a:xfrm>
          </xdr:grpSpPr>
          <mc:AlternateContent xmlns:mc="http://schemas.openxmlformats.org/markup-compatibility/2006">
            <mc:Choice xmlns:am3d="http://schemas.microsoft.com/office/drawing/2017/model3d" Requires="am3d">
              <xdr:graphicFrame macro="">
                <xdr:nvGraphicFramePr>
                  <xdr:cNvPr id="26" name="3D モデル 25" descr="太くて薄い灰色をした直線の矢印">
                    <a:extLst>
                      <a:ext uri="{FF2B5EF4-FFF2-40B4-BE49-F238E27FC236}">
                        <a16:creationId xmlns:a16="http://schemas.microsoft.com/office/drawing/2014/main" id="{1DB526B5-2FC5-41AB-AE26-461BA3088C3E}"/>
                      </a:ext>
                    </a:extLst>
                  </xdr:cNvPr>
                  <xdr:cNvGraphicFramePr>
                    <a:graphicFrameLocks noChangeAspect="1"/>
                  </xdr:cNvGraphicFramePr>
                </xdr:nvGraphicFramePr>
                <xdr:xfrm rot="5400000">
                  <a:off x="15167184" y="3184236"/>
                  <a:ext cx="1586090" cy="546264"/>
                </xdr:xfrm>
                <a:graphic>
                  <a:graphicData uri="http://schemas.microsoft.com/office/drawing/2017/model3d">
                    <am3d:model3d xmlns:r="http://schemas.openxmlformats.org/officeDocument/2006/relationships" r:embed="rId2">
                      <am3d:spPr>
                        <a:xfrm rot="5400000">
                          <a:off x="0" y="0"/>
                          <a:ext cx="1308876" cy="439768"/>
                        </a:xfrm>
                        <a:prstGeom prst="rect">
                          <a:avLst/>
                        </a:prstGeom>
                      </am3d:spPr>
                      <am3d:camera>
                        <am3d:pos x="0" y="0" z="49265132"/>
                        <am3d:up dx="0" dy="36000000" dz="0"/>
                        <am3d:lookAt x="0" y="0" z="0"/>
                        <am3d:perspective fov="2700000"/>
                      </am3d:camera>
                      <am3d:trans>
                        <am3d:meterPerModelUnit n="2106943" d="1000000"/>
                        <am3d:preTrans dx="0" dy="-9860495" dz="-1482"/>
                        <am3d:scale>
                          <am3d:sx n="1000000" d="1000000"/>
                          <am3d:sy n="1000000" d="1000000"/>
                          <am3d:sz n="1000000" d="1000000"/>
                        </am3d:scale>
                        <am3d:rot ax="-15260" ay="1179810" az="-5150"/>
                        <am3d:postTrans dx="0" dy="0" dz="0"/>
                      </am3d:trans>
                      <am3d:raster rName="Office3DRenderer" rVer="16.0.8326">
                        <am3d:blip r:embed="rId4"/>
                      </am3d:raster>
                      <am3d:objViewport viewportSz="1378987"/>
                      <am3d:ambientLight>
                        <am3d:clr>
                          <a:scrgbClr r="50000" g="50000" b="50000"/>
                        </am3d:clr>
                        <am3d:illuminance n="500000" d="1000000"/>
                      </am3d:ambientLight>
                      <am3d:ptLight rad="0">
                        <am3d:clr>
                          <a:scrgbClr r="100000" g="75000" b="50000"/>
                        </am3d:clr>
                        <am3d:intensity n="9765625" d="1000000"/>
                        <am3d:pos x="21959998" y="70920001" z="16344003"/>
                      </am3d:ptLight>
                      <am3d:ptLight rad="0">
                        <am3d:clr>
                          <a:scrgbClr r="40000" g="60000" b="95000"/>
                        </am3d:clr>
                        <am3d:intensity n="12250000" d="1000000"/>
                        <am3d:pos x="-37964106" y="51130435" z="57631972"/>
                      </am3d:ptLight>
                      <am3d:ptLight rad="0">
                        <am3d:clr>
                          <a:scrgbClr r="86837" g="72700" b="100000"/>
                        </am3d:clr>
                        <am3d:intensity n="3125000" d="1000000"/>
                        <am3d:pos x="-37739122" y="58056624" z="-34769649"/>
                      </am3d:ptLight>
                    </am3d:model3d>
                  </a:graphicData>
                </a:graphic>
              </xdr:graphicFrame>
            </mc:Choice>
            <mc:Fallback>
              <xdr:pic>
                <xdr:nvPicPr>
                  <xdr:cNvPr id="26" name="3D モデル 25" descr="太くて薄い灰色をした直線の矢印">
                    <a:extLst>
                      <a:ext uri="{FF2B5EF4-FFF2-40B4-BE49-F238E27FC236}">
                        <a16:creationId xmlns:a16="http://schemas.microsoft.com/office/drawing/2014/main" id="{1DB526B5-2FC5-41AB-AE26-461BA3088C3E}"/>
                      </a:ext>
                    </a:extLst>
                  </xdr:cNvPr>
                  <xdr:cNvPicPr>
                    <a:picLocks noGrp="1" noRot="1" noChangeAspect="1" noMove="1" noResize="1" noEditPoints="1" noAdjustHandles="1" noChangeArrowheads="1" noChangeShapeType="1" noCrop="1"/>
                  </xdr:cNvPicPr>
                </xdr:nvPicPr>
                <xdr:blipFill>
                  <a:blip xmlns:r="http://schemas.openxmlformats.org/officeDocument/2006/relationships" r:embed="rId4"/>
                  <a:stretch>
                    <a:fillRect/>
                  </a:stretch>
                </xdr:blipFill>
                <xdr:spPr>
                  <a:xfrm rot="5400000">
                    <a:off x="6253192" y="1198997"/>
                    <a:ext cx="1308876" cy="439768"/>
                  </a:xfrm>
                  <a:prstGeom prst="rect">
                    <a:avLst/>
                  </a:prstGeom>
                </xdr:spPr>
              </xdr:pic>
            </mc:Fallback>
          </mc:AlternateContent>
          <xdr:sp macro="" textlink="">
            <xdr:nvSpPr>
              <xdr:cNvPr id="27" name="テキスト ボックス 26">
                <a:extLst>
                  <a:ext uri="{FF2B5EF4-FFF2-40B4-BE49-F238E27FC236}">
                    <a16:creationId xmlns:a16="http://schemas.microsoft.com/office/drawing/2014/main" id="{6949E207-BC0D-4483-A951-249C19141BC0}"/>
                  </a:ext>
                </a:extLst>
              </xdr:cNvPr>
              <xdr:cNvSpPr txBox="1"/>
            </xdr:nvSpPr>
            <xdr:spPr>
              <a:xfrm>
                <a:off x="15674698" y="2610676"/>
                <a:ext cx="523604" cy="126527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vert="wordArtVertRtl" wrap="square" rtlCol="0" anchor="ctr">
                <a:spAutoFit/>
              </a:bodyPr>
              <a:lstStyle/>
              <a:p>
                <a:r>
                  <a:rPr kumimoji="1" lang="ja-JP" altLang="en-US" sz="1050" b="1">
                    <a:solidFill>
                      <a:schemeClr val="bg1"/>
                    </a:solidFill>
                  </a:rPr>
                  <a:t>圧入荷重</a:t>
                </a:r>
              </a:p>
            </xdr:txBody>
          </xdr:sp>
        </xdr:grp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204788</xdr:rowOff>
    </xdr:from>
    <xdr:to>
      <xdr:col>4</xdr:col>
      <xdr:colOff>533591</xdr:colOff>
      <xdr:row>26</xdr:row>
      <xdr:rowOff>202607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471488</xdr:colOff>
      <xdr:row>10</xdr:row>
      <xdr:rowOff>180975</xdr:rowOff>
    </xdr:from>
    <xdr:to>
      <xdr:col>10</xdr:col>
      <xdr:colOff>598103</xdr:colOff>
      <xdr:row>26</xdr:row>
      <xdr:rowOff>178794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598882</xdr:colOff>
      <xdr:row>10</xdr:row>
      <xdr:rowOff>165145</xdr:rowOff>
    </xdr:from>
    <xdr:to>
      <xdr:col>22</xdr:col>
      <xdr:colOff>275224</xdr:colOff>
      <xdr:row>26</xdr:row>
      <xdr:rowOff>162964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630874</xdr:colOff>
      <xdr:row>13</xdr:row>
      <xdr:rowOff>215238</xdr:rowOff>
    </xdr:from>
    <xdr:to>
      <xdr:col>17</xdr:col>
      <xdr:colOff>272579</xdr:colOff>
      <xdr:row>29</xdr:row>
      <xdr:rowOff>213056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300682</xdr:colOff>
      <xdr:row>30</xdr:row>
      <xdr:rowOff>216755</xdr:rowOff>
    </xdr:from>
    <xdr:to>
      <xdr:col>21</xdr:col>
      <xdr:colOff>1622251</xdr:colOff>
      <xdr:row>46</xdr:row>
      <xdr:rowOff>214573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541735</xdr:colOff>
      <xdr:row>81</xdr:row>
      <xdr:rowOff>178594</xdr:rowOff>
    </xdr:from>
    <xdr:to>
      <xdr:col>15</xdr:col>
      <xdr:colOff>464344</xdr:colOff>
      <xdr:row>95</xdr:row>
      <xdr:rowOff>160734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881" t="4607" r="2305" b="35063"/>
        <a:stretch/>
      </xdr:blipFill>
      <xdr:spPr>
        <a:xfrm>
          <a:off x="7590235" y="19192875"/>
          <a:ext cx="5417344" cy="3149203"/>
        </a:xfrm>
        <a:prstGeom prst="rect">
          <a:avLst/>
        </a:prstGeom>
      </xdr:spPr>
    </xdr:pic>
    <xdr:clientData/>
  </xdr:twoCellAnchor>
  <xdr:twoCellAnchor editAs="oneCell">
    <xdr:from>
      <xdr:col>9</xdr:col>
      <xdr:colOff>65485</xdr:colOff>
      <xdr:row>4</xdr:row>
      <xdr:rowOff>95251</xdr:rowOff>
    </xdr:from>
    <xdr:to>
      <xdr:col>16</xdr:col>
      <xdr:colOff>188156</xdr:colOff>
      <xdr:row>22</xdr:row>
      <xdr:rowOff>150051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01064" y="1202532"/>
          <a:ext cx="4914936" cy="432914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208359</xdr:colOff>
      <xdr:row>81</xdr:row>
      <xdr:rowOff>47625</xdr:rowOff>
    </xdr:from>
    <xdr:to>
      <xdr:col>17</xdr:col>
      <xdr:colOff>148828</xdr:colOff>
      <xdr:row>95</xdr:row>
      <xdr:rowOff>29765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881" t="4607" r="2305" b="35063"/>
        <a:stretch/>
      </xdr:blipFill>
      <xdr:spPr>
        <a:xfrm>
          <a:off x="11054953" y="20193000"/>
          <a:ext cx="5417344" cy="3149203"/>
        </a:xfrm>
        <a:prstGeom prst="rect">
          <a:avLst/>
        </a:prstGeom>
      </xdr:spPr>
    </xdr:pic>
    <xdr:clientData/>
  </xdr:twoCellAnchor>
  <xdr:twoCellAnchor editAs="oneCell">
    <xdr:from>
      <xdr:col>10</xdr:col>
      <xdr:colOff>136922</xdr:colOff>
      <xdr:row>7</xdr:row>
      <xdr:rowOff>11906</xdr:rowOff>
    </xdr:from>
    <xdr:to>
      <xdr:col>17</xdr:col>
      <xdr:colOff>259592</xdr:colOff>
      <xdr:row>25</xdr:row>
      <xdr:rowOff>66707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68126" y="1797844"/>
          <a:ext cx="4914936" cy="432914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182074</xdr:colOff>
      <xdr:row>15</xdr:row>
      <xdr:rowOff>77298</xdr:rowOff>
    </xdr:from>
    <xdr:to>
      <xdr:col>7</xdr:col>
      <xdr:colOff>467824</xdr:colOff>
      <xdr:row>26</xdr:row>
      <xdr:rowOff>201123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816429</xdr:colOff>
      <xdr:row>5</xdr:row>
      <xdr:rowOff>54430</xdr:rowOff>
    </xdr:from>
    <xdr:to>
      <xdr:col>8</xdr:col>
      <xdr:colOff>1</xdr:colOff>
      <xdr:row>27</xdr:row>
      <xdr:rowOff>51709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285750</xdr:colOff>
      <xdr:row>4</xdr:row>
      <xdr:rowOff>70115</xdr:rowOff>
    </xdr:from>
    <xdr:to>
      <xdr:col>11</xdr:col>
      <xdr:colOff>419991</xdr:colOff>
      <xdr:row>14</xdr:row>
      <xdr:rowOff>133833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14750" y="965465"/>
          <a:ext cx="4249041" cy="230209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10</xdr:col>
      <xdr:colOff>160547</xdr:colOff>
      <xdr:row>9</xdr:row>
      <xdr:rowOff>14287</xdr:rowOff>
    </xdr:from>
    <xdr:to>
      <xdr:col>20</xdr:col>
      <xdr:colOff>369105</xdr:colOff>
      <xdr:row>28</xdr:row>
      <xdr:rowOff>201529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18547" y="2028825"/>
          <a:ext cx="7066558" cy="444015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7</xdr:col>
      <xdr:colOff>453286</xdr:colOff>
      <xdr:row>31</xdr:row>
      <xdr:rowOff>176213</xdr:rowOff>
    </xdr:from>
    <xdr:to>
      <xdr:col>17</xdr:col>
      <xdr:colOff>383667</xdr:colOff>
      <xdr:row>44</xdr:row>
      <xdr:rowOff>163063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53886" y="7115176"/>
          <a:ext cx="6788381" cy="289673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06B141-72F2-43FB-B484-DDB88721D59A}" name="テーブル3" displayName="テーブル3" ref="A5:K56" totalsRowShown="0">
  <autoFilter ref="A5:K56" xr:uid="{FDDE3D9B-89B7-4A1A-84B3-298CC32DC624}"/>
  <tableColumns count="11">
    <tableColumn id="1" xr3:uid="{2FAA5A37-3BEC-491C-82C9-F7926DF58DA7}" name="締め代" dataDxfId="57">
      <calculatedColumnFormula>$A$6+($A$3*(ROW(A6)-ROW($A$6)))</calculatedColumnFormula>
    </tableColumn>
    <tableColumn id="5" xr3:uid="{5A1E9B9A-F7BE-43BE-BE85-5CEA74FD85DD}" name="半径方向応力min" dataDxfId="56">
      <calculatedColumnFormula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calculatedColumnFormula>
    </tableColumn>
    <tableColumn id="2" xr3:uid="{18E815CB-1621-469F-A543-12BFFD25794B}" name="半径方向応力nor" dataDxfId="55">
      <calculatedColumnFormula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calculatedColumnFormula>
    </tableColumn>
    <tableColumn id="6" xr3:uid="{1547B509-646E-4B36-BE11-41773C6F2BE8}" name="半径方向応力max" dataDxfId="54">
      <calculatedColumnFormula>(A6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calculatedColumnFormula>
    </tableColumn>
    <tableColumn id="4" xr3:uid="{9423DD89-5A61-4A31-B24A-23680909B095}" name="圧入力min" dataDxfId="53">
      <calculatedColumnFormula>テーブル3[[#This Row],[半径方向応力min]]*寸法→圧入力!D$48*寸法→圧入力!D$6/1000</calculatedColumnFormula>
    </tableColumn>
    <tableColumn id="3" xr3:uid="{AD3068B6-CDF3-460F-A7F9-4BF5B173109A}" name="圧入力nor" dataDxfId="52">
      <calculatedColumnFormula>テーブル3[[#This Row],[半径方向応力min]]*寸法→圧入力!E$48*寸法→圧入力!E$6/1000</calculatedColumnFormula>
    </tableColumn>
    <tableColumn id="7" xr3:uid="{BE137976-C59F-47AE-B31C-BB90F480FB3E}" name="圧入力max" dataDxfId="51">
      <calculatedColumnFormula>テーブル3[[#This Row],[半径方向応力min]]*寸法→圧入力!F$48*寸法→圧入力!F$6/1000</calculatedColumnFormula>
    </tableColumn>
    <tableColumn id="8" xr3:uid="{0F6A6135-C2F2-4123-8A0A-6516900B0639}" name="降伏点inner" dataDxfId="50">
      <calculatedColumnFormula>寸法→圧入力!$D$32</calculatedColumnFormula>
    </tableColumn>
    <tableColumn id="9" xr3:uid="{F1168C0E-85D7-4C76-B1A0-F138AC22EF38}" name="降伏点outer" dataDxfId="49">
      <calculatedColumnFormula>寸法→圧入力!$D$41</calculatedColumnFormula>
    </tableColumn>
    <tableColumn id="10" xr3:uid="{EF91BA46-877C-4933-8773-13C8D1D88857}" name="円周方向応力inner" dataDxfId="48">
      <calculatedColumnFormula>テーブル3[[#This Row],[半径方向応力nor]]*2*寸法→圧入力!E$25^2/(寸法→圧入力!E$25^2-寸法→圧入力!E$26^2)</calculatedColumnFormula>
    </tableColumn>
    <tableColumn id="11" xr3:uid="{F33EC646-2598-4D95-A97F-6922B11E7CA3}" name="円周方向応力outer" dataDxfId="47">
      <calculatedColumnFormula>テーブル3[[#This Row],[半径方向応力nor]]* (1+(寸法→圧入力!E$36/寸法→圧入力!E$35)^2)/((寸法→圧入力!E$36/寸法→圧入力!E$35)^2-1)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E3A78CE-22E8-4DE7-ABAA-3A285F2A4B38}" name="テーブル4" displayName="テーブル4" ref="N5:AR56" totalsRowShown="0">
  <autoFilter ref="N5:AR56" xr:uid="{9E9E9E76-C17A-4F95-8C5C-F669756536B5}"/>
  <tableColumns count="31">
    <tableColumn id="1" xr3:uid="{3BB67F7D-23EF-4215-987B-544BF5A2E374}" name="inner温度[℃]">
      <calculatedColumnFormula>N5+5</calculatedColumnFormula>
    </tableColumn>
    <tableColumn id="9" xr3:uid="{40AF760F-8B54-4388-BEF8-313A5620CF08}" name="締め代：Δ-30℃" dataDxfId="46">
      <calculatedColumnFormula>寸法→圧入力!F$25*(1+寸法→圧入力!D$31*10^-6*(テーブル4[[#This Row],[inner温度'[℃']]]-20)) - 寸法→圧入力!D$35*(1+寸法→圧入力!D$40*10^-6*(テーブル4[[#This Row],[inner温度'[℃']]]+O$3-20))</calculatedColumnFormula>
    </tableColumn>
    <tableColumn id="10" xr3:uid="{24CAF85B-CFDE-4278-A686-117558FC2988}" name="締め代：Δ-20℃" dataDxfId="45">
      <calculatedColumnFormula>寸法→圧入力!F$25*(1+寸法→圧入力!D$31*10^-6*(テーブル4[[#This Row],[inner温度'[℃']]]-20)) - 寸法→圧入力!D$35*(1+寸法→圧入力!D$40*10^-6*(テーブル4[[#This Row],[inner温度'[℃']]]+P$3-20))</calculatedColumnFormula>
    </tableColumn>
    <tableColumn id="11" xr3:uid="{58952C7D-E0C1-4EE5-B9BB-DEFA47E2EC75}" name="締め代：Δ-10℃" dataDxfId="44">
      <calculatedColumnFormula>寸法→圧入力!F$25*(1+寸法→圧入力!D$31*10^-6*(テーブル4[[#This Row],[inner温度'[℃']]]-20)) - 寸法→圧入力!D$35*(1+寸法→圧入力!D$40*10^-6*(テーブル4[[#This Row],[inner温度'[℃']]]+Q$3-20))</calculatedColumnFormula>
    </tableColumn>
    <tableColumn id="12" xr3:uid="{B1D0FC0B-4860-491E-A377-A3F8088CA3F1}" name="締め代：Δ0℃" dataDxfId="43">
      <calculatedColumnFormula>寸法→圧入力!F$25*(1+寸法→圧入力!D$31*10^-6*(テーブル4[[#This Row],[inner温度'[℃']]]-20)) - 寸法→圧入力!D$35*(1+寸法→圧入力!D$40*10^-6*(テーブル4[[#This Row],[inner温度'[℃']]]+R$3-20))</calculatedColumnFormula>
    </tableColumn>
    <tableColumn id="13" xr3:uid="{9CC9C278-B370-458E-BFA7-8313EB649DF9}" name="締め代：Δ+10℃" dataDxfId="42">
      <calculatedColumnFormula>寸法→圧入力!F$25*(1+寸法→圧入力!D$31*10^-6*(テーブル4[[#This Row],[inner温度'[℃']]]-20)) - 寸法→圧入力!D$35*(1+寸法→圧入力!D$40*10^-6*(テーブル4[[#This Row],[inner温度'[℃']]]+S$3-20))</calculatedColumnFormula>
    </tableColumn>
    <tableColumn id="14" xr3:uid="{8A60D690-39FC-48F5-BEF8-308FCA4C9E14}" name="締め代：Δ+20℃" dataDxfId="41">
      <calculatedColumnFormula>寸法→圧入力!F$25*(1+寸法→圧入力!D$31*10^-6*(テーブル4[[#This Row],[inner温度'[℃']]]-20)) - 寸法→圧入力!D$35*(1+寸法→圧入力!D$40*10^-6*(テーブル4[[#This Row],[inner温度'[℃']]]+T$3-20))</calculatedColumnFormula>
    </tableColumn>
    <tableColumn id="15" xr3:uid="{F8C9DC85-FDDD-408E-9972-D7468A494D66}" name="締め代：Δ+30℃" dataDxfId="40">
      <calculatedColumnFormula>寸法→圧入力!F$25*(1+寸法→圧入力!D$31*10^-6*(テーブル4[[#This Row],[inner温度'[℃']]]-20)) - 寸法→圧入力!D$35*(1+寸法→圧入力!D$40*10^-6*(テーブル4[[#This Row],[inner温度'[℃']]]+U$3-20))</calculatedColumnFormula>
    </tableColumn>
    <tableColumn id="24" xr3:uid="{BC2C905E-03A5-4574-9624-D4919F3CAF53}" name="半径方向応力:Δ-30℃" dataDxfId="39">
      <calculatedColumnFormula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calculatedColumnFormula>
    </tableColumn>
    <tableColumn id="25" xr3:uid="{79208675-12C9-475D-B20A-184172485277}" name="半径方向応力:Δ-20℃" dataDxfId="38">
      <calculatedColumnFormula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calculatedColumnFormula>
    </tableColumn>
    <tableColumn id="26" xr3:uid="{4CE2496F-4AD8-4F42-8987-7B1CF2BF2126}" name="半径方向応力:Δ-10℃" dataDxfId="37">
      <calculatedColumnFormula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calculatedColumnFormula>
    </tableColumn>
    <tableColumn id="27" xr3:uid="{88397239-8BA1-497F-92B0-9995AE041B76}" name="半径方向応力:Δ0℃" dataDxfId="36">
      <calculatedColumnFormula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calculatedColumnFormula>
    </tableColumn>
    <tableColumn id="28" xr3:uid="{6084C7F9-EE01-4054-A19D-4C3568E2C68D}" name="半径方向応力:Δ+10℃" dataDxfId="35">
      <calculatedColumnFormula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calculatedColumnFormula>
    </tableColumn>
    <tableColumn id="29" xr3:uid="{FEEBA70A-9EF1-4C61-8E39-74A0C7A8BA69}" name="半径方向応力:Δ+20℃" dataDxfId="34">
      <calculatedColumnFormula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calculatedColumnFormula>
    </tableColumn>
    <tableColumn id="30" xr3:uid="{0D431477-6ED5-4F86-8033-98426F73B068}" name="半径方向応力:Δ+30℃" dataDxfId="33">
      <calculatedColumnFormula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calculatedColumnFormula>
    </tableColumn>
    <tableColumn id="2" xr3:uid="{15F96A06-6DE8-4F3F-A42F-4EC9F1369B9E}" name="inner応力:Δ-30℃" dataDxfId="32">
      <calculatedColumnFormula>テーブル4[[#This Row],[半径方向応力:Δ-30℃]]*2*寸法→圧入力!D$25^2/(寸法→圧入力!D$25^2-寸法→圧入力!F$26^2)</calculatedColumnFormula>
    </tableColumn>
    <tableColumn id="3" xr3:uid="{57FBF900-1FA8-45D2-870F-3A436C83545B}" name="inner応力:Δ-20℃" dataDxfId="31">
      <calculatedColumnFormula>テーブル4[[#This Row],[半径方向応力:Δ-20℃]]*2*寸法→圧入力!D$25^2/(寸法→圧入力!D$25^2-寸法→圧入力!F$26^2)</calculatedColumnFormula>
    </tableColumn>
    <tableColumn id="4" xr3:uid="{33B6073F-3872-49E2-9DE8-E30299345F95}" name="inner応力:Δ-10℃" dataDxfId="30">
      <calculatedColumnFormula>テーブル4[[#This Row],[半径方向応力:Δ-10℃]]*2*寸法→圧入力!D$25^2/(寸法→圧入力!D$25^2-寸法→圧入力!F$26^2)</calculatedColumnFormula>
    </tableColumn>
    <tableColumn id="5" xr3:uid="{4B6C0583-8D4B-4D47-9A89-398DD4A944F6}" name="inner応力:Δ0℃" dataDxfId="29">
      <calculatedColumnFormula>テーブル4[[#This Row],[半径方向応力:Δ0℃]]*2*寸法→圧入力!D$25^2/(寸法→圧入力!D$25^2-寸法→圧入力!F$26^2)</calculatedColumnFormula>
    </tableColumn>
    <tableColumn id="6" xr3:uid="{BA1D798B-3BAF-46E0-9CA3-83EFC7E1A1B3}" name="inner応力:Δ+10℃" dataDxfId="28">
      <calculatedColumnFormula>テーブル4[[#This Row],[半径方向応力:Δ+10℃]]*2*寸法→圧入力!D$25^2/(寸法→圧入力!D$25^2-寸法→圧入力!F$26^2)</calculatedColumnFormula>
    </tableColumn>
    <tableColumn id="7" xr3:uid="{4D79C5C7-4FC5-415B-9E65-1191B3073F19}" name="inner応力:Δ+20℃" dataDxfId="27">
      <calculatedColumnFormula>テーブル4[[#This Row],[半径方向応力:Δ+20℃]]*2*寸法→圧入力!D$25^2/(寸法→圧入力!D$25^2-寸法→圧入力!F$26^2)</calculatedColumnFormula>
    </tableColumn>
    <tableColumn id="8" xr3:uid="{E15A2C96-E608-42E0-A14D-A806CCF54B6E}" name="inner応力:Δ+30℃" dataDxfId="26">
      <calculatedColumnFormula>テーブル4[[#This Row],[半径方向応力:Δ+30℃]]*2*寸法→圧入力!D$25^2/(寸法→圧入力!D$25^2-寸法→圧入力!F$26^2)</calculatedColumnFormula>
    </tableColumn>
    <tableColumn id="31" xr3:uid="{DB918E19-A0F8-4EA2-803A-8B721424C18F}" name="inner降伏点" dataDxfId="25">
      <calculatedColumnFormula>寸法→圧入力!$D$32</calculatedColumnFormula>
    </tableColumn>
    <tableColumn id="16" xr3:uid="{99B39732-6D8B-4F38-8299-523B6916CD73}" name="outer応力:Δ-30℃" dataDxfId="24">
      <calculatedColumnFormula>テーブル4[[#This Row],[半径方向応力:Δ-30℃]]* (1+(寸法→圧入力!D$36/寸法→圧入力!F$35)^2)/((寸法→圧入力!D$36/寸法→圧入力!F$35)^2-1)</calculatedColumnFormula>
    </tableColumn>
    <tableColumn id="17" xr3:uid="{6BAECA94-D5C4-42A7-8337-13B06614FFB3}" name="outer応力:Δ-20℃" dataDxfId="23">
      <calculatedColumnFormula>テーブル4[[#This Row],[半径方向応力:Δ-20℃]]* (1+(寸法→圧入力!D$36/寸法→圧入力!F$35)^2)/((寸法→圧入力!D$36/寸法→圧入力!F$35)^2-1)</calculatedColumnFormula>
    </tableColumn>
    <tableColumn id="18" xr3:uid="{17589792-E645-431B-80A0-A20C1A214407}" name="outer応力:Δ-10℃" dataDxfId="22">
      <calculatedColumnFormula>テーブル4[[#This Row],[半径方向応力:Δ-10℃]]* (1+(寸法→圧入力!D$36/寸法→圧入力!F$35)^2)/((寸法→圧入力!D$36/寸法→圧入力!F$35)^2-1)</calculatedColumnFormula>
    </tableColumn>
    <tableColumn id="19" xr3:uid="{51650215-5794-425D-A9BA-944285CE38A3}" name="outer応力:Δ0℃" dataDxfId="21">
      <calculatedColumnFormula>テーブル4[[#This Row],[半径方向応力:Δ0℃]]* (1+(寸法→圧入力!D$36/寸法→圧入力!F$35)^2)/((寸法→圧入力!D$36/寸法→圧入力!F$35)^2-1)</calculatedColumnFormula>
    </tableColumn>
    <tableColumn id="20" xr3:uid="{F97E2B0B-CC64-43EB-853E-E4204FBB5973}" name="outer応力:Δ+10℃" dataDxfId="20">
      <calculatedColumnFormula>テーブル4[[#This Row],[半径方向応力:Δ+10℃]]* (1+(寸法→圧入力!D$36/寸法→圧入力!F$35)^2)/((寸法→圧入力!D$36/寸法→圧入力!F$35)^2-1)</calculatedColumnFormula>
    </tableColumn>
    <tableColumn id="21" xr3:uid="{6DD1D14F-71C9-4BFF-8DBE-047EC7A69971}" name="outer応力:Δ+20℃" dataDxfId="19">
      <calculatedColumnFormula>テーブル4[[#This Row],[半径方向応力:Δ+20℃]]* (1+(寸法→圧入力!D$36/寸法→圧入力!F$35)^2)/((寸法→圧入力!D$36/寸法→圧入力!F$35)^2-1)</calculatedColumnFormula>
    </tableColumn>
    <tableColumn id="22" xr3:uid="{DFCBF944-9FBC-4887-B4FF-F9ADB45616B8}" name="outer応力:Δ+30℃" dataDxfId="18">
      <calculatedColumnFormula>テーブル4[[#This Row],[半径方向応力:Δ+30℃]]* (1+(寸法→圧入力!D$36/寸法→圧入力!F$35)^2)/((寸法→圧入力!D$36/寸法→圧入力!F$35)^2-1)</calculatedColumnFormula>
    </tableColumn>
    <tableColumn id="32" xr3:uid="{297836EA-3C81-4A7D-830A-384702CB8E77}" name="outer降伏点" dataDxfId="17">
      <calculatedColumnFormula>寸法→圧入力!$D$41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4A77CE-FBDD-4F34-AA95-345DB1B5D4E3}" name="Material_Table" displayName="Material_Table" ref="A2:E7" totalsRowShown="0">
  <autoFilter ref="A2:E7" xr:uid="{3C1AC721-12E6-4E19-9C18-C5C63480899C}"/>
  <tableColumns count="5">
    <tableColumn id="1" xr3:uid="{206EF78F-8D96-4D0D-8F46-BBFDABAB5A1B}" name="Material Name"/>
    <tableColumn id="2" xr3:uid="{08981B9D-744A-46C4-BBC7-B9EE8B2EE14B}" name="Young's Modulus[MPa]"/>
    <tableColumn id="3" xr3:uid="{A2C38975-2C0F-4CE9-8A99-920FC2FF770B}" name="Poisson's Ratio[-]"/>
    <tableColumn id="4" xr3:uid="{02373757-1501-4A6A-84BA-D45BE355AC7B}" name="Linear Expansion Coefficient[10^-6/K]"/>
    <tableColumn id="5" xr3:uid="{F682FC32-BDE6-4726-8E86-C5397E439066}" name="Yield Point[MPa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sml.k.u-tokyo.ac.jp/members/nabe/lecture2012/B3_20120608.pdf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2EFE5-B5B2-4A14-B9F4-D783BA09A4D1}">
  <sheetPr codeName="Sheet1">
    <outlinePr summaryBelow="0"/>
  </sheetPr>
  <dimension ref="A1:R133"/>
  <sheetViews>
    <sheetView showGridLines="0" tabSelected="1" topLeftCell="B1" zoomScale="55" zoomScaleNormal="55" workbookViewId="0">
      <selection activeCell="M36" sqref="M36"/>
    </sheetView>
  </sheetViews>
  <sheetFormatPr defaultRowHeight="17.649999999999999" outlineLevelRow="1"/>
  <cols>
    <col min="1" max="1" width="9" style="86"/>
    <col min="2" max="2" width="9.625" style="188" bestFit="1" customWidth="1"/>
    <col min="3" max="3" width="32.9375" style="91" bestFit="1" customWidth="1"/>
    <col min="4" max="4" width="18.125" style="3" bestFit="1" customWidth="1"/>
    <col min="5" max="5" width="14.625" style="3" bestFit="1" customWidth="1"/>
    <col min="6" max="6" width="12" style="3" bestFit="1" customWidth="1"/>
    <col min="7" max="7" width="9.875" style="3" bestFit="1" customWidth="1"/>
    <col min="8" max="8" width="11.375" style="86" customWidth="1"/>
    <col min="9" max="9" width="13.125" style="86" bestFit="1" customWidth="1"/>
    <col min="10" max="10" width="18.0625" style="86" bestFit="1" customWidth="1"/>
    <col min="11" max="11" width="17" style="86" bestFit="1" customWidth="1"/>
    <col min="12" max="16" width="9" style="86"/>
    <col min="17" max="17" width="13.5625" style="86" bestFit="1" customWidth="1"/>
    <col min="18" max="19" width="9" style="86"/>
    <col min="20" max="20" width="12.75" style="86" bestFit="1" customWidth="1"/>
    <col min="21" max="16384" width="9" style="86"/>
  </cols>
  <sheetData>
    <row r="1" spans="1:18">
      <c r="A1"/>
      <c r="B1"/>
      <c r="C1"/>
      <c r="D1" s="167" t="s">
        <v>59</v>
      </c>
      <c r="E1" s="167" t="s">
        <v>58</v>
      </c>
      <c r="F1" s="167" t="s">
        <v>60</v>
      </c>
    </row>
    <row r="2" spans="1:18" ht="25.9">
      <c r="A2" s="95" t="s">
        <v>336</v>
      </c>
    </row>
    <row r="3" spans="1:18" customFormat="1">
      <c r="B3" s="190" t="s">
        <v>39</v>
      </c>
      <c r="C3" s="79" t="s">
        <v>355</v>
      </c>
      <c r="D3" s="205" t="s">
        <v>357</v>
      </c>
      <c r="E3" s="206"/>
      <c r="F3" s="207"/>
      <c r="G3" s="3" t="s">
        <v>96</v>
      </c>
    </row>
    <row r="4" spans="1:18">
      <c r="B4" s="189"/>
      <c r="C4" s="87" t="s">
        <v>37</v>
      </c>
      <c r="D4" s="209">
        <v>45</v>
      </c>
      <c r="E4" s="209"/>
      <c r="F4" s="209"/>
      <c r="G4" s="3" t="s">
        <v>96</v>
      </c>
    </row>
    <row r="5" spans="1:18">
      <c r="B5" s="190"/>
      <c r="C5" s="87" t="s">
        <v>332</v>
      </c>
      <c r="D5" s="186">
        <f>$D$4+(D$34+D$24)/2</f>
        <v>44.95</v>
      </c>
      <c r="E5" s="186">
        <f>$D$4+(E$34+E$24)/2</f>
        <v>44.965000000000003</v>
      </c>
      <c r="F5" s="186">
        <f>$D$4+(F$34+F$24)/2</f>
        <v>44.98</v>
      </c>
      <c r="G5" s="3" t="s">
        <v>97</v>
      </c>
    </row>
    <row r="6" spans="1:18">
      <c r="B6" s="190"/>
      <c r="C6" s="89" t="s">
        <v>276</v>
      </c>
      <c r="D6" s="183">
        <v>0.12</v>
      </c>
      <c r="E6" s="183">
        <v>0.15</v>
      </c>
      <c r="F6" s="183">
        <v>0.18</v>
      </c>
      <c r="G6" s="3" t="s">
        <v>96</v>
      </c>
    </row>
    <row r="7" spans="1:18">
      <c r="B7" s="190"/>
      <c r="C7" s="89" t="s">
        <v>277</v>
      </c>
      <c r="D7" s="183">
        <v>0.1</v>
      </c>
      <c r="E7" s="183">
        <v>0.12</v>
      </c>
      <c r="F7" s="183">
        <v>0.15</v>
      </c>
      <c r="G7" s="3" t="s">
        <v>96</v>
      </c>
    </row>
    <row r="8" spans="1:18">
      <c r="B8" s="191"/>
      <c r="C8" s="174"/>
      <c r="D8" s="175"/>
      <c r="E8" s="175"/>
      <c r="F8" s="175"/>
    </row>
    <row r="9" spans="1:18" ht="25.9">
      <c r="A9" s="95" t="s">
        <v>337</v>
      </c>
      <c r="B9" s="95"/>
      <c r="C9" s="95"/>
      <c r="D9" s="95"/>
      <c r="E9" s="95"/>
      <c r="F9" s="95"/>
      <c r="Q9" s="83" t="s">
        <v>364</v>
      </c>
      <c r="R9" s="83" t="s">
        <v>359</v>
      </c>
    </row>
    <row r="10" spans="1:18">
      <c r="B10" s="190" t="s">
        <v>39</v>
      </c>
      <c r="C10" s="87" t="s">
        <v>108</v>
      </c>
      <c r="D10" s="210">
        <v>0.5</v>
      </c>
      <c r="E10" s="211"/>
      <c r="F10" s="212"/>
      <c r="G10" s="3" t="s">
        <v>96</v>
      </c>
      <c r="Q10" s="198" t="s">
        <v>360</v>
      </c>
      <c r="R10" s="83">
        <f>E36</f>
        <v>80</v>
      </c>
    </row>
    <row r="11" spans="1:18">
      <c r="B11" s="190"/>
      <c r="C11" s="89" t="s">
        <v>273</v>
      </c>
      <c r="D11" s="169">
        <v>10</v>
      </c>
      <c r="E11" s="169">
        <f>(F11+D11)/2</f>
        <v>30</v>
      </c>
      <c r="F11" s="169">
        <v>50</v>
      </c>
      <c r="G11" s="3" t="s">
        <v>96</v>
      </c>
      <c r="Q11" s="83" t="s">
        <v>361</v>
      </c>
      <c r="R11" s="83">
        <f>D4</f>
        <v>45</v>
      </c>
    </row>
    <row r="12" spans="1:18">
      <c r="B12" s="190"/>
      <c r="C12" s="89" t="s">
        <v>330</v>
      </c>
      <c r="D12" s="168">
        <f>D10*D11*9.81</f>
        <v>49.050000000000004</v>
      </c>
      <c r="E12" s="168">
        <f>D10*E11*9.81</f>
        <v>147.15</v>
      </c>
      <c r="F12" s="168">
        <f>D10*F11*9.81</f>
        <v>245.25</v>
      </c>
      <c r="G12" s="3" t="s">
        <v>97</v>
      </c>
      <c r="Q12" s="83" t="s">
        <v>362</v>
      </c>
      <c r="R12" s="83">
        <f>E26</f>
        <v>35</v>
      </c>
    </row>
    <row r="13" spans="1:18">
      <c r="B13" s="190"/>
      <c r="C13" s="89" t="s">
        <v>274</v>
      </c>
      <c r="D13" s="169">
        <v>100</v>
      </c>
      <c r="E13" s="82">
        <f>(F13+D13)/2</f>
        <v>150</v>
      </c>
      <c r="F13" s="169">
        <v>200</v>
      </c>
      <c r="G13" s="3" t="s">
        <v>96</v>
      </c>
      <c r="Q13" s="83" t="s">
        <v>363</v>
      </c>
      <c r="R13" s="83">
        <f>E46</f>
        <v>15</v>
      </c>
    </row>
    <row r="14" spans="1:18">
      <c r="B14" s="191"/>
      <c r="C14" s="174"/>
      <c r="D14" s="175"/>
      <c r="E14" s="176"/>
      <c r="F14" s="175"/>
    </row>
    <row r="15" spans="1:18">
      <c r="B15" s="190" t="s">
        <v>39</v>
      </c>
      <c r="C15" s="89" t="s">
        <v>271</v>
      </c>
      <c r="D15" s="213">
        <v>0.01</v>
      </c>
      <c r="E15" s="213"/>
      <c r="F15" s="213"/>
      <c r="G15" s="3" t="s">
        <v>96</v>
      </c>
    </row>
    <row r="16" spans="1:18">
      <c r="B16" s="190"/>
      <c r="C16" s="89" t="s">
        <v>270</v>
      </c>
      <c r="D16" s="171">
        <f>1000*(2*PI()/60)/(1^2) *0.5</f>
        <v>52.359877559829883</v>
      </c>
      <c r="E16" s="171">
        <f t="shared" ref="E16" si="0">1000*(2*PI()/60)/(1^2)</f>
        <v>104.71975511965977</v>
      </c>
      <c r="F16" s="171">
        <f>1000*(2*PI()/60)/(1^2) *2</f>
        <v>209.43951023931953</v>
      </c>
      <c r="G16" s="3" t="s">
        <v>96</v>
      </c>
    </row>
    <row r="17" spans="1:7">
      <c r="B17" s="190"/>
      <c r="C17" s="89" t="s">
        <v>328</v>
      </c>
      <c r="D17" s="172">
        <f>$D$15*D16</f>
        <v>0.52359877559829882</v>
      </c>
      <c r="E17" s="172">
        <f t="shared" ref="E17:F17" si="1">$D$15*E16</f>
        <v>1.0471975511965976</v>
      </c>
      <c r="F17" s="172">
        <f t="shared" si="1"/>
        <v>2.0943951023931953</v>
      </c>
      <c r="G17" s="3" t="s">
        <v>97</v>
      </c>
    </row>
    <row r="18" spans="1:7">
      <c r="B18" s="190"/>
      <c r="C18" s="89" t="s">
        <v>329</v>
      </c>
      <c r="D18" s="172">
        <f>D17/($D$4/2/1000)</f>
        <v>23.271056693257727</v>
      </c>
      <c r="E18" s="172">
        <f t="shared" ref="E18:F18" si="2">E17/($D$4/2/1000)</f>
        <v>46.542113386515453</v>
      </c>
      <c r="F18" s="172">
        <f t="shared" si="2"/>
        <v>93.084226773030906</v>
      </c>
      <c r="G18" s="3" t="s">
        <v>97</v>
      </c>
    </row>
    <row r="19" spans="1:7">
      <c r="B19" s="190"/>
      <c r="C19" s="89" t="s">
        <v>275</v>
      </c>
      <c r="D19" s="167">
        <v>0</v>
      </c>
      <c r="E19" s="167">
        <v>100</v>
      </c>
      <c r="F19" s="167">
        <v>200</v>
      </c>
      <c r="G19" s="3" t="s">
        <v>96</v>
      </c>
    </row>
    <row r="20" spans="1:7">
      <c r="B20" s="191"/>
      <c r="C20" s="173"/>
      <c r="D20" s="173"/>
      <c r="E20" s="173"/>
      <c r="F20" s="173"/>
      <c r="G20" s="173"/>
    </row>
    <row r="21" spans="1:7">
      <c r="B21" s="190" t="s">
        <v>39</v>
      </c>
      <c r="C21" s="85" t="s">
        <v>272</v>
      </c>
      <c r="D21" s="172">
        <f>SQRT((D12+D13)^2+(D18+D19)^2)</f>
        <v>150.85570781253463</v>
      </c>
      <c r="E21" s="172">
        <f t="shared" ref="E21" si="3">SQRT((E12+E13)^2+E18^2)</f>
        <v>300.77282260617108</v>
      </c>
      <c r="F21" s="172">
        <f>SQRT((F12+F13)^2+F18^2)</f>
        <v>454.87606638944311</v>
      </c>
      <c r="G21" s="3" t="s">
        <v>97</v>
      </c>
    </row>
    <row r="22" spans="1:7">
      <c r="B22" s="191"/>
      <c r="C22" s="174"/>
      <c r="D22" s="175"/>
      <c r="E22" s="176"/>
      <c r="F22" s="175"/>
    </row>
    <row r="23" spans="1:7" ht="25.9">
      <c r="A23" s="95" t="s">
        <v>338</v>
      </c>
      <c r="B23" s="95"/>
      <c r="C23" s="95"/>
      <c r="D23" s="95"/>
      <c r="E23" s="95"/>
      <c r="F23" s="95"/>
    </row>
    <row r="24" spans="1:7">
      <c r="B24" s="189" t="s">
        <v>88</v>
      </c>
      <c r="C24" s="87" t="s">
        <v>86</v>
      </c>
      <c r="D24" s="8">
        <v>0</v>
      </c>
      <c r="E24" s="101">
        <f>AVERAGE(D24,F24)</f>
        <v>5.0000000000000001E-3</v>
      </c>
      <c r="F24" s="8">
        <v>0.01</v>
      </c>
      <c r="G24" s="3" t="s">
        <v>96</v>
      </c>
    </row>
    <row r="25" spans="1:7" outlineLevel="1">
      <c r="B25" s="189"/>
      <c r="C25" s="87" t="s">
        <v>74</v>
      </c>
      <c r="D25" s="101">
        <f>IF(C24=C25,D24,$D$4+D24)</f>
        <v>45</v>
      </c>
      <c r="E25" s="101">
        <f>IF(D24=D25,E24,$D$4+E24)</f>
        <v>45.005000000000003</v>
      </c>
      <c r="F25" s="101">
        <f>IF(E24=E25,F24,$D$4+F24)</f>
        <v>45.01</v>
      </c>
      <c r="G25" s="3" t="s">
        <v>97</v>
      </c>
    </row>
    <row r="26" spans="1:7">
      <c r="B26" s="189"/>
      <c r="C26" s="87" t="s">
        <v>85</v>
      </c>
      <c r="D26" s="167">
        <f>E26-0.1</f>
        <v>34.9</v>
      </c>
      <c r="E26" s="167">
        <v>35</v>
      </c>
      <c r="F26" s="167">
        <f>E26+0.1</f>
        <v>35.1</v>
      </c>
      <c r="G26" s="3" t="s">
        <v>96</v>
      </c>
    </row>
    <row r="27" spans="1:7">
      <c r="B27" s="189"/>
      <c r="C27" s="87" t="s">
        <v>350</v>
      </c>
      <c r="D27" s="5">
        <f>PI()/64*(D25^4-F26^4)</f>
        <v>126781.73809573794</v>
      </c>
      <c r="E27" s="5">
        <f>PI()/64*(E25^4-E26^4)</f>
        <v>127716.67822303266</v>
      </c>
      <c r="F27" s="5">
        <f>PI()/64*(F25^4-D26^4)</f>
        <v>128644.43232209727</v>
      </c>
    </row>
    <row r="28" spans="1:7">
      <c r="B28" s="189"/>
      <c r="C28" s="87" t="s">
        <v>69</v>
      </c>
      <c r="D28" s="209" t="s">
        <v>100</v>
      </c>
      <c r="E28" s="209"/>
      <c r="F28" s="209"/>
      <c r="G28" s="3" t="s">
        <v>96</v>
      </c>
    </row>
    <row r="29" spans="1:7">
      <c r="B29" s="189"/>
      <c r="C29" s="87" t="s">
        <v>95</v>
      </c>
      <c r="D29" s="214" cm="1">
        <f t="array" ref="D29">INDEX(Youngs_Modulus_List, MATCH(D28,Material_List, 0))</f>
        <v>205000</v>
      </c>
      <c r="E29" s="215"/>
      <c r="F29" s="216"/>
      <c r="G29" s="3" t="s">
        <v>97</v>
      </c>
    </row>
    <row r="30" spans="1:7">
      <c r="B30" s="189"/>
      <c r="C30" s="87" t="s">
        <v>70</v>
      </c>
      <c r="D30" s="208" cm="1">
        <f t="array" ref="D30">INDEX(Poissons_Ratio_List, MATCH(D28,Material_List, 0))</f>
        <v>0.3</v>
      </c>
      <c r="E30" s="208"/>
      <c r="F30" s="208"/>
      <c r="G30" s="3" t="s">
        <v>97</v>
      </c>
    </row>
    <row r="31" spans="1:7">
      <c r="B31" s="189"/>
      <c r="C31" s="87" t="s">
        <v>71</v>
      </c>
      <c r="D31" s="208" cm="1">
        <f t="array" ref="D31">INDEX(Linear_Expansion_Coefficient_List, MATCH(D28,Material_List, 0))</f>
        <v>11.9</v>
      </c>
      <c r="E31" s="208"/>
      <c r="F31" s="208"/>
      <c r="G31" s="3" t="s">
        <v>97</v>
      </c>
    </row>
    <row r="32" spans="1:7">
      <c r="B32" s="189"/>
      <c r="C32" s="87" t="s">
        <v>73</v>
      </c>
      <c r="D32" s="208" cm="1">
        <f t="array" ref="D32">INDEX(Yield_Point_List, MATCH(D28,Material_List, 0))</f>
        <v>345</v>
      </c>
      <c r="E32" s="208"/>
      <c r="F32" s="208"/>
      <c r="G32" s="3" t="s">
        <v>97</v>
      </c>
    </row>
    <row r="33" spans="1:10" ht="25.9">
      <c r="A33" s="95" t="s">
        <v>341</v>
      </c>
      <c r="B33" s="95"/>
      <c r="C33" s="95"/>
      <c r="D33" s="95"/>
      <c r="E33" s="95"/>
      <c r="F33" s="95"/>
    </row>
    <row r="34" spans="1:10">
      <c r="B34" s="189" t="s">
        <v>87</v>
      </c>
      <c r="C34" s="87" t="s">
        <v>80</v>
      </c>
      <c r="D34" s="167">
        <v>-0.1</v>
      </c>
      <c r="E34" s="168">
        <f>AVERAGE(D34,F34)</f>
        <v>-7.5000000000000011E-2</v>
      </c>
      <c r="F34" s="167">
        <v>-0.05</v>
      </c>
      <c r="G34" s="3" t="s">
        <v>96</v>
      </c>
    </row>
    <row r="35" spans="1:10" outlineLevel="1">
      <c r="B35" s="189"/>
      <c r="C35" s="87" t="s">
        <v>81</v>
      </c>
      <c r="D35" s="101">
        <f>IF(C34=C35,D34,$D$4+D34)</f>
        <v>44.9</v>
      </c>
      <c r="E35" s="101">
        <f>IF(D34=D35,E34,$D$4+E34)</f>
        <v>44.924999999999997</v>
      </c>
      <c r="F35" s="101">
        <f>IF(E34=E35,F34,$D$4+F34)</f>
        <v>44.95</v>
      </c>
      <c r="G35" s="3" t="s">
        <v>97</v>
      </c>
      <c r="J35"/>
    </row>
    <row r="36" spans="1:10">
      <c r="B36" s="189"/>
      <c r="C36" s="87" t="s">
        <v>74</v>
      </c>
      <c r="D36" s="167">
        <v>79</v>
      </c>
      <c r="E36" s="167">
        <v>80</v>
      </c>
      <c r="F36" s="167">
        <v>81</v>
      </c>
      <c r="G36" s="3" t="s">
        <v>96</v>
      </c>
      <c r="J36"/>
    </row>
    <row r="37" spans="1:10">
      <c r="B37" s="189"/>
      <c r="C37" s="87" t="s">
        <v>69</v>
      </c>
      <c r="D37" s="217" t="s">
        <v>91</v>
      </c>
      <c r="E37" s="218"/>
      <c r="F37" s="219"/>
      <c r="G37" s="3" t="s">
        <v>96</v>
      </c>
      <c r="J37"/>
    </row>
    <row r="38" spans="1:10">
      <c r="B38" s="189"/>
      <c r="C38" s="87" t="s">
        <v>95</v>
      </c>
      <c r="D38" s="208" cm="1">
        <f t="array" ref="D38">INDEX(Youngs_Modulus_List, MATCH(D37,Material_List, 0))</f>
        <v>71000</v>
      </c>
      <c r="E38" s="208"/>
      <c r="F38" s="208"/>
      <c r="G38" s="3" t="s">
        <v>97</v>
      </c>
      <c r="J38"/>
    </row>
    <row r="39" spans="1:10">
      <c r="B39" s="189"/>
      <c r="C39" s="87" t="s">
        <v>70</v>
      </c>
      <c r="D39" s="208" cm="1">
        <f t="array" ref="D39">INDEX(Poissons_Ratio_List, MATCH(D37,Material_List, 0))</f>
        <v>0.33</v>
      </c>
      <c r="E39" s="208"/>
      <c r="F39" s="208"/>
      <c r="G39" s="3" t="s">
        <v>97</v>
      </c>
      <c r="J39"/>
    </row>
    <row r="40" spans="1:10">
      <c r="B40" s="189"/>
      <c r="C40" s="87" t="s">
        <v>71</v>
      </c>
      <c r="D40" s="208" cm="1">
        <f t="array" ref="D40">INDEX(Linear_Expansion_Coefficient_List, MATCH(D37,Material_List, 0))</f>
        <v>21</v>
      </c>
      <c r="E40" s="208"/>
      <c r="F40" s="208"/>
      <c r="G40" s="3" t="s">
        <v>97</v>
      </c>
    </row>
    <row r="41" spans="1:10">
      <c r="B41" s="189"/>
      <c r="C41" s="87" t="s">
        <v>73</v>
      </c>
      <c r="D41" s="208" cm="1">
        <f t="array" ref="D41">INDEX(Yield_Point_List, MATCH(D37,Material_List, 0))</f>
        <v>150</v>
      </c>
      <c r="E41" s="208"/>
      <c r="F41" s="208"/>
      <c r="G41" s="3" t="s">
        <v>97</v>
      </c>
    </row>
    <row r="42" spans="1:10" ht="25.9">
      <c r="A42" s="95" t="s">
        <v>342</v>
      </c>
      <c r="B42" s="95"/>
      <c r="C42" s="95"/>
      <c r="D42" s="95"/>
      <c r="E42" s="95"/>
      <c r="F42" s="95"/>
      <c r="G42"/>
    </row>
    <row r="43" spans="1:10">
      <c r="B43" s="189"/>
      <c r="C43" s="87" t="s">
        <v>69</v>
      </c>
      <c r="D43" s="209" t="s">
        <v>91</v>
      </c>
      <c r="E43" s="209"/>
      <c r="F43" s="209"/>
      <c r="G43" s="185" t="s">
        <v>96</v>
      </c>
    </row>
    <row r="44" spans="1:10" customFormat="1">
      <c r="B44" s="193"/>
      <c r="C44" s="87" t="s">
        <v>73</v>
      </c>
      <c r="D44" s="224" cm="1">
        <f t="array" ref="D44">INDEX(Yield_Point_List, MATCH(D37,Material_List, 0))</f>
        <v>150</v>
      </c>
      <c r="E44" s="224"/>
      <c r="F44" s="224"/>
      <c r="G44" s="3" t="s">
        <v>97</v>
      </c>
    </row>
    <row r="45" spans="1:10" ht="25.9">
      <c r="A45" s="95" t="s">
        <v>339</v>
      </c>
    </row>
    <row r="46" spans="1:10">
      <c r="A46"/>
      <c r="B46" s="193" t="s">
        <v>39</v>
      </c>
      <c r="C46" s="88" t="s">
        <v>335</v>
      </c>
      <c r="D46" s="182">
        <f>E46-0.1</f>
        <v>14.9</v>
      </c>
      <c r="E46" s="182">
        <v>15</v>
      </c>
      <c r="F46" s="182">
        <f>E46+0.1</f>
        <v>15.1</v>
      </c>
      <c r="G46" s="185" t="s">
        <v>96</v>
      </c>
    </row>
    <row r="47" spans="1:10">
      <c r="A47"/>
      <c r="B47" s="193" t="s">
        <v>39</v>
      </c>
      <c r="C47" s="88" t="s">
        <v>331</v>
      </c>
      <c r="D47" s="182">
        <v>0.69</v>
      </c>
      <c r="E47" s="182">
        <v>0.7</v>
      </c>
      <c r="F47" s="182">
        <v>0.71</v>
      </c>
      <c r="G47" s="185" t="s">
        <v>96</v>
      </c>
    </row>
    <row r="48" spans="1:10">
      <c r="A48"/>
      <c r="B48" s="189" t="s">
        <v>39</v>
      </c>
      <c r="C48" s="88" t="s">
        <v>334</v>
      </c>
      <c r="D48" s="97">
        <f>D$46*(D$5*PI()*D$47)</f>
        <v>1451.8271975164721</v>
      </c>
      <c r="E48" s="97">
        <f>E$46*(E$5*PI()*E$47)</f>
        <v>1483.2479935209831</v>
      </c>
      <c r="F48" s="97">
        <f>F$46*(F$5*PI()*F$47)</f>
        <v>1514.972047464345</v>
      </c>
      <c r="G48" s="185" t="s">
        <v>97</v>
      </c>
    </row>
    <row r="49" spans="1:7">
      <c r="A49"/>
      <c r="B49" s="189" t="s">
        <v>39</v>
      </c>
      <c r="C49" s="88" t="s">
        <v>333</v>
      </c>
      <c r="D49" s="171">
        <f>((45/2)^2-(38/2))*PI()</f>
        <v>1530.7410204616267</v>
      </c>
      <c r="E49" s="171">
        <f>((45/2)^2-(38/2))*PI()</f>
        <v>1530.7410204616267</v>
      </c>
      <c r="F49" s="171">
        <f>((45/2)^2-(38/2))*PI()</f>
        <v>1530.7410204616267</v>
      </c>
      <c r="G49" s="185" t="s">
        <v>96</v>
      </c>
    </row>
    <row r="50" spans="1:7">
      <c r="A50"/>
      <c r="B50" s="192"/>
      <c r="C50" s="166"/>
      <c r="D50" s="187"/>
      <c r="E50" s="187"/>
      <c r="F50" s="187"/>
      <c r="G50" s="185"/>
    </row>
    <row r="51" spans="1:7" customFormat="1" ht="25.9">
      <c r="A51" s="95" t="s">
        <v>101</v>
      </c>
      <c r="B51" s="188"/>
      <c r="C51" s="91"/>
      <c r="D51" s="3"/>
      <c r="E51" s="3"/>
      <c r="F51" s="3"/>
      <c r="G51" s="3"/>
    </row>
    <row r="52" spans="1:7">
      <c r="A52"/>
      <c r="B52" s="189" t="s">
        <v>88</v>
      </c>
      <c r="C52" s="87" t="s">
        <v>129</v>
      </c>
      <c r="D52" s="225">
        <v>20</v>
      </c>
      <c r="E52" s="225"/>
      <c r="F52" s="225"/>
      <c r="G52" s="3" t="s">
        <v>97</v>
      </c>
    </row>
    <row r="53" spans="1:7">
      <c r="A53"/>
      <c r="B53" s="189" t="s">
        <v>87</v>
      </c>
      <c r="C53" s="87" t="s">
        <v>129</v>
      </c>
      <c r="D53" s="225">
        <v>20</v>
      </c>
      <c r="E53" s="225"/>
      <c r="F53" s="225"/>
      <c r="G53" s="3" t="s">
        <v>97</v>
      </c>
    </row>
    <row r="54" spans="1:7">
      <c r="B54" s="190" t="s">
        <v>39</v>
      </c>
      <c r="C54" s="89" t="s">
        <v>117</v>
      </c>
      <c r="D54" s="106">
        <f>D$25*(1+D$31*10^-6*(D52-20)) - F$35*(1+D$40*10^-6*(D53-20))</f>
        <v>4.9999999999997158E-2</v>
      </c>
      <c r="E54" s="101">
        <f>E$25*(1+D$31*10^-6*(D52-20)) - E$35*(1+D$40*10^-6*(D53-20))</f>
        <v>8.00000000000054E-2</v>
      </c>
      <c r="F54" s="101">
        <f>F$25*(1+D$31*10^-6*(D52-20)) - D$35*(1+D$40*10^-6*(D53-20))</f>
        <v>0.10999999999999943</v>
      </c>
      <c r="G54" s="3" t="s">
        <v>96</v>
      </c>
    </row>
    <row r="55" spans="1:7">
      <c r="B55" s="190" t="s">
        <v>39</v>
      </c>
      <c r="C55" s="89" t="s">
        <v>268</v>
      </c>
      <c r="D55" s="184">
        <f>(D54/$D$4)*(1/(($D$4^2+F$26^2)/($D$4^2-F$26^2)*(1/$D$38)+(D$36^2+$D$4^2)/(D$36^2-$D$4^2)*(1/$D$29)-($D$39/$D$38)+($D$30/$D$29)))</f>
        <v>17.299432847210849</v>
      </c>
      <c r="E55" s="184">
        <f>(E54/$D$4)*(1/(($D$4^2+E$26^2)/($D$4^2-E$26^2)*(1/$D$38)+(E$36^2+$D$4^2)/(E$36^2-$D$4^2)*(1/$D$29)-($D$39/$D$38)+($D$30/$D$29)))</f>
        <v>28.028472585709562</v>
      </c>
      <c r="F55" s="184">
        <f>(F54/$D$4)*(1/(($D$4^2+D$26^2)/($D$4^2-D$26^2)*(1/$D$38)+(F$36^2+$D$4^2)/(F$36^2-$D$4^2)*(1/$D$29)-($D$39/$D$38)+($D$30/$D$29)))</f>
        <v>39.01767179752045</v>
      </c>
      <c r="G55" s="3" t="s">
        <v>98</v>
      </c>
    </row>
    <row r="56" spans="1:7">
      <c r="B56" s="189" t="s">
        <v>88</v>
      </c>
      <c r="C56" s="87" t="s">
        <v>348</v>
      </c>
      <c r="D56" s="97">
        <f>D$32/F55</f>
        <v>8.8421472657403548</v>
      </c>
      <c r="E56" s="97">
        <f>D$32/E55</f>
        <v>12.30891190895289</v>
      </c>
      <c r="F56" s="97">
        <f>D$32/D55</f>
        <v>19.942850326195732</v>
      </c>
      <c r="G56" s="3" t="s">
        <v>98</v>
      </c>
    </row>
    <row r="57" spans="1:7">
      <c r="B57" s="189" t="s">
        <v>87</v>
      </c>
      <c r="C57" s="87" t="s">
        <v>349</v>
      </c>
      <c r="D57" s="97">
        <f>D$41/F55</f>
        <v>3.8444118546697195</v>
      </c>
      <c r="E57" s="97">
        <f>D$41/E55</f>
        <v>5.3517008299795172</v>
      </c>
      <c r="F57" s="97">
        <f>D$41/D55</f>
        <v>8.6708044896503171</v>
      </c>
      <c r="G57" s="3" t="s">
        <v>98</v>
      </c>
    </row>
    <row r="58" spans="1:7">
      <c r="B58" s="189" t="s">
        <v>88</v>
      </c>
      <c r="C58" s="87" t="s">
        <v>263</v>
      </c>
      <c r="D58" s="103">
        <f>D55*2*F$25^2/(F$25^2-D$26^2)</f>
        <v>86.761609617713475</v>
      </c>
      <c r="E58" s="103">
        <f>E55*2*E$25^2/(E$25^2-E$26^2)</f>
        <v>141.84588350643685</v>
      </c>
      <c r="F58" s="103">
        <f>F55*2*D$25^2/(D$25^2-F$26^2)</f>
        <v>199.27309396077857</v>
      </c>
      <c r="G58" s="3" t="s">
        <v>98</v>
      </c>
    </row>
    <row r="59" spans="1:7">
      <c r="B59" s="189" t="s">
        <v>87</v>
      </c>
      <c r="C59" s="87" t="s">
        <v>263</v>
      </c>
      <c r="D59" s="103">
        <f>D55* (1+(F$36/D$35)^2)/((F$36/D$35)^2-1)</f>
        <v>32.64636633410764</v>
      </c>
      <c r="E59" s="103">
        <f>E55* (1+(E$36/E$35)^2)/((E$36/E$35)^2-1)</f>
        <v>53.848610692815178</v>
      </c>
      <c r="F59" s="103">
        <f>F55* (1+(D$36/F$35)^2)/((D$36/F$35)^2-1)</f>
        <v>76.375970628911588</v>
      </c>
      <c r="G59" s="3" t="s">
        <v>98</v>
      </c>
    </row>
    <row r="60" spans="1:7" outlineLevel="1">
      <c r="B60" s="189" t="s">
        <v>88</v>
      </c>
      <c r="C60" s="87" t="s">
        <v>346</v>
      </c>
      <c r="D60" s="172">
        <f>D$32/F58</f>
        <v>1.7312924346319618</v>
      </c>
      <c r="E60" s="172">
        <f>D$32/E58</f>
        <v>2.4322172168242315</v>
      </c>
      <c r="F60" s="172">
        <f>D$32/D58</f>
        <v>3.9764130877715287</v>
      </c>
      <c r="G60" s="3" t="s">
        <v>98</v>
      </c>
    </row>
    <row r="61" spans="1:7" outlineLevel="1">
      <c r="B61" s="189" t="s">
        <v>87</v>
      </c>
      <c r="C61" s="87" t="s">
        <v>346</v>
      </c>
      <c r="D61" s="172">
        <f>D$41/F59</f>
        <v>1.9639684938186377</v>
      </c>
      <c r="E61" s="172">
        <f>D$41/E59</f>
        <v>2.7855871873034963</v>
      </c>
      <c r="F61" s="172">
        <f>D$41/D59</f>
        <v>4.5946920543890943</v>
      </c>
      <c r="G61" s="3" t="s">
        <v>98</v>
      </c>
    </row>
    <row r="62" spans="1:7">
      <c r="B62" s="189" t="s">
        <v>39</v>
      </c>
      <c r="C62" s="89" t="s">
        <v>84</v>
      </c>
      <c r="D62" s="97">
        <f>D55*D$48*D$6/1000</f>
        <v>3.0138944531028633</v>
      </c>
      <c r="E62" s="97">
        <f>E55*E$48*E$6/1000</f>
        <v>6.2359763586317376</v>
      </c>
      <c r="F62" s="97">
        <f>F55*F$48*F$6/1000</f>
        <v>10.639922783468649</v>
      </c>
      <c r="G62" s="3" t="s">
        <v>98</v>
      </c>
    </row>
    <row r="63" spans="1:7">
      <c r="B63" s="189" t="s">
        <v>39</v>
      </c>
      <c r="C63" s="89" t="s">
        <v>344</v>
      </c>
      <c r="D63" s="97">
        <f>D55*D$48*D$7/1000</f>
        <v>2.511578710919053</v>
      </c>
      <c r="E63" s="97">
        <f>E55*E$48*E$7/1000</f>
        <v>4.9887810869053899</v>
      </c>
      <c r="F63" s="97">
        <f>F55*F$48*F$7/1000</f>
        <v>8.8666023195572077</v>
      </c>
      <c r="G63" s="3" t="s">
        <v>98</v>
      </c>
    </row>
    <row r="64" spans="1:7">
      <c r="B64" s="189" t="s">
        <v>39</v>
      </c>
      <c r="C64" s="89" t="s">
        <v>345</v>
      </c>
      <c r="D64" s="97">
        <f>(D63*1000)/F$21</f>
        <v>5.5214571539333521</v>
      </c>
      <c r="E64" s="97">
        <f>(E63*1000)/E$21</f>
        <v>16.586542107355392</v>
      </c>
      <c r="F64" s="97">
        <f>(F63*1000)/D$21</f>
        <v>58.775385089012055</v>
      </c>
      <c r="G64" s="3" t="s">
        <v>98</v>
      </c>
    </row>
    <row r="65" spans="1:11">
      <c r="B65" s="194"/>
      <c r="C65"/>
      <c r="D65"/>
      <c r="E65"/>
      <c r="F65"/>
    </row>
    <row r="66" spans="1:11">
      <c r="B66" s="189" t="s">
        <v>88</v>
      </c>
      <c r="C66" s="87" t="s">
        <v>129</v>
      </c>
      <c r="D66" s="220">
        <v>100</v>
      </c>
      <c r="E66" s="220"/>
      <c r="F66" s="220"/>
      <c r="G66" s="3" t="s">
        <v>96</v>
      </c>
    </row>
    <row r="67" spans="1:11">
      <c r="B67" s="189" t="s">
        <v>87</v>
      </c>
      <c r="C67" s="87" t="s">
        <v>129</v>
      </c>
      <c r="D67" s="220">
        <v>100</v>
      </c>
      <c r="E67" s="220"/>
      <c r="F67" s="220"/>
      <c r="G67" s="3" t="s">
        <v>96</v>
      </c>
    </row>
    <row r="68" spans="1:11" outlineLevel="1">
      <c r="B68" s="190" t="s">
        <v>39</v>
      </c>
      <c r="C68" s="89" t="str">
        <f>CONCATENATE("締め代(i:",D66,"℃/o:",D67,"℃)[mm]")</f>
        <v>締め代(i:100℃/o:100℃)[mm]</v>
      </c>
      <c r="D68" s="106">
        <f>D$25*(1+D$31*10^-6*(D66-20)) - F$35*(1+D$40*10^-6*(D67-20))</f>
        <v>1.7324000000009221E-2</v>
      </c>
      <c r="E68" s="101">
        <f>E$25*(1+D$31*10^-6*(D66-20)) - E$35*(1+D$40*10^-6*(D67-20))</f>
        <v>4.7370760000013945E-2</v>
      </c>
      <c r="F68" s="101">
        <f>F$25*(1+D$31*10^-6*(D66-20)) - D$35*(1+D$40*10^-6*(D67-20))</f>
        <v>7.7417520000011564E-2</v>
      </c>
      <c r="G68" s="3" t="s">
        <v>98</v>
      </c>
    </row>
    <row r="69" spans="1:11" outlineLevel="1">
      <c r="B69" s="190" t="s">
        <v>39</v>
      </c>
      <c r="C69" s="89" t="s">
        <v>269</v>
      </c>
      <c r="D69" s="184">
        <f>(D68/$D$4)*(1/(($D$4^2+F26^2)/($D$4^2-F26^2)*(1/$D$38)+(D36^2+$D$4^2)/(D36^2-$D$4^2)*(1/$D$29)-($D$39/$D$38)+($D$30/$D$29)))</f>
        <v>5.9939074929051461</v>
      </c>
      <c r="E69" s="184">
        <f>(E68/$D$4)*(1/(($D$4^2+E26^2)/($D$4^2-E26^2)*(1/$D$38)+(E36^2+$D$4^2)/(E36^2-$D$4^2)*(1/$D$29)-($D$39/$D$38)+($D$30/$D$29)))</f>
        <v>16.596625600306602</v>
      </c>
      <c r="F69" s="184">
        <f>(F68/$D$4)*(1/(($D$4^2+D$26^2)/($D$4^2-D$26^2)*(1/$D$38)+(F$36^2+$D$4^2)/(F$36^2-$D$4^2)*(1/$D$29)-($D$39/$D$38)+($D$30/$D$29)))</f>
        <v>27.460467152167656</v>
      </c>
      <c r="G69" s="3" t="s">
        <v>98</v>
      </c>
    </row>
    <row r="70" spans="1:11">
      <c r="B70" s="189" t="s">
        <v>88</v>
      </c>
      <c r="C70" s="87" t="s">
        <v>347</v>
      </c>
      <c r="D70" s="172">
        <f>D$32/F69</f>
        <v>12.563515328717436</v>
      </c>
      <c r="E70" s="172">
        <f>D$32/E69</f>
        <v>20.787358123787918</v>
      </c>
      <c r="F70" s="172">
        <f>D$32/D69</f>
        <v>57.558445873308649</v>
      </c>
      <c r="G70" s="3" t="s">
        <v>98</v>
      </c>
    </row>
    <row r="71" spans="1:11">
      <c r="B71" s="189" t="s">
        <v>87</v>
      </c>
      <c r="C71" s="87" t="s">
        <v>347</v>
      </c>
      <c r="D71" s="97">
        <f>D$41/F69</f>
        <v>5.462397969007581</v>
      </c>
      <c r="E71" s="97">
        <f>D$41/E69</f>
        <v>9.0379817929512694</v>
      </c>
      <c r="F71" s="97">
        <f>D$41/D69</f>
        <v>25.025411249264629</v>
      </c>
      <c r="G71" s="3" t="s">
        <v>98</v>
      </c>
    </row>
    <row r="72" spans="1:11">
      <c r="B72" s="189" t="s">
        <v>88</v>
      </c>
      <c r="C72" s="87" t="s">
        <v>263</v>
      </c>
      <c r="D72" s="103">
        <f>D69*2*F$25^2/(F$25^2-D$26^2)</f>
        <v>30.061162500363075</v>
      </c>
      <c r="E72" s="103">
        <f>E69*2*E$25^2/(E$25^2-E$26^2)</f>
        <v>83.99184130716128</v>
      </c>
      <c r="F72" s="103">
        <f>F69*2*D$25^2/(D$25^2-F$26^2)</f>
        <v>140.24753397429853</v>
      </c>
      <c r="G72" s="3" t="s">
        <v>98</v>
      </c>
    </row>
    <row r="73" spans="1:11">
      <c r="B73" s="189" t="s">
        <v>87</v>
      </c>
      <c r="C73" s="87" t="s">
        <v>263</v>
      </c>
      <c r="D73" s="103">
        <f>D69* (1+(F$36/D$35)^2)/((F$36/D$35)^2-1)</f>
        <v>11.311313007448279</v>
      </c>
      <c r="E73" s="103">
        <f>E69* (1+(E$36/E$35)^2)/((E$36/E$35)^2-1)</f>
        <v>31.885620168292004</v>
      </c>
      <c r="F73" s="103">
        <f>F69* (1+(D$36/F$35)^2)/((D$36/F$35)^2-1)</f>
        <v>53.753074851673539</v>
      </c>
      <c r="G73" s="3" t="s">
        <v>98</v>
      </c>
    </row>
    <row r="74" spans="1:11">
      <c r="B74" s="189" t="s">
        <v>88</v>
      </c>
      <c r="C74" s="87" t="s">
        <v>346</v>
      </c>
      <c r="D74" s="172">
        <f>D$32/F72</f>
        <v>2.4599363013628746</v>
      </c>
      <c r="E74" s="172">
        <f>D$32/E72</f>
        <v>4.1075418115709859</v>
      </c>
      <c r="F74" s="172">
        <f>D$32/D72</f>
        <v>11.476602077375855</v>
      </c>
      <c r="G74" s="3" t="s">
        <v>98</v>
      </c>
    </row>
    <row r="75" spans="1:11">
      <c r="B75" s="189" t="s">
        <v>87</v>
      </c>
      <c r="C75" s="87" t="s">
        <v>346</v>
      </c>
      <c r="D75" s="172">
        <f>D$41/F73</f>
        <v>2.7905380373850357</v>
      </c>
      <c r="E75" s="172">
        <f>D$41/E73</f>
        <v>4.7043149610483157</v>
      </c>
      <c r="F75" s="172">
        <f>D$41/D73</f>
        <v>13.261059958399873</v>
      </c>
      <c r="G75" s="3" t="s">
        <v>98</v>
      </c>
    </row>
    <row r="76" spans="1:11">
      <c r="B76" s="189" t="s">
        <v>39</v>
      </c>
      <c r="C76" s="89" t="s">
        <v>84</v>
      </c>
      <c r="D76" s="97">
        <f>D69*D$48*D$6/1000</f>
        <v>1.0442541501116953</v>
      </c>
      <c r="E76" s="97">
        <f>E69*E$48*E$6/1000</f>
        <v>3.6925367431310625</v>
      </c>
      <c r="F76" s="97">
        <f>F69*F$48*F$6/1000</f>
        <v>7.488331226252428</v>
      </c>
      <c r="G76" s="3" t="s">
        <v>98</v>
      </c>
    </row>
    <row r="77" spans="1:11">
      <c r="B77" s="189" t="s">
        <v>39</v>
      </c>
      <c r="C77" s="89" t="s">
        <v>344</v>
      </c>
      <c r="D77" s="97">
        <f>D69*D$48*D$7/1000</f>
        <v>0.87021179175974617</v>
      </c>
      <c r="E77" s="97">
        <f>E69*E$48*E$7/1000</f>
        <v>2.9540293945048499</v>
      </c>
      <c r="F77" s="97">
        <f>F69*F$48*F$7/1000</f>
        <v>6.2402760218770226</v>
      </c>
      <c r="G77" s="3" t="s">
        <v>98</v>
      </c>
    </row>
    <row r="78" spans="1:11">
      <c r="B78" s="189" t="s">
        <v>39</v>
      </c>
      <c r="C78" s="89" t="s">
        <v>345</v>
      </c>
      <c r="D78" s="97">
        <f>(D77*1000)/F$21</f>
        <v>1.9130744746959547</v>
      </c>
      <c r="E78" s="97">
        <f>(E77*1000)/E$21</f>
        <v>9.8214638174700593</v>
      </c>
      <c r="F78" s="97">
        <f>(F77*1000)/D$21</f>
        <v>41.365859551245414</v>
      </c>
      <c r="G78" s="3" t="s">
        <v>98</v>
      </c>
    </row>
    <row r="79" spans="1:11">
      <c r="A79"/>
      <c r="B79" s="194"/>
      <c r="C79"/>
      <c r="D79"/>
      <c r="E79"/>
      <c r="F79"/>
      <c r="G79"/>
    </row>
    <row r="80" spans="1:11">
      <c r="A80"/>
      <c r="B80" s="189" t="s">
        <v>88</v>
      </c>
      <c r="C80" s="87" t="s">
        <v>129</v>
      </c>
      <c r="D80" s="220">
        <v>-40</v>
      </c>
      <c r="E80" s="220"/>
      <c r="F80" s="220"/>
      <c r="G80" s="3" t="s">
        <v>96</v>
      </c>
      <c r="I80"/>
      <c r="J80"/>
      <c r="K80"/>
    </row>
    <row r="81" spans="1:11">
      <c r="A81"/>
      <c r="B81" s="189" t="s">
        <v>87</v>
      </c>
      <c r="C81" s="87" t="s">
        <v>129</v>
      </c>
      <c r="D81" s="220">
        <v>-40</v>
      </c>
      <c r="E81" s="220"/>
      <c r="F81" s="220"/>
      <c r="G81" s="3" t="s">
        <v>96</v>
      </c>
      <c r="I81"/>
      <c r="J81"/>
      <c r="K81"/>
    </row>
    <row r="82" spans="1:11">
      <c r="A82"/>
      <c r="B82" s="190" t="s">
        <v>39</v>
      </c>
      <c r="C82" s="89" t="str">
        <f>CONCATENATE("締め代(i:",D80,"℃/o:",D81,"℃)[mm]")</f>
        <v>締め代(i:-40℃/o:-40℃)[mm]</v>
      </c>
      <c r="D82" s="106">
        <f>D$25*(1+D$31*10^-6*(D80-20)) - F$35*(1+D$40*10^-6*(D81-20))</f>
        <v>7.4506999999996992E-2</v>
      </c>
      <c r="E82" s="101">
        <f>E$25*(1+D$31*10^-6*(D80-20)) - E$35*(1+D$40*10^-6*(D81-20))</f>
        <v>0.10447193000000965</v>
      </c>
      <c r="F82" s="101">
        <f>F$25*(1+D$31*10^-6*(D80-20)) - D$35*(1+D$40*10^-6*(D81-20))</f>
        <v>0.1344368600000081</v>
      </c>
      <c r="G82" s="3" t="s">
        <v>98</v>
      </c>
      <c r="I82"/>
      <c r="J82"/>
      <c r="K82"/>
    </row>
    <row r="83" spans="1:11">
      <c r="A83"/>
      <c r="B83" s="190" t="s">
        <v>39</v>
      </c>
      <c r="C83" s="89" t="s">
        <v>269</v>
      </c>
      <c r="D83" s="184">
        <f>(D82/$D$4)*(1/(($D$4^2+F$26^2)/($D$4^2-F$26^2)*(1/$D$38)+(D$36^2+$D$4^2)/(D$36^2-$D$4^2)*(1/$D$29)-($D$39/$D$38)+($D$30/$D$29)))</f>
        <v>25.778576862943201</v>
      </c>
      <c r="E83" s="184">
        <f>(E82/$D$4)*(1/(($D$4^2+E$26^2)/($D$4^2-E$26^2)*(1/$D$38)+(E$36^2+$D$4^2)/(E$36^2-$D$4^2)*(1/$D$29)-($D$39/$D$38)+($D$30/$D$29)))</f>
        <v>36.602357824765512</v>
      </c>
      <c r="F83" s="184">
        <f>(F82/$D$4)*(1/(($D$4^2+D$26^2)/($D$4^2-D$26^2)*(1/$D$38)+(F$36^2+$D$4^2)/(F$36^2-$D$4^2)*(1/$D$29)-($D$39/$D$38)+($D$30/$D$29)))</f>
        <v>47.685575281541347</v>
      </c>
      <c r="G83" s="3" t="s">
        <v>98</v>
      </c>
      <c r="I83"/>
      <c r="J83"/>
      <c r="K83"/>
    </row>
    <row r="84" spans="1:11">
      <c r="A84"/>
      <c r="B84" s="189" t="s">
        <v>88</v>
      </c>
      <c r="C84" s="87" t="s">
        <v>347</v>
      </c>
      <c r="D84" s="97">
        <f>D$32/F83</f>
        <v>7.2348922701063936</v>
      </c>
      <c r="E84" s="97">
        <f>D$32/E83</f>
        <v>9.4256222960196752</v>
      </c>
      <c r="F84" s="97">
        <f>D$32/D83</f>
        <v>13.383205823745017</v>
      </c>
      <c r="G84" s="3" t="s">
        <v>98</v>
      </c>
      <c r="I84"/>
      <c r="J84"/>
      <c r="K84"/>
    </row>
    <row r="85" spans="1:11">
      <c r="A85"/>
      <c r="B85" s="189" t="s">
        <v>87</v>
      </c>
      <c r="C85" s="87" t="s">
        <v>347</v>
      </c>
      <c r="D85" s="97">
        <f>D$41/F83</f>
        <v>3.1456053348288666</v>
      </c>
      <c r="E85" s="97">
        <f>D$41/E83</f>
        <v>4.0980966504433365</v>
      </c>
      <c r="F85" s="97">
        <f>D$41/D83</f>
        <v>5.8187851407587035</v>
      </c>
      <c r="G85" s="3" t="s">
        <v>98</v>
      </c>
      <c r="I85"/>
      <c r="J85"/>
      <c r="K85"/>
    </row>
    <row r="86" spans="1:11">
      <c r="A86"/>
      <c r="B86" s="189" t="s">
        <v>88</v>
      </c>
      <c r="C86" s="87" t="s">
        <v>263</v>
      </c>
      <c r="D86" s="103">
        <f>D83*2*F$25^2/(F$25^2-D$26^2)</f>
        <v>129.28694495574169</v>
      </c>
      <c r="E86" s="103">
        <f>E83*2*E$25^2/(E$25^2-E$26^2)</f>
        <v>185.23641515591243</v>
      </c>
      <c r="F86" s="103">
        <f>F83*2*D$25^2/(D$25^2-F$26^2)</f>
        <v>243.54226395067082</v>
      </c>
      <c r="G86" s="3" t="s">
        <v>98</v>
      </c>
      <c r="I86"/>
      <c r="J86"/>
      <c r="K86"/>
    </row>
    <row r="87" spans="1:11">
      <c r="A87"/>
      <c r="B87" s="189" t="s">
        <v>87</v>
      </c>
      <c r="C87" s="87" t="s">
        <v>263</v>
      </c>
      <c r="D87" s="103">
        <f>D83* (1+(F$36/D$35)^2)/((F$36/D$35)^2-1)</f>
        <v>48.64765632910796</v>
      </c>
      <c r="E87" s="103">
        <f>E83* (1+(E$36/E$35)^2)/((E$36/E$35)^2-1)</f>
        <v>70.320853586214724</v>
      </c>
      <c r="F87" s="103">
        <f>F83* (1+(D$36/F$35)^2)/((D$36/F$35)^2-1)</f>
        <v>93.343142461852452</v>
      </c>
      <c r="G87" s="3" t="s">
        <v>98</v>
      </c>
      <c r="I87"/>
      <c r="J87"/>
      <c r="K87"/>
    </row>
    <row r="88" spans="1:11">
      <c r="B88" s="189" t="s">
        <v>88</v>
      </c>
      <c r="C88" s="87" t="s">
        <v>346</v>
      </c>
      <c r="D88" s="172">
        <f>D$32/F86</f>
        <v>1.416591906486832</v>
      </c>
      <c r="E88" s="172">
        <f>D$32/E86</f>
        <v>1.8624847587857685</v>
      </c>
      <c r="F88" s="172">
        <f>D$32/D86</f>
        <v>2.6684828860184031</v>
      </c>
      <c r="G88" s="3" t="s">
        <v>98</v>
      </c>
      <c r="I88"/>
      <c r="J88"/>
      <c r="K88"/>
    </row>
    <row r="89" spans="1:11">
      <c r="B89" s="189" t="s">
        <v>87</v>
      </c>
      <c r="C89" s="87" t="s">
        <v>346</v>
      </c>
      <c r="D89" s="172">
        <f>D$41/F87</f>
        <v>1.6069739677052561</v>
      </c>
      <c r="E89" s="172">
        <f>D$41/E87</f>
        <v>2.1330799094481567</v>
      </c>
      <c r="F89" s="172">
        <f>D$41/D87</f>
        <v>3.0833962274611908</v>
      </c>
      <c r="G89" s="3" t="s">
        <v>98</v>
      </c>
      <c r="I89"/>
      <c r="J89"/>
      <c r="K89"/>
    </row>
    <row r="90" spans="1:11">
      <c r="A90"/>
      <c r="B90" s="189" t="s">
        <v>39</v>
      </c>
      <c r="C90" s="89" t="s">
        <v>84</v>
      </c>
      <c r="D90" s="97">
        <f>D83*D$48*D$6/1000</f>
        <v>4.4911246803467755</v>
      </c>
      <c r="E90" s="97">
        <f>E83*E$48*E$6/1000</f>
        <v>8.1435560702580752</v>
      </c>
      <c r="F90" s="97">
        <f>F83*F$48*F$6/1000</f>
        <v>13.003616451382534</v>
      </c>
      <c r="G90" s="3" t="s">
        <v>98</v>
      </c>
      <c r="I90"/>
      <c r="J90"/>
      <c r="K90"/>
    </row>
    <row r="91" spans="1:11">
      <c r="A91"/>
      <c r="B91" s="189" t="s">
        <v>39</v>
      </c>
      <c r="C91" s="89" t="s">
        <v>344</v>
      </c>
      <c r="D91" s="97">
        <f>D83*D$48*D$7/1000</f>
        <v>3.7426039002889797</v>
      </c>
      <c r="E91" s="97">
        <f>E83*E$48*E$7/1000</f>
        <v>6.5148448562064605</v>
      </c>
      <c r="F91" s="97">
        <f>F83*F$48*F$7/1000</f>
        <v>10.836347042818778</v>
      </c>
      <c r="G91" s="3" t="s">
        <v>98</v>
      </c>
      <c r="I91"/>
      <c r="J91"/>
      <c r="K91"/>
    </row>
    <row r="92" spans="1:11">
      <c r="A92"/>
      <c r="B92" s="189" t="s">
        <v>39</v>
      </c>
      <c r="C92" s="89" t="s">
        <v>345</v>
      </c>
      <c r="D92" s="97">
        <f>(D91*1000)/F$21</f>
        <v>8.2277441633623809</v>
      </c>
      <c r="E92" s="97">
        <f>(E91*1000)/E$21</f>
        <v>21.660350824771601</v>
      </c>
      <c r="F92" s="97">
        <f>(F91*1000)/D$21</f>
        <v>71.832529242346524</v>
      </c>
      <c r="G92" s="3" t="s">
        <v>98</v>
      </c>
      <c r="I92"/>
      <c r="J92"/>
      <c r="K92"/>
    </row>
    <row r="93" spans="1:11">
      <c r="A93"/>
      <c r="B93" s="194"/>
      <c r="C93"/>
      <c r="D93"/>
      <c r="E93"/>
      <c r="F93"/>
      <c r="G93"/>
      <c r="I93"/>
      <c r="J93"/>
      <c r="K93"/>
    </row>
    <row r="94" spans="1:11">
      <c r="A94"/>
      <c r="B94" s="195" t="s">
        <v>39</v>
      </c>
      <c r="C94" s="88" t="s">
        <v>340</v>
      </c>
      <c r="D94" s="221">
        <f>F62</f>
        <v>10.639922783468649</v>
      </c>
      <c r="E94" s="222"/>
      <c r="F94" s="223"/>
      <c r="G94" s="3" t="s">
        <v>97</v>
      </c>
      <c r="I94"/>
      <c r="J94"/>
      <c r="K94"/>
    </row>
    <row r="95" spans="1:11">
      <c r="A95"/>
      <c r="B95" s="195" t="s">
        <v>39</v>
      </c>
      <c r="C95" s="88" t="s">
        <v>351</v>
      </c>
      <c r="D95" s="199" t="s">
        <v>353</v>
      </c>
      <c r="E95" s="200"/>
      <c r="F95" s="201"/>
      <c r="G95" s="3" t="s">
        <v>96</v>
      </c>
      <c r="I95"/>
      <c r="J95"/>
      <c r="K95"/>
    </row>
    <row r="96" spans="1:11">
      <c r="A96"/>
      <c r="B96" s="195" t="s">
        <v>39</v>
      </c>
      <c r="C96" s="88" t="s">
        <v>354</v>
      </c>
      <c r="D96" s="183">
        <v>195</v>
      </c>
      <c r="E96" s="183">
        <v>200</v>
      </c>
      <c r="F96" s="183">
        <v>205</v>
      </c>
      <c r="G96" s="3" t="s">
        <v>96</v>
      </c>
      <c r="I96"/>
      <c r="J96"/>
      <c r="K96"/>
    </row>
    <row r="97" spans="1:11">
      <c r="A97"/>
      <c r="B97" s="195" t="s">
        <v>39</v>
      </c>
      <c r="C97" s="88" t="s">
        <v>352</v>
      </c>
      <c r="D97" s="202" cm="1">
        <f t="array" ref="D97">_xlfn.IFS(D95="両端固定",4,
D95="両端ピン",1,
D95="上端ピン&amp;下端固定",SQRT(2),
D95="両端固定&amp;上端変位可",1,
D95="下端固定&amp;上端自由",0.25)</f>
        <v>1</v>
      </c>
      <c r="E97" s="203"/>
      <c r="F97" s="204"/>
      <c r="G97" s="3" t="s">
        <v>97</v>
      </c>
      <c r="I97"/>
      <c r="J97"/>
      <c r="K97"/>
    </row>
    <row r="98" spans="1:11">
      <c r="A98"/>
      <c r="B98" s="195" t="s">
        <v>39</v>
      </c>
      <c r="C98" s="88" t="s">
        <v>351</v>
      </c>
      <c r="D98" s="197">
        <f>(D97*PI()^2*D29*D27/D96^2)/1000</f>
        <v>6745.9184236404462</v>
      </c>
      <c r="E98" s="196">
        <f>(D97*PI()^2*D29*E27/E96^2)/1000</f>
        <v>6460.1295835981027</v>
      </c>
      <c r="F98" s="197">
        <f>(D97*PI()^2*D29*F27/F96^2)/1000</f>
        <v>6193.5105142527473</v>
      </c>
      <c r="G98" s="3" t="s">
        <v>97</v>
      </c>
      <c r="I98"/>
      <c r="J98"/>
      <c r="K98"/>
    </row>
    <row r="99" spans="1:11">
      <c r="A99"/>
      <c r="B99" s="189" t="s">
        <v>39</v>
      </c>
      <c r="C99" s="87" t="s">
        <v>92</v>
      </c>
      <c r="D99" s="82">
        <f>E99*(1-0.05)</f>
        <v>19</v>
      </c>
      <c r="E99" s="82">
        <v>20</v>
      </c>
      <c r="F99" s="82">
        <f>E99*(1+0.05)</f>
        <v>21</v>
      </c>
      <c r="G99" s="3" t="s">
        <v>96</v>
      </c>
      <c r="I99"/>
      <c r="J99"/>
      <c r="K99"/>
    </row>
    <row r="100" spans="1:11">
      <c r="B100" s="189" t="s">
        <v>39</v>
      </c>
      <c r="C100" s="87" t="s">
        <v>94</v>
      </c>
      <c r="D100" s="170">
        <f>(D99-F62)*1000/F49</f>
        <v>5.4614576239749537</v>
      </c>
      <c r="E100" s="170">
        <f>(E99-E62)*1000/E49</f>
        <v>8.9917389404103343</v>
      </c>
      <c r="F100" s="170">
        <f>(F99-D62)*1000/D49</f>
        <v>11.749933729137965</v>
      </c>
      <c r="G100" s="3" t="s">
        <v>97</v>
      </c>
      <c r="I100"/>
      <c r="J100"/>
      <c r="K100"/>
    </row>
    <row r="101" spans="1:11">
      <c r="B101" s="189" t="s">
        <v>88</v>
      </c>
      <c r="C101" s="87" t="s">
        <v>93</v>
      </c>
      <c r="D101" s="103">
        <f>D32/F100</f>
        <v>29.361867730747701</v>
      </c>
      <c r="E101" s="103">
        <f>D32/E100</f>
        <v>38.368551654620887</v>
      </c>
      <c r="F101" s="103">
        <f>D32/D100</f>
        <v>63.169949078338242</v>
      </c>
      <c r="G101" s="3" t="s">
        <v>98</v>
      </c>
      <c r="I101"/>
      <c r="J101"/>
      <c r="K101"/>
    </row>
    <row r="102" spans="1:11">
      <c r="B102" s="189" t="s">
        <v>87</v>
      </c>
      <c r="C102" s="87" t="s">
        <v>93</v>
      </c>
      <c r="D102" s="103">
        <f>D41/F100</f>
        <v>12.766029448151174</v>
      </c>
      <c r="E102" s="103">
        <f>D41/E100</f>
        <v>16.68197898026995</v>
      </c>
      <c r="F102" s="103">
        <f>D41/D100</f>
        <v>27.465195251451409</v>
      </c>
      <c r="G102" s="3" t="s">
        <v>98</v>
      </c>
      <c r="I102"/>
      <c r="J102"/>
      <c r="K102"/>
    </row>
    <row r="103" spans="1:11">
      <c r="B103" s="195" t="s">
        <v>343</v>
      </c>
      <c r="C103" s="87" t="s">
        <v>93</v>
      </c>
      <c r="D103" s="103">
        <f>$D$44/F100</f>
        <v>12.766029448151174</v>
      </c>
      <c r="E103" s="103">
        <f>$D$44/E100</f>
        <v>16.68197898026995</v>
      </c>
      <c r="F103" s="103">
        <f>$D$44/D100</f>
        <v>27.465195251451409</v>
      </c>
      <c r="G103" s="3" t="s">
        <v>98</v>
      </c>
      <c r="I103"/>
      <c r="J103"/>
      <c r="K103"/>
    </row>
    <row r="104" spans="1:11">
      <c r="A104"/>
      <c r="B104" s="194"/>
      <c r="C104"/>
      <c r="D104"/>
      <c r="E104"/>
      <c r="F104"/>
      <c r="G104"/>
      <c r="I104"/>
      <c r="J104"/>
      <c r="K104"/>
    </row>
    <row r="105" spans="1:11" customFormat="1">
      <c r="B105" s="194"/>
    </row>
    <row r="106" spans="1:11" customFormat="1">
      <c r="B106" s="194"/>
    </row>
    <row r="107" spans="1:11" customFormat="1">
      <c r="B107" s="194"/>
    </row>
    <row r="108" spans="1:11" customFormat="1">
      <c r="B108" s="194"/>
    </row>
    <row r="109" spans="1:11" customFormat="1">
      <c r="B109" s="194"/>
    </row>
    <row r="110" spans="1:11" customFormat="1">
      <c r="B110" s="194"/>
    </row>
    <row r="111" spans="1:11" customFormat="1">
      <c r="B111" s="194"/>
    </row>
    <row r="112" spans="1:11" customFormat="1">
      <c r="B112" s="194"/>
    </row>
    <row r="113" spans="1:11" customFormat="1">
      <c r="B113" s="194"/>
    </row>
    <row r="114" spans="1:11">
      <c r="A114"/>
      <c r="B114" s="194"/>
      <c r="C114"/>
      <c r="D114"/>
      <c r="E114"/>
      <c r="F114"/>
      <c r="G114"/>
      <c r="I114"/>
      <c r="J114"/>
      <c r="K114"/>
    </row>
    <row r="115" spans="1:11">
      <c r="A115"/>
      <c r="B115" s="194"/>
      <c r="C115"/>
      <c r="D115"/>
      <c r="E115"/>
      <c r="F115"/>
      <c r="G115"/>
      <c r="I115"/>
      <c r="J115"/>
      <c r="K115"/>
    </row>
    <row r="116" spans="1:11" customFormat="1">
      <c r="A116" s="86"/>
      <c r="B116" s="188"/>
      <c r="C116" s="91"/>
      <c r="D116" s="3"/>
      <c r="E116" s="3"/>
      <c r="F116" s="3"/>
      <c r="G116" s="3"/>
    </row>
    <row r="117" spans="1:11" customFormat="1">
      <c r="A117" s="86"/>
      <c r="B117" s="188"/>
      <c r="C117" s="91"/>
      <c r="D117" s="3"/>
      <c r="E117" s="3"/>
      <c r="F117" s="3"/>
      <c r="G117" s="3"/>
    </row>
    <row r="118" spans="1:11" customFormat="1">
      <c r="A118" s="86"/>
      <c r="B118" s="188"/>
      <c r="C118" s="86"/>
      <c r="D118" s="86"/>
      <c r="E118" s="86"/>
      <c r="F118" s="86"/>
      <c r="G118" s="86"/>
    </row>
    <row r="119" spans="1:11">
      <c r="C119" s="86"/>
      <c r="D119" s="86"/>
      <c r="E119" s="86"/>
      <c r="F119" s="86"/>
      <c r="G119" s="86"/>
    </row>
    <row r="120" spans="1:11">
      <c r="C120" s="86"/>
      <c r="D120" s="86"/>
      <c r="E120" s="86"/>
      <c r="F120" s="86"/>
      <c r="G120" s="86"/>
    </row>
    <row r="133" outlineLevel="1"/>
  </sheetData>
  <mergeCells count="25">
    <mergeCell ref="D81:F81"/>
    <mergeCell ref="D94:F94"/>
    <mergeCell ref="D43:F43"/>
    <mergeCell ref="D44:F44"/>
    <mergeCell ref="D41:F41"/>
    <mergeCell ref="D52:F52"/>
    <mergeCell ref="D53:F53"/>
    <mergeCell ref="D66:F66"/>
    <mergeCell ref="D67:F67"/>
    <mergeCell ref="D95:F95"/>
    <mergeCell ref="D97:F97"/>
    <mergeCell ref="D3:F3"/>
    <mergeCell ref="D40:F40"/>
    <mergeCell ref="D4:F4"/>
    <mergeCell ref="D10:F10"/>
    <mergeCell ref="D15:F15"/>
    <mergeCell ref="D28:F28"/>
    <mergeCell ref="D29:F29"/>
    <mergeCell ref="D30:F30"/>
    <mergeCell ref="D31:F31"/>
    <mergeCell ref="D32:F32"/>
    <mergeCell ref="D37:F37"/>
    <mergeCell ref="D38:F38"/>
    <mergeCell ref="D39:F39"/>
    <mergeCell ref="D80:F80"/>
  </mergeCells>
  <phoneticPr fontId="1"/>
  <conditionalFormatting sqref="D88:F89 D84:F85">
    <cfRule type="top10" dxfId="73" priority="10" bottom="1" rank="1"/>
  </conditionalFormatting>
  <conditionalFormatting sqref="D70:F71 D74:F75">
    <cfRule type="top10" dxfId="72" priority="9" bottom="1" rank="1"/>
  </conditionalFormatting>
  <conditionalFormatting sqref="D60:F61 D56:F57">
    <cfRule type="top10" dxfId="71" priority="8" bottom="1" rank="1"/>
  </conditionalFormatting>
  <conditionalFormatting sqref="D78:F78 D74:F75 D70:F71 D84:F85 D88:F89 D92:F92 D64:F64 D60:F61 D56:F57">
    <cfRule type="cellIs" dxfId="70" priority="6" operator="lessThan">
      <formula>1</formula>
    </cfRule>
  </conditionalFormatting>
  <conditionalFormatting sqref="F4:F8 F34:F41 F10:F22 F24:F25 F28:F32 F43:F93 F99:F1048576">
    <cfRule type="expression" dxfId="69" priority="17">
      <formula>AND($F5&lt;$E5,ISNUMBER($E5))</formula>
    </cfRule>
  </conditionalFormatting>
  <conditionalFormatting sqref="D4:D8 D34:D41 D10:D22 D24:D25 D28:D32 D43:D93 D99:D1048576">
    <cfRule type="expression" dxfId="68" priority="18">
      <formula>AND($D5&gt;$E5,ISNUMBER($E5))</formula>
    </cfRule>
  </conditionalFormatting>
  <conditionalFormatting sqref="F26:F27 F98">
    <cfRule type="expression" dxfId="67" priority="20">
      <formula>AND($F28&lt;$E28,ISNUMBER($E28))</formula>
    </cfRule>
  </conditionalFormatting>
  <conditionalFormatting sqref="F2">
    <cfRule type="expression" dxfId="66" priority="21">
      <formula>AND($F1&lt;$E1,ISNUMBER($E1))</formula>
    </cfRule>
  </conditionalFormatting>
  <conditionalFormatting sqref="D26:D27">
    <cfRule type="expression" dxfId="65" priority="23">
      <formula>AND($D28&gt;$E28,ISNUMBER($E28))</formula>
    </cfRule>
  </conditionalFormatting>
  <conditionalFormatting sqref="D2">
    <cfRule type="expression" dxfId="64" priority="24">
      <formula>AND($D1&gt;$E1,ISNUMBER($E1))</formula>
    </cfRule>
  </conditionalFormatting>
  <conditionalFormatting sqref="F94">
    <cfRule type="expression" dxfId="63" priority="25">
      <formula>AND($F99&lt;$E99,ISNUMBER($E99))</formula>
    </cfRule>
  </conditionalFormatting>
  <conditionalFormatting sqref="D97">
    <cfRule type="expression" dxfId="62" priority="27">
      <formula>AND($D101&gt;$E101,ISNUMBER($E101))</formula>
    </cfRule>
  </conditionalFormatting>
  <conditionalFormatting sqref="D98">
    <cfRule type="expression" dxfId="61" priority="1">
      <formula>AND($F100&lt;$E100,ISNUMBER($E100))</formula>
    </cfRule>
  </conditionalFormatting>
  <conditionalFormatting sqref="D94:D95">
    <cfRule type="expression" dxfId="60" priority="28">
      <formula>AND($D99&gt;$E99,ISNUMBER($E99))</formula>
    </cfRule>
  </conditionalFormatting>
  <conditionalFormatting sqref="F1">
    <cfRule type="expression" dxfId="59" priority="32">
      <formula>AND($F4&lt;$E4,ISNUMBER($E4))</formula>
    </cfRule>
  </conditionalFormatting>
  <conditionalFormatting sqref="D1">
    <cfRule type="expression" dxfId="58" priority="33">
      <formula>AND($D4&gt;$E4,ISNUMBER($E4))</formula>
    </cfRule>
  </conditionalFormatting>
  <dataValidations disablePrompts="1" count="5">
    <dataValidation type="list" allowBlank="1" showInputMessage="1" showErrorMessage="1" sqref="C24" xr:uid="{B053617F-D36E-441C-815C-9AFB4F513CE8}">
      <formula1>"外形[mm],外形公差[mm]"</formula1>
    </dataValidation>
    <dataValidation type="list" allowBlank="1" showInputMessage="1" showErrorMessage="1" sqref="C34" xr:uid="{DB66376E-8B00-483F-998A-EB309192F87A}">
      <formula1>"内径[mm],内径公差[mm]"</formula1>
    </dataValidation>
    <dataValidation type="list" allowBlank="1" showInputMessage="1" showErrorMessage="1" sqref="D37:F37 D28:F28 D43:F43" xr:uid="{BFCA024A-B59A-4835-866D-C60E90746B72}">
      <formula1>Material_List</formula1>
    </dataValidation>
    <dataValidation type="list" allowBlank="1" showInputMessage="1" showErrorMessage="1" sqref="D95:F95" xr:uid="{79E7DBCF-1935-41F7-8BD6-34E0389AB3F0}">
      <formula1>"両端固定,両端ピン,上端ピン&amp;下端固定,両端固定&amp;上端変位可,下端固定&amp;上端自由"</formula1>
    </dataValidation>
    <dataValidation type="list" allowBlank="1" showInputMessage="1" showErrorMessage="1" sqref="D3:F3" xr:uid="{84E5BDF8-AC50-4F2C-8FD3-1D89CC26BE26}">
      <formula1>"軸を穴に圧入,穴を軸に圧入"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922EA-00A0-4BBE-8C0F-A990032308CA}">
  <sheetPr codeName="Sheet2"/>
  <dimension ref="A1:C2"/>
  <sheetViews>
    <sheetView showGridLines="0" zoomScaleNormal="100" workbookViewId="0">
      <selection activeCell="G2" sqref="G2"/>
    </sheetView>
  </sheetViews>
  <sheetFormatPr defaultColWidth="8.875" defaultRowHeight="17.649999999999999"/>
  <cols>
    <col min="1" max="1" width="48.25" customWidth="1"/>
    <col min="2" max="2" width="4.6875" customWidth="1"/>
    <col min="3" max="3" width="47.625" customWidth="1"/>
  </cols>
  <sheetData>
    <row r="1" spans="1:3">
      <c r="A1" t="s">
        <v>356</v>
      </c>
      <c r="C1" t="s">
        <v>358</v>
      </c>
    </row>
    <row r="2" spans="1:3" ht="397.15" customHeight="1"/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C406A-A01B-4EBD-A54F-AB6DC774D0E4}">
  <sheetPr codeName="Sheet3"/>
  <dimension ref="A1:AR56"/>
  <sheetViews>
    <sheetView zoomScale="55" zoomScaleNormal="55" workbookViewId="0">
      <selection activeCell="I34" sqref="I34"/>
    </sheetView>
  </sheetViews>
  <sheetFormatPr defaultRowHeight="17.649999999999999"/>
  <cols>
    <col min="1" max="1" width="11" bestFit="1" customWidth="1"/>
    <col min="2" max="2" width="17.625" bestFit="1" customWidth="1"/>
    <col min="3" max="3" width="17.25" bestFit="1" customWidth="1"/>
    <col min="4" max="4" width="18" bestFit="1" customWidth="1"/>
    <col min="5" max="5" width="11.875" bestFit="1" customWidth="1"/>
    <col min="6" max="6" width="11.5" bestFit="1" customWidth="1"/>
    <col min="7" max="7" width="12.25" bestFit="1" customWidth="1"/>
    <col min="8" max="8" width="13.1875" bestFit="1" customWidth="1"/>
    <col min="9" max="9" width="13.3125" bestFit="1" customWidth="1"/>
    <col min="10" max="10" width="18.9375" bestFit="1" customWidth="1"/>
    <col min="11" max="11" width="19.0625" bestFit="1" customWidth="1"/>
    <col min="14" max="14" width="14.8125" bestFit="1" customWidth="1"/>
    <col min="15" max="17" width="17.25" bestFit="1" customWidth="1"/>
    <col min="18" max="18" width="15.3125" bestFit="1" customWidth="1"/>
    <col min="19" max="21" width="17.875" bestFit="1" customWidth="1"/>
    <col min="22" max="24" width="21.625" bestFit="1" customWidth="1"/>
    <col min="25" max="25" width="19.75" bestFit="1" customWidth="1"/>
    <col min="26" max="28" width="22.3125" bestFit="1" customWidth="1"/>
    <col min="29" max="31" width="18.75" bestFit="1" customWidth="1"/>
    <col min="32" max="32" width="16.8125" bestFit="1" customWidth="1"/>
    <col min="33" max="35" width="19.375" bestFit="1" customWidth="1"/>
    <col min="36" max="36" width="13.1875" bestFit="1" customWidth="1"/>
    <col min="37" max="39" width="18.875" bestFit="1" customWidth="1"/>
    <col min="40" max="40" width="16.9375" bestFit="1" customWidth="1"/>
    <col min="41" max="43" width="19.5" bestFit="1" customWidth="1"/>
  </cols>
  <sheetData>
    <row r="1" spans="1:44">
      <c r="A1" s="177"/>
      <c r="B1" s="177"/>
      <c r="C1" s="177"/>
      <c r="D1" s="177"/>
    </row>
    <row r="2" spans="1:44">
      <c r="A2" t="s">
        <v>278</v>
      </c>
      <c r="B2" s="177"/>
      <c r="C2" s="177"/>
      <c r="D2" s="177"/>
      <c r="O2" s="79" t="s">
        <v>60</v>
      </c>
      <c r="P2" s="79" t="s">
        <v>60</v>
      </c>
      <c r="Q2" s="79" t="s">
        <v>60</v>
      </c>
      <c r="R2" s="79" t="s">
        <v>60</v>
      </c>
      <c r="S2" s="79" t="s">
        <v>60</v>
      </c>
      <c r="T2" s="79" t="s">
        <v>60</v>
      </c>
      <c r="U2" s="79" t="s">
        <v>60</v>
      </c>
      <c r="V2" s="79" t="s">
        <v>60</v>
      </c>
      <c r="W2" s="79" t="s">
        <v>60</v>
      </c>
      <c r="X2" s="79" t="s">
        <v>60</v>
      </c>
      <c r="Y2" s="79" t="s">
        <v>60</v>
      </c>
      <c r="Z2" s="79" t="s">
        <v>60</v>
      </c>
      <c r="AA2" s="79" t="s">
        <v>60</v>
      </c>
      <c r="AB2" s="79" t="s">
        <v>60</v>
      </c>
      <c r="AC2" s="79" t="s">
        <v>60</v>
      </c>
      <c r="AD2" s="79" t="s">
        <v>60</v>
      </c>
      <c r="AE2" s="79" t="s">
        <v>60</v>
      </c>
      <c r="AF2" s="79" t="s">
        <v>60</v>
      </c>
      <c r="AG2" s="79" t="s">
        <v>60</v>
      </c>
      <c r="AH2" s="79" t="s">
        <v>60</v>
      </c>
      <c r="AI2" s="79" t="s">
        <v>60</v>
      </c>
      <c r="AJ2" s="79"/>
      <c r="AK2" s="79" t="s">
        <v>58</v>
      </c>
      <c r="AL2" s="79" t="s">
        <v>58</v>
      </c>
      <c r="AM2" s="79" t="s">
        <v>58</v>
      </c>
      <c r="AN2" s="79" t="s">
        <v>58</v>
      </c>
      <c r="AO2" s="79" t="s">
        <v>58</v>
      </c>
      <c r="AP2" s="79" t="s">
        <v>58</v>
      </c>
      <c r="AQ2" s="79" t="s">
        <v>58</v>
      </c>
    </row>
    <row r="3" spans="1:44">
      <c r="A3" s="178">
        <v>0.01</v>
      </c>
      <c r="B3" s="177"/>
      <c r="C3" s="177"/>
      <c r="D3" s="177"/>
      <c r="O3" s="79">
        <v>-30</v>
      </c>
      <c r="P3" s="79">
        <v>-20</v>
      </c>
      <c r="Q3" s="79">
        <v>-10</v>
      </c>
      <c r="R3" s="79">
        <v>0</v>
      </c>
      <c r="S3" s="79">
        <v>10</v>
      </c>
      <c r="T3" s="79">
        <v>20</v>
      </c>
      <c r="U3" s="79">
        <v>30</v>
      </c>
      <c r="V3" s="79">
        <v>-30</v>
      </c>
      <c r="W3" s="79">
        <v>-20</v>
      </c>
      <c r="X3" s="79">
        <v>-10</v>
      </c>
      <c r="Y3" s="79">
        <v>0</v>
      </c>
      <c r="Z3" s="79">
        <v>10</v>
      </c>
      <c r="AA3" s="79">
        <v>20</v>
      </c>
      <c r="AB3" s="79">
        <v>30</v>
      </c>
      <c r="AC3" s="79">
        <v>-30</v>
      </c>
      <c r="AD3" s="79">
        <v>-20</v>
      </c>
      <c r="AE3" s="79">
        <v>-10</v>
      </c>
      <c r="AF3" s="79">
        <v>0</v>
      </c>
      <c r="AG3" s="79">
        <v>10</v>
      </c>
      <c r="AH3" s="79">
        <v>20</v>
      </c>
      <c r="AI3" s="79">
        <v>30</v>
      </c>
      <c r="AJ3" s="79"/>
      <c r="AK3" s="79">
        <v>-30</v>
      </c>
      <c r="AL3" s="79">
        <v>-20</v>
      </c>
      <c r="AM3" s="79">
        <v>-10</v>
      </c>
      <c r="AN3" s="79">
        <v>0</v>
      </c>
      <c r="AO3" s="79">
        <v>10</v>
      </c>
      <c r="AP3" s="79">
        <v>20</v>
      </c>
      <c r="AQ3" s="79">
        <v>30</v>
      </c>
    </row>
    <row r="4" spans="1:44">
      <c r="A4" s="167" t="s">
        <v>279</v>
      </c>
      <c r="B4" s="179" t="s">
        <v>280</v>
      </c>
      <c r="C4" s="179"/>
      <c r="D4" s="179"/>
      <c r="E4" s="180" t="s">
        <v>281</v>
      </c>
      <c r="F4" s="180"/>
      <c r="G4" s="180"/>
      <c r="H4" s="180" t="s">
        <v>282</v>
      </c>
      <c r="I4" s="180"/>
      <c r="J4" s="181" t="s">
        <v>283</v>
      </c>
      <c r="K4" s="181"/>
      <c r="N4" s="79"/>
      <c r="O4" s="181" t="s">
        <v>284</v>
      </c>
      <c r="P4" s="181"/>
      <c r="Q4" s="181"/>
      <c r="R4" s="181"/>
      <c r="S4" s="181"/>
      <c r="T4" s="181"/>
      <c r="U4" s="181"/>
      <c r="V4" s="181" t="s">
        <v>269</v>
      </c>
      <c r="W4" s="181"/>
      <c r="X4" s="181"/>
      <c r="Y4" s="181"/>
      <c r="Z4" s="181"/>
      <c r="AA4" s="181"/>
      <c r="AB4" s="181"/>
      <c r="AC4" s="181" t="s">
        <v>295</v>
      </c>
      <c r="AD4" s="181"/>
      <c r="AE4" s="181"/>
      <c r="AF4" s="181"/>
      <c r="AG4" s="181"/>
      <c r="AH4" s="181"/>
      <c r="AI4" s="181"/>
      <c r="AJ4" s="181"/>
      <c r="AK4" s="181" t="s">
        <v>312</v>
      </c>
      <c r="AL4" s="181"/>
      <c r="AM4" s="181"/>
      <c r="AN4" s="181"/>
      <c r="AO4" s="181"/>
      <c r="AP4" s="181"/>
      <c r="AQ4" s="181"/>
    </row>
    <row r="5" spans="1:44">
      <c r="A5" t="s">
        <v>284</v>
      </c>
      <c r="B5" t="s">
        <v>285</v>
      </c>
      <c r="C5" t="s">
        <v>286</v>
      </c>
      <c r="D5" t="s">
        <v>287</v>
      </c>
      <c r="E5" t="s">
        <v>288</v>
      </c>
      <c r="F5" t="s">
        <v>289</v>
      </c>
      <c r="G5" t="s">
        <v>290</v>
      </c>
      <c r="H5" t="s">
        <v>291</v>
      </c>
      <c r="I5" t="s">
        <v>292</v>
      </c>
      <c r="J5" t="s">
        <v>293</v>
      </c>
      <c r="K5" t="s">
        <v>294</v>
      </c>
      <c r="N5" t="s">
        <v>311</v>
      </c>
      <c r="O5" t="s">
        <v>296</v>
      </c>
      <c r="P5" t="s">
        <v>297</v>
      </c>
      <c r="Q5" t="s">
        <v>298</v>
      </c>
      <c r="R5" t="s">
        <v>299</v>
      </c>
      <c r="S5" t="s">
        <v>300</v>
      </c>
      <c r="T5" t="s">
        <v>301</v>
      </c>
      <c r="U5" t="s">
        <v>302</v>
      </c>
      <c r="V5" t="s">
        <v>303</v>
      </c>
      <c r="W5" t="s">
        <v>305</v>
      </c>
      <c r="X5" t="s">
        <v>306</v>
      </c>
      <c r="Y5" t="s">
        <v>307</v>
      </c>
      <c r="Z5" t="s">
        <v>308</v>
      </c>
      <c r="AA5" t="s">
        <v>309</v>
      </c>
      <c r="AB5" t="s">
        <v>310</v>
      </c>
      <c r="AC5" t="s">
        <v>304</v>
      </c>
      <c r="AD5" t="s">
        <v>313</v>
      </c>
      <c r="AE5" t="s">
        <v>314</v>
      </c>
      <c r="AF5" t="s">
        <v>315</v>
      </c>
      <c r="AG5" t="s">
        <v>316</v>
      </c>
      <c r="AH5" t="s">
        <v>317</v>
      </c>
      <c r="AI5" t="s">
        <v>318</v>
      </c>
      <c r="AJ5" t="s">
        <v>326</v>
      </c>
      <c r="AK5" t="s">
        <v>319</v>
      </c>
      <c r="AL5" t="s">
        <v>320</v>
      </c>
      <c r="AM5" t="s">
        <v>321</v>
      </c>
      <c r="AN5" t="s">
        <v>322</v>
      </c>
      <c r="AO5" t="s">
        <v>323</v>
      </c>
      <c r="AP5" t="s">
        <v>324</v>
      </c>
      <c r="AQ5" t="s">
        <v>325</v>
      </c>
      <c r="AR5" t="s">
        <v>327</v>
      </c>
    </row>
    <row r="6" spans="1:44">
      <c r="A6" s="177">
        <v>0</v>
      </c>
      <c r="B6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0</v>
      </c>
      <c r="C6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0</v>
      </c>
      <c r="D6" s="99">
        <f>(テーブル3[[#This Row],[締め代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0</v>
      </c>
      <c r="E6" s="99">
        <f>テーブル3[[#This Row],[半径方向応力min]]*寸法→圧入力!D$48*寸法→圧入力!D$6/1000</f>
        <v>0</v>
      </c>
      <c r="F6" s="99">
        <f>テーブル3[[#This Row],[半径方向応力min]]*寸法→圧入力!E$48*寸法→圧入力!E$6/1000</f>
        <v>0</v>
      </c>
      <c r="G6" s="99">
        <f>テーブル3[[#This Row],[半径方向応力min]]*寸法→圧入力!F$48*寸法→圧入力!F$6/1000</f>
        <v>0</v>
      </c>
      <c r="H6" s="99">
        <f>寸法→圧入力!$D$32</f>
        <v>345</v>
      </c>
      <c r="I6" s="99">
        <f>寸法→圧入力!$D$41</f>
        <v>150</v>
      </c>
      <c r="J6" s="99">
        <f>テーブル3[[#This Row],[半径方向応力nor]]*2*寸法→圧入力!E$25^2/(寸法→圧入力!E$25^2-寸法→圧入力!E$26^2)</f>
        <v>0</v>
      </c>
      <c r="K6" s="99">
        <f>テーブル3[[#This Row],[半径方向応力nor]]* (1+(寸法→圧入力!E$36/寸法→圧入力!E$35)^2)/((寸法→圧入力!E$36/寸法→圧入力!E$35)^2-1)</f>
        <v>0</v>
      </c>
      <c r="N6">
        <v>-50</v>
      </c>
      <c r="O6" s="177">
        <f>寸法→圧入力!F$25*(1+寸法→圧入力!D$31*10^-6*(テーブル4[[#This Row],[inner温度'[℃']]]-20)) - 寸法→圧入力!D$35*(1+寸法→圧入力!D$40*10^-6*(テーブル4[[#This Row],[inner温度'[℃']]]+O$3-20))</f>
        <v>0.16679667000000364</v>
      </c>
      <c r="P6" s="177">
        <f>寸法→圧入力!F$25*(1+寸法→圧入力!D$31*10^-6*(テーブル4[[#This Row],[inner温度'[℃']]]-20)) - 寸法→圧入力!D$35*(1+寸法→圧入力!D$40*10^-6*(テーブル4[[#This Row],[inner温度'[℃']]]+P$3-20))</f>
        <v>0.15736766999999929</v>
      </c>
      <c r="Q6" s="177">
        <f>寸法→圧入力!F$25*(1+寸法→圧入力!D$31*10^-6*(テーブル4[[#This Row],[inner温度'[℃']]]-20)) - 寸法→圧入力!D$35*(1+寸法→圧入力!D$40*10^-6*(テーブル4[[#This Row],[inner温度'[℃']]]+Q$3-20))</f>
        <v>0.14793867000000205</v>
      </c>
      <c r="R6" s="177">
        <f>寸法→圧入力!F$25*(1+寸法→圧入力!D$31*10^-6*(テーブル4[[#This Row],[inner温度'[℃']]]-20)) - 寸法→圧入力!D$35*(1+寸法→圧入力!D$40*10^-6*(テーブル4[[#This Row],[inner温度'[℃']]]+R$3-20))</f>
        <v>0.1385096700000048</v>
      </c>
      <c r="S6" s="177">
        <f>寸法→圧入力!F$25*(1+寸法→圧入力!D$31*10^-6*(テーブル4[[#This Row],[inner温度'[℃']]]-20)) - 寸法→圧入力!D$35*(1+寸法→圧入力!D$40*10^-6*(テーブル4[[#This Row],[inner温度'[℃']]]+S$3-20))</f>
        <v>0.12908067000000756</v>
      </c>
      <c r="T6" s="177">
        <f>寸法→圧入力!F$25*(1+寸法→圧入力!D$31*10^-6*(テーブル4[[#This Row],[inner温度'[℃']]]-20)) - 寸法→圧入力!D$35*(1+寸法→圧入力!D$40*10^-6*(テーブル4[[#This Row],[inner温度'[℃']]]+T$3-20))</f>
        <v>0.11965167000000321</v>
      </c>
      <c r="U6" s="177">
        <f>寸法→圧入力!F$25*(1+寸法→圧入力!D$31*10^-6*(テーブル4[[#This Row],[inner温度'[℃']]]-20)) - 寸法→圧入力!D$35*(1+寸法→圧入力!D$40*10^-6*(テーブル4[[#This Row],[inner温度'[℃']]]+U$3-20))</f>
        <v>0.11022266999999886</v>
      </c>
      <c r="V6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59.163797517995462</v>
      </c>
      <c r="W6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55.819273632731907</v>
      </c>
      <c r="X6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52.474749747470852</v>
      </c>
      <c r="Y6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49.130225862209812</v>
      </c>
      <c r="Z6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45.785701976948772</v>
      </c>
      <c r="AA6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42.441178091685209</v>
      </c>
      <c r="AB6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39.09665420642164</v>
      </c>
      <c r="AC6" s="99">
        <f>テーブル4[[#This Row],[半径方向応力:Δ-30℃]]*2*寸法→圧入力!D$25^2/(寸法→圧入力!D$25^2-寸法→圧入力!F$26^2)</f>
        <v>302.16444084778072</v>
      </c>
      <c r="AD6" s="99">
        <f>テーブル4[[#This Row],[半径方向応力:Δ-20℃]]*2*寸法→圧入力!D$25^2/(寸法→圧入力!D$25^2-寸法→圧入力!F$26^2)</f>
        <v>285.08311354817113</v>
      </c>
      <c r="AE6" s="99">
        <f>テーブル4[[#This Row],[半径方向応力:Δ-10℃]]*2*寸法→圧入力!D$25^2/(寸法→圧入力!D$25^2-寸法→圧入力!F$26^2)</f>
        <v>268.00178624857432</v>
      </c>
      <c r="AF6" s="99">
        <f>テーブル4[[#This Row],[半径方向応力:Δ0℃]]*2*寸法→圧入力!D$25^2/(寸法→圧入力!D$25^2-寸法→圧入力!F$26^2)</f>
        <v>250.92045894897757</v>
      </c>
      <c r="AG6" s="99">
        <f>テーブル4[[#This Row],[半径方向応力:Δ+10℃]]*2*寸法→圧入力!D$25^2/(寸法→圧入力!D$25^2-寸法→圧入力!F$26^2)</f>
        <v>233.83913164938087</v>
      </c>
      <c r="AH6" s="99">
        <f>テーブル4[[#This Row],[半径方向応力:Δ+20℃]]*2*寸法→圧入力!D$25^2/(寸法→圧入力!D$25^2-寸法→圧入力!F$26^2)</f>
        <v>216.75780434977125</v>
      </c>
      <c r="AI6" s="99">
        <f>テーブル4[[#This Row],[半径方向応力:Δ+30℃]]*2*寸法→圧入力!D$25^2/(寸法→圧入力!D$25^2-寸法→圧入力!F$26^2)</f>
        <v>199.67647705016159</v>
      </c>
      <c r="AJ6" s="99">
        <f>寸法→圧入力!$D$32</f>
        <v>345</v>
      </c>
      <c r="AK6" s="99">
        <f>テーブル4[[#This Row],[半径方向応力:Δ-30℃]]* (1+(寸法→圧入力!D$36/寸法→圧入力!F$35)^2)/((寸法→圧入力!D$36/寸法→圧入力!F$35)^2-1)</f>
        <v>115.81143244473274</v>
      </c>
      <c r="AL6" s="99">
        <f>テーブル4[[#This Row],[半径方向応力:Δ-20℃]]* (1+(寸法→圧入力!D$36/寸法→圧入力!F$35)^2)/((寸法→圧入力!D$36/寸法→圧入力!F$35)^2-1)</f>
        <v>109.26462310782054</v>
      </c>
      <c r="AM6" s="99">
        <f>テーブル4[[#This Row],[半径方向応力:Δ-10℃]]* (1+(寸法→圧入力!D$36/寸法→圧入力!F$35)^2)/((寸法→圧入力!D$36/寸法→圧入力!F$35)^2-1)</f>
        <v>102.71781377091325</v>
      </c>
      <c r="AN6" s="99">
        <f>テーブル4[[#This Row],[半径方向応力:Δ0℃]]* (1+(寸法→圧入力!D$36/寸法→圧入力!F$35)^2)/((寸法→圧入力!D$36/寸法→圧入力!F$35)^2-1)</f>
        <v>96.171004434005965</v>
      </c>
      <c r="AO6" s="99">
        <f>テーブル4[[#This Row],[半径方向応力:Δ+10℃]]* (1+(寸法→圧入力!D$36/寸法→圧入力!F$35)^2)/((寸法→圧入力!D$36/寸法→圧入力!F$35)^2-1)</f>
        <v>89.624195097098706</v>
      </c>
      <c r="AP6" s="99">
        <f>テーブル4[[#This Row],[半径方向応力:Δ+20℃]]* (1+(寸法→圧入力!D$36/寸法→圧入力!F$35)^2)/((寸法→圧入力!D$36/寸法→圧入力!F$35)^2-1)</f>
        <v>83.077385760186488</v>
      </c>
      <c r="AQ6" s="99">
        <f>テーブル4[[#This Row],[半径方向応力:Δ+30℃]]* (1+(寸法→圧入力!D$36/寸法→圧入力!F$35)^2)/((寸法→圧入力!D$36/寸法→圧入力!F$35)^2-1)</f>
        <v>76.530576423274269</v>
      </c>
      <c r="AR6" s="99">
        <f>寸法→圧入力!$D$41</f>
        <v>150</v>
      </c>
    </row>
    <row r="7" spans="1:44">
      <c r="A7" s="177">
        <f t="shared" ref="A7:A38" si="0">$A$6+($A$3*(ROW(A7)-ROW($A$6)))</f>
        <v>0.01</v>
      </c>
      <c r="B7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3.4598865694423666</v>
      </c>
      <c r="C7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3.5035590732134589</v>
      </c>
      <c r="D7" s="99">
        <f>(A7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3.5470610725018776</v>
      </c>
      <c r="E7" s="99">
        <f>テーブル3[[#This Row],[半径方向応力min]]*寸法→圧入力!D$48*寸法→圧入力!D$6/1000</f>
        <v>0.60277889062060708</v>
      </c>
      <c r="F7" s="99">
        <f>テーブル3[[#This Row],[半径方向応力min]]*寸法→圧入力!E$48*寸法→圧入力!E$6/1000</f>
        <v>0.76978047179033804</v>
      </c>
      <c r="G7" s="99">
        <f>テーブル3[[#This Row],[半径方向応力min]]*寸法→圧入力!F$48*寸法→圧入力!F$6/1000</f>
        <v>0.9434936592184483</v>
      </c>
      <c r="H7" s="99">
        <f>寸法→圧入力!$D$32</f>
        <v>345</v>
      </c>
      <c r="I7" s="99">
        <f>寸法→圧入力!$D$41</f>
        <v>150</v>
      </c>
      <c r="J7" s="99">
        <f>テーブル3[[#This Row],[半径方向応力nor]]*2*寸法→圧入力!E$25^2/(寸法→圧入力!E$25^2-寸法→圧入力!E$26^2)</f>
        <v>17.730735438303412</v>
      </c>
      <c r="K7" s="99">
        <f>テーブル3[[#This Row],[半径方向応力nor]]* (1+(寸法→圧入力!E$36/寸法→圧入力!E$35)^2)/((寸法→圧入力!E$36/寸法→圧入力!E$35)^2-1)</f>
        <v>6.7310763366014434</v>
      </c>
      <c r="N7">
        <f>N6+5</f>
        <v>-45</v>
      </c>
      <c r="O7" s="177">
        <f>寸法→圧入力!F$25*(1+寸法→圧入力!D$31*10^-6*(テーブル4[[#This Row],[inner温度'[℃']]]-20)) - 寸法→圧入力!D$35*(1+寸法→圧入力!D$40*10^-6*(テーブル4[[#This Row],[inner温度'[℃']]]+O$3-20))</f>
        <v>0.16476026499999818</v>
      </c>
      <c r="P7" s="177">
        <f>寸法→圧入力!F$25*(1+寸法→圧入力!D$31*10^-6*(テーブル4[[#This Row],[inner温度'[℃']]]-20)) - 寸法→圧入力!D$35*(1+寸法→圧入力!D$40*10^-6*(テーブル4[[#This Row],[inner温度'[℃']]]+P$3-20))</f>
        <v>0.15533126500000805</v>
      </c>
      <c r="Q7" s="177">
        <f>寸法→圧入力!F$25*(1+寸法→圧入力!D$31*10^-6*(テーブル4[[#This Row],[inner温度'[℃']]]-20)) - 寸法→圧入力!D$35*(1+寸法→圧入力!D$40*10^-6*(テーブル4[[#This Row],[inner温度'[℃']]]+Q$3-20))</f>
        <v>0.14590226500000369</v>
      </c>
      <c r="R7" s="177">
        <f>寸法→圧入力!F$25*(1+寸法→圧入力!D$31*10^-6*(テーブル4[[#This Row],[inner温度'[℃']]]-20)) - 寸法→圧入力!D$35*(1+寸法→圧入力!D$40*10^-6*(テーブル4[[#This Row],[inner温度'[℃']]]+R$3-20))</f>
        <v>0.13647326499999934</v>
      </c>
      <c r="S7" s="177">
        <f>寸法→圧入力!F$25*(1+寸法→圧入力!D$31*10^-6*(テーブル4[[#This Row],[inner温度'[℃']]]-20)) - 寸法→圧入力!D$35*(1+寸法→圧入力!D$40*10^-6*(テーブル4[[#This Row],[inner温度'[℃']]]+S$3-20))</f>
        <v>0.1270442650000021</v>
      </c>
      <c r="T7" s="177">
        <f>寸法→圧入力!F$25*(1+寸法→圧入力!D$31*10^-6*(テーブル4[[#This Row],[inner温度'[℃']]]-20)) - 寸法→圧入力!D$35*(1+寸法→圧入力!D$40*10^-6*(テーブル4[[#This Row],[inner温度'[℃']]]+T$3-20))</f>
        <v>0.11761526500000485</v>
      </c>
      <c r="U7" s="177">
        <f>寸法→圧入力!F$25*(1+寸法→圧入力!D$31*10^-6*(テーブル4[[#This Row],[inner温度'[℃']]]-20)) - 寸法→圧入力!D$35*(1+寸法→圧入力!D$40*10^-6*(テーブル4[[#This Row],[inner温度'[℃']]]+U$3-20))</f>
        <v>0.10818626500000761</v>
      </c>
      <c r="V7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58.441472227658714</v>
      </c>
      <c r="W7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55.096948342400189</v>
      </c>
      <c r="X7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51.75242445713662</v>
      </c>
      <c r="Y7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48.407900571873057</v>
      </c>
      <c r="Z7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45.063376686612017</v>
      </c>
      <c r="AA7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41.718852801350977</v>
      </c>
      <c r="AB7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38.374328916089929</v>
      </c>
      <c r="AC7" s="99">
        <f>テーブル4[[#This Row],[半径方向応力:Δ-30℃]]*2*寸法→圧入力!D$25^2/(寸法→圧入力!D$25^2-寸法→圧入力!F$26^2)</f>
        <v>298.4753433486145</v>
      </c>
      <c r="AD7" s="99">
        <f>テーブル4[[#This Row],[半径方向応力:Δ-20℃]]*2*寸法→圧入力!D$25^2/(寸法→圧入力!D$25^2-寸法→圧入力!F$26^2)</f>
        <v>281.3940160490306</v>
      </c>
      <c r="AE7" s="99">
        <f>テーブル4[[#This Row],[半径方向応力:Δ-10℃]]*2*寸法→圧入力!D$25^2/(寸法→圧入力!D$25^2-寸法→圧入力!F$26^2)</f>
        <v>264.31268874942094</v>
      </c>
      <c r="AF7" s="99">
        <f>テーブル4[[#This Row],[半径方向応力:Δ0℃]]*2*寸法→圧入力!D$25^2/(寸法→圧入力!D$25^2-寸法→圧入力!F$26^2)</f>
        <v>247.23136144981132</v>
      </c>
      <c r="AG7" s="99">
        <f>テーブル4[[#This Row],[半径方向応力:Δ+10℃]]*2*寸法→圧入力!D$25^2/(寸法→圧入力!D$25^2-寸法→圧入力!F$26^2)</f>
        <v>230.15003415021457</v>
      </c>
      <c r="AH7" s="99">
        <f>テーブル4[[#This Row],[半径方向応力:Δ+20℃]]*2*寸法→圧入力!D$25^2/(寸法→圧入力!D$25^2-寸法→圧入力!F$26^2)</f>
        <v>213.06870685061787</v>
      </c>
      <c r="AI7" s="99">
        <f>テーブル4[[#This Row],[半径方向応力:Δ+30℃]]*2*寸法→圧入力!D$25^2/(寸法→圧入力!D$25^2-寸法→圧入力!F$26^2)</f>
        <v>195.98737955102106</v>
      </c>
      <c r="AJ7" s="99">
        <f>寸法→圧入力!$D$32</f>
        <v>345</v>
      </c>
      <c r="AK7" s="99">
        <f>テーブル4[[#This Row],[半径方向応力:Δ-30℃]]* (1+(寸法→圧入力!D$36/寸法→圧入力!F$35)^2)/((寸法→圧入力!D$36/寸法→圧入力!F$35)^2-1)</f>
        <v>114.39750145865105</v>
      </c>
      <c r="AL7" s="99">
        <f>テーブル4[[#This Row],[半径方向応力:Δ-20℃]]* (1+(寸法→圧入力!D$36/寸法→圧入力!F$35)^2)/((寸法→圧入力!D$36/寸法→圧入力!F$35)^2-1)</f>
        <v>107.85069212174872</v>
      </c>
      <c r="AM7" s="99">
        <f>テーブル4[[#This Row],[半径方向応力:Δ-10℃]]* (1+(寸法→圧入力!D$36/寸法→圧入力!F$35)^2)/((寸法→圧入力!D$36/寸法→圧入力!F$35)^2-1)</f>
        <v>101.30388278483649</v>
      </c>
      <c r="AN7" s="99">
        <f>テーブル4[[#This Row],[半径方向応力:Δ0℃]]* (1+(寸法→圧入力!D$36/寸法→圧入力!F$35)^2)/((寸法→圧入力!D$36/寸法→圧入力!F$35)^2-1)</f>
        <v>94.757073447924284</v>
      </c>
      <c r="AO7" s="99">
        <f>テーブル4[[#This Row],[半径方向応力:Δ+10℃]]* (1+(寸法→圧入力!D$36/寸法→圧入力!F$35)^2)/((寸法→圧入力!D$36/寸法→圧入力!F$35)^2-1)</f>
        <v>88.210264111016997</v>
      </c>
      <c r="AP7" s="99">
        <f>テーブル4[[#This Row],[半径方向応力:Δ+20℃]]* (1+(寸法→圧入力!D$36/寸法→圧入力!F$35)^2)/((寸法→圧入力!D$36/寸法→圧入力!F$35)^2-1)</f>
        <v>81.663454774109738</v>
      </c>
      <c r="AQ7" s="99">
        <f>テーブル4[[#This Row],[半径方向応力:Δ+30℃]]* (1+(寸法→圧入力!D$36/寸法→圧入力!F$35)^2)/((寸法→圧入力!D$36/寸法→圧入力!F$35)^2-1)</f>
        <v>75.116645437202436</v>
      </c>
      <c r="AR7" s="99">
        <f>寸法→圧入力!$D$41</f>
        <v>150</v>
      </c>
    </row>
    <row r="8" spans="1:44">
      <c r="A8" s="177">
        <f t="shared" si="0"/>
        <v>0.02</v>
      </c>
      <c r="B8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6.9197731388847332</v>
      </c>
      <c r="C8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7.0071181464269179</v>
      </c>
      <c r="D8" s="99">
        <f>(A8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7.0941221450037553</v>
      </c>
      <c r="E8" s="99">
        <f>テーブル3[[#This Row],[半径方向応力min]]*寸法→圧入力!D$48*寸法→圧入力!D$6/1000</f>
        <v>1.2055577812412142</v>
      </c>
      <c r="F8" s="99">
        <f>テーブル3[[#This Row],[半径方向応力min]]*寸法→圧入力!E$48*寸法→圧入力!E$6/1000</f>
        <v>1.5395609435806761</v>
      </c>
      <c r="G8" s="99">
        <f>テーブル3[[#This Row],[半径方向応力min]]*寸法→圧入力!F$48*寸法→圧入力!F$6/1000</f>
        <v>1.8869873184368966</v>
      </c>
      <c r="H8" s="99">
        <f>寸法→圧入力!$D$32</f>
        <v>345</v>
      </c>
      <c r="I8" s="99">
        <f>寸法→圧入力!$D$41</f>
        <v>150</v>
      </c>
      <c r="J8" s="99">
        <f>テーブル3[[#This Row],[半径方向応力nor]]*2*寸法→圧入力!E$25^2/(寸法→圧入力!E$25^2-寸法→圧入力!E$26^2)</f>
        <v>35.461470876606825</v>
      </c>
      <c r="K8" s="99">
        <f>テーブル3[[#This Row],[半径方向応力nor]]* (1+(寸法→圧入力!E$36/寸法→圧入力!E$35)^2)/((寸法→圧入力!E$36/寸法→圧入力!E$35)^2-1)</f>
        <v>13.462152673202887</v>
      </c>
      <c r="N8">
        <f t="shared" ref="N8:N56" si="1">N7+5</f>
        <v>-40</v>
      </c>
      <c r="O8" s="177">
        <f>寸法→圧入力!F$25*(1+寸法→圧入力!D$31*10^-6*(テーブル4[[#This Row],[inner温度'[℃']]]-20)) - 寸法→圧入力!D$35*(1+寸法→圧入力!D$40*10^-6*(テーブル4[[#This Row],[inner温度'[℃']]]+O$3-20))</f>
        <v>0.16272385999999983</v>
      </c>
      <c r="P8" s="177">
        <f>寸法→圧入力!F$25*(1+寸法→圧入力!D$31*10^-6*(テーブル4[[#This Row],[inner温度'[℃']]]-20)) - 寸法→圧入力!D$35*(1+寸法→圧入力!D$40*10^-6*(テーブル4[[#This Row],[inner温度'[℃']]]+P$3-20))</f>
        <v>0.15329486000000259</v>
      </c>
      <c r="Q8" s="177">
        <f>寸法→圧入力!F$25*(1+寸法→圧入力!D$31*10^-6*(テーブル4[[#This Row],[inner温度'[℃']]]-20)) - 寸法→圧入力!D$35*(1+寸法→圧入力!D$40*10^-6*(テーブル4[[#This Row],[inner温度'[℃']]]+Q$3-20))</f>
        <v>0.14386586000000534</v>
      </c>
      <c r="R8" s="177">
        <f>寸法→圧入力!F$25*(1+寸法→圧入力!D$31*10^-6*(テーブル4[[#This Row],[inner温度'[℃']]]-20)) - 寸法→圧入力!D$35*(1+寸法→圧入力!D$40*10^-6*(テーブル4[[#This Row],[inner温度'[℃']]]+R$3-20))</f>
        <v>0.1344368600000081</v>
      </c>
      <c r="S8" s="177">
        <f>寸法→圧入力!F$25*(1+寸法→圧入力!D$31*10^-6*(テーブル4[[#This Row],[inner温度'[℃']]]-20)) - 寸法→圧入力!D$35*(1+寸法→圧入力!D$40*10^-6*(テーブル4[[#This Row],[inner温度'[℃']]]+S$3-20))</f>
        <v>0.12500786000000375</v>
      </c>
      <c r="T8" s="177">
        <f>寸法→圧入力!F$25*(1+寸法→圧入力!D$31*10^-6*(テーブル4[[#This Row],[inner温度'[℃']]]-20)) - 寸法→圧入力!D$35*(1+寸法→圧入力!D$40*10^-6*(テーブル4[[#This Row],[inner温度'[℃']]]+T$3-20))</f>
        <v>0.11557885999999939</v>
      </c>
      <c r="U8" s="177">
        <f>寸法→圧入力!F$25*(1+寸法→圧入力!D$31*10^-6*(テーブル4[[#This Row],[inner温度'[℃']]]-20)) - 寸法→圧入力!D$35*(1+寸法→圧入力!D$40*10^-6*(テーブル4[[#This Row],[inner温度'[℃']]]+U$3-20))</f>
        <v>0.10614986000000215</v>
      </c>
      <c r="V8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57.719146937324474</v>
      </c>
      <c r="W8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54.374623052063427</v>
      </c>
      <c r="X8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51.030099166802387</v>
      </c>
      <c r="Y8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47.685575281541347</v>
      </c>
      <c r="Z8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44.341051396277784</v>
      </c>
      <c r="AA8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40.996527511014214</v>
      </c>
      <c r="AB8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37.652003625753174</v>
      </c>
      <c r="AC8" s="99">
        <f>テーブル4[[#This Row],[半径方向応力:Δ-30℃]]*2*寸法→圧入力!D$25^2/(寸法→圧入力!D$25^2-寸法→圧入力!F$26^2)</f>
        <v>294.78624584946107</v>
      </c>
      <c r="AD8" s="99">
        <f>テーブル4[[#This Row],[半径方向応力:Δ-20℃]]*2*寸法→圧入力!D$25^2/(寸法→圧入力!D$25^2-寸法→圧入力!F$26^2)</f>
        <v>277.70491854986426</v>
      </c>
      <c r="AE8" s="99">
        <f>テーブル4[[#This Row],[半径方向応力:Δ-10℃]]*2*寸法→圧入力!D$25^2/(寸法→圧入力!D$25^2-寸法→圧入力!F$26^2)</f>
        <v>260.62359125026751</v>
      </c>
      <c r="AF8" s="99">
        <f>テーブル4[[#This Row],[半径方向応力:Δ0℃]]*2*寸法→圧入力!D$25^2/(寸法→圧入力!D$25^2-寸法→圧入力!F$26^2)</f>
        <v>243.54226395067082</v>
      </c>
      <c r="AG8" s="99">
        <f>テーブル4[[#This Row],[半径方向応力:Δ+10℃]]*2*寸法→圧入力!D$25^2/(寸法→圧入力!D$25^2-寸法→圧入力!F$26^2)</f>
        <v>226.46093665106119</v>
      </c>
      <c r="AH8" s="99">
        <f>テーブル4[[#This Row],[半径方向応力:Δ+20℃]]*2*寸法→圧入力!D$25^2/(寸法→圧入力!D$25^2-寸法→圧入力!F$26^2)</f>
        <v>209.37960935145156</v>
      </c>
      <c r="AI8" s="99">
        <f>テーブル4[[#This Row],[半径方向応力:Δ+30℃]]*2*寸法→圧入力!D$25^2/(寸法→圧入力!D$25^2-寸法→圧入力!F$26^2)</f>
        <v>192.29828205185481</v>
      </c>
      <c r="AJ8" s="99">
        <f>寸法→圧入力!$D$32</f>
        <v>345</v>
      </c>
      <c r="AK8" s="99">
        <f>テーブル4[[#This Row],[半径方向応力:Δ-30℃]]* (1+(寸法→圧入力!D$36/寸法→圧入力!F$35)^2)/((寸法→圧入力!D$36/寸法→圧入力!F$35)^2-1)</f>
        <v>112.98357047257429</v>
      </c>
      <c r="AL8" s="99">
        <f>テーブル4[[#This Row],[半径方向応力:Δ-20℃]]* (1+(寸法→圧入力!D$36/寸法→圧入力!F$35)^2)/((寸法→圧入力!D$36/寸法→圧入力!F$35)^2-1)</f>
        <v>106.436761135667</v>
      </c>
      <c r="AM8" s="99">
        <f>テーブル4[[#This Row],[半径方向応力:Δ-10℃]]* (1+(寸法→圧入力!D$36/寸法→圧入力!F$35)^2)/((寸法→圧入力!D$36/寸法→圧入力!F$35)^2-1)</f>
        <v>99.889951798759725</v>
      </c>
      <c r="AN8" s="99">
        <f>テーブル4[[#This Row],[半径方向応力:Δ0℃]]* (1+(寸法→圧入力!D$36/寸法→圧入力!F$35)^2)/((寸法→圧入力!D$36/寸法→圧入力!F$35)^2-1)</f>
        <v>93.343142461852452</v>
      </c>
      <c r="AO8" s="99">
        <f>テーブル4[[#This Row],[半径方向応力:Δ+10℃]]* (1+(寸法→圧入力!D$36/寸法→圧入力!F$35)^2)/((寸法→圧入力!D$36/寸法→圧入力!F$35)^2-1)</f>
        <v>86.796333124940247</v>
      </c>
      <c r="AP8" s="99">
        <f>テーブル4[[#This Row],[半径方向応力:Δ+20℃]]* (1+(寸法→圧入力!D$36/寸法→圧入力!F$35)^2)/((寸法→圧入力!D$36/寸法→圧入力!F$35)^2-1)</f>
        <v>80.249523788028029</v>
      </c>
      <c r="AQ8" s="99">
        <f>テーブル4[[#This Row],[半径方向応力:Δ+30℃]]* (1+(寸法→圧入力!D$36/寸法→圧入力!F$35)^2)/((寸法→圧入力!D$36/寸法→圧入力!F$35)^2-1)</f>
        <v>73.702714451120741</v>
      </c>
      <c r="AR8" s="99">
        <f>寸法→圧入力!$D$41</f>
        <v>150</v>
      </c>
    </row>
    <row r="9" spans="1:44">
      <c r="A9" s="177">
        <f t="shared" si="0"/>
        <v>0.03</v>
      </c>
      <c r="B9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10.379659708327098</v>
      </c>
      <c r="C9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10.510677219640376</v>
      </c>
      <c r="D9" s="99">
        <f>(A9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10.641183217505631</v>
      </c>
      <c r="E9" s="99">
        <f>テーブル3[[#This Row],[半径方向応力min]]*寸法→圧入力!D$48*寸法→圧入力!D$6/1000</f>
        <v>1.8083366718618206</v>
      </c>
      <c r="F9" s="99">
        <f>テーブル3[[#This Row],[半径方向応力min]]*寸法→圧入力!E$48*寸法→圧入力!E$6/1000</f>
        <v>2.3093414153710143</v>
      </c>
      <c r="G9" s="99">
        <f>テーブル3[[#This Row],[半径方向応力min]]*寸法→圧入力!F$48*寸法→圧入力!F$6/1000</f>
        <v>2.8304809776553448</v>
      </c>
      <c r="H9" s="99">
        <f>寸法→圧入力!$D$32</f>
        <v>345</v>
      </c>
      <c r="I9" s="99">
        <f>寸法→圧入力!$D$41</f>
        <v>150</v>
      </c>
      <c r="J9" s="99">
        <f>テーブル3[[#This Row],[半径方向応力nor]]*2*寸法→圧入力!E$25^2/(寸法→圧入力!E$25^2-寸法→圧入力!E$26^2)</f>
        <v>53.192206314910223</v>
      </c>
      <c r="K9" s="99">
        <f>テーブル3[[#This Row],[半径方向応力nor]]* (1+(寸法→圧入力!E$36/寸法→圧入力!E$35)^2)/((寸法→圧入力!E$36/寸法→圧入力!E$35)^2-1)</f>
        <v>20.19322900980433</v>
      </c>
      <c r="N9">
        <f t="shared" si="1"/>
        <v>-35</v>
      </c>
      <c r="O9" s="177">
        <f>寸法→圧入力!F$25*(1+寸法→圧入力!D$31*10^-6*(テーブル4[[#This Row],[inner温度'[℃']]]-20)) - 寸法→圧入力!D$35*(1+寸法→圧入力!D$40*10^-6*(テーブル4[[#This Row],[inner温度'[℃']]]+O$3-20))</f>
        <v>0.16068745500000148</v>
      </c>
      <c r="P9" s="177">
        <f>寸法→圧入力!F$25*(1+寸法→圧入力!D$31*10^-6*(テーブル4[[#This Row],[inner温度'[℃']]]-20)) - 寸法→圧入力!D$35*(1+寸法→圧入力!D$40*10^-6*(テーブル4[[#This Row],[inner温度'[℃']]]+P$3-20))</f>
        <v>0.15125845499999713</v>
      </c>
      <c r="Q9" s="177">
        <f>寸法→圧入力!F$25*(1+寸法→圧入力!D$31*10^-6*(テーブル4[[#This Row],[inner温度'[℃']]]-20)) - 寸法→圧入力!D$35*(1+寸法→圧入力!D$40*10^-6*(テーブル4[[#This Row],[inner温度'[℃']]]+Q$3-20))</f>
        <v>0.14182945499999278</v>
      </c>
      <c r="R9" s="177">
        <f>寸法→圧入力!F$25*(1+寸法→圧入力!D$31*10^-6*(テーブル4[[#This Row],[inner温度'[℃']]]-20)) - 寸法→圧入力!D$35*(1+寸法→圧入力!D$40*10^-6*(テーブル4[[#This Row],[inner温度'[℃']]]+R$3-20))</f>
        <v>0.13240045499999553</v>
      </c>
      <c r="S9" s="177">
        <f>寸法→圧入力!F$25*(1+寸法→圧入力!D$31*10^-6*(テーブル4[[#This Row],[inner温度'[℃']]]-20)) - 寸法→圧入力!D$35*(1+寸法→圧入力!D$40*10^-6*(テーブル4[[#This Row],[inner温度'[℃']]]+S$3-20))</f>
        <v>0.12297145499999829</v>
      </c>
      <c r="T9" s="177">
        <f>寸法→圧入力!F$25*(1+寸法→圧入力!D$31*10^-6*(テーブル4[[#This Row],[inner温度'[℃']]]-20)) - 寸法→圧入力!D$35*(1+寸法→圧入力!D$40*10^-6*(テーブル4[[#This Row],[inner温度'[℃']]]+T$3-20))</f>
        <v>0.11354245500000104</v>
      </c>
      <c r="U9" s="177">
        <f>寸法→圧入力!F$25*(1+寸法→圧入力!D$31*10^-6*(テーブル4[[#This Row],[inner温度'[℃']]]-20)) - 寸法→圧入力!D$35*(1+寸法→圧入力!D$40*10^-6*(テーブル4[[#This Row],[inner温度'[℃']]]+U$3-20))</f>
        <v>0.10411345499999669</v>
      </c>
      <c r="V9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56.996821646990234</v>
      </c>
      <c r="W9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53.652297761726679</v>
      </c>
      <c r="X9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50.307773876463116</v>
      </c>
      <c r="Y9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46.963249991202076</v>
      </c>
      <c r="Z9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43.618726105941022</v>
      </c>
      <c r="AA9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40.274202220679982</v>
      </c>
      <c r="AB9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36.929678335416419</v>
      </c>
      <c r="AC9" s="99">
        <f>テーブル4[[#This Row],[半径方向応力:Δ-30℃]]*2*寸法→圧入力!D$25^2/(寸法→圧入力!D$25^2-寸法→圧入力!F$26^2)</f>
        <v>291.09714835030763</v>
      </c>
      <c r="AD9" s="99">
        <f>テーブル4[[#This Row],[半径方向応力:Δ-20℃]]*2*寸法→圧入力!D$25^2/(寸法→圧入力!D$25^2-寸法→圧入力!F$26^2)</f>
        <v>274.01582105069804</v>
      </c>
      <c r="AE9" s="99">
        <f>テーブル4[[#This Row],[半径方向応力:Δ-10℃]]*2*寸法→圧入力!D$25^2/(寸法→圧入力!D$25^2-寸法→圧入力!F$26^2)</f>
        <v>256.93449375108844</v>
      </c>
      <c r="AF9" s="99">
        <f>テーブル4[[#This Row],[半径方向応力:Δ0℃]]*2*寸法→圧入力!D$25^2/(寸法→圧入力!D$25^2-寸法→圧入力!F$26^2)</f>
        <v>239.85316645149172</v>
      </c>
      <c r="AG9" s="99">
        <f>テーブル4[[#This Row],[半径方向応力:Δ+10℃]]*2*寸法→圧入力!D$25^2/(寸法→圧入力!D$25^2-寸法→圧入力!F$26^2)</f>
        <v>222.77183915189491</v>
      </c>
      <c r="AH9" s="99">
        <f>テーブル4[[#This Row],[半径方向応力:Δ+20℃]]*2*寸法→圧入力!D$25^2/(寸法→圧入力!D$25^2-寸法→圧入力!F$26^2)</f>
        <v>205.69051185229819</v>
      </c>
      <c r="AI9" s="99">
        <f>テーブル4[[#This Row],[半径方向応力:Δ+30℃]]*2*寸法→圧入力!D$25^2/(寸法→圧入力!D$25^2-寸法→圧入力!F$26^2)</f>
        <v>188.60918455268856</v>
      </c>
      <c r="AJ9" s="99">
        <f>寸法→圧入力!$D$32</f>
        <v>345</v>
      </c>
      <c r="AK9" s="99">
        <f>テーブル4[[#This Row],[半径方向応力:Δ-30℃]]* (1+(寸法→圧入力!D$36/寸法→圧入力!F$35)^2)/((寸法→圧入力!D$36/寸法→圧入力!F$35)^2-1)</f>
        <v>111.56963948649752</v>
      </c>
      <c r="AL9" s="99">
        <f>テーブル4[[#This Row],[半径方向応力:Δ-20℃]]* (1+(寸法→圧入力!D$36/寸法→圧入力!F$35)^2)/((寸法→圧入力!D$36/寸法→圧入力!F$35)^2-1)</f>
        <v>105.02283014958532</v>
      </c>
      <c r="AM9" s="99">
        <f>テーブル4[[#This Row],[半径方向応力:Δ-10℃]]* (1+(寸法→圧入力!D$36/寸法→圧入力!F$35)^2)/((寸法→圧入力!D$36/寸法→圧入力!F$35)^2-1)</f>
        <v>98.476020812673113</v>
      </c>
      <c r="AN9" s="99">
        <f>テーブル4[[#This Row],[半径方向応力:Δ0℃]]* (1+(寸法→圧入力!D$36/寸法→圧入力!F$35)^2)/((寸法→圧入力!D$36/寸法→圧入力!F$35)^2-1)</f>
        <v>91.92921147576584</v>
      </c>
      <c r="AO9" s="99">
        <f>テーブル4[[#This Row],[半径方向応力:Δ+10℃]]* (1+(寸法→圧入力!D$36/寸法→圧入力!F$35)^2)/((寸法→圧入力!D$36/寸法→圧入力!F$35)^2-1)</f>
        <v>85.382402138858538</v>
      </c>
      <c r="AP9" s="99">
        <f>テーブル4[[#This Row],[半径方向応力:Δ+20℃]]* (1+(寸法→圧入力!D$36/寸法→圧入力!F$35)^2)/((寸法→圧入力!D$36/寸法→圧入力!F$35)^2-1)</f>
        <v>78.835592801951265</v>
      </c>
      <c r="AQ9" s="99">
        <f>テーブル4[[#This Row],[半径方向応力:Δ+30℃]]* (1+(寸法→圧入力!D$36/寸法→圧入力!F$35)^2)/((寸法→圧入力!D$36/寸法→圧入力!F$35)^2-1)</f>
        <v>72.28878346503906</v>
      </c>
      <c r="AR9" s="99">
        <f>寸法→圧入力!$D$41</f>
        <v>150</v>
      </c>
    </row>
    <row r="10" spans="1:44">
      <c r="A10" s="177">
        <f t="shared" si="0"/>
        <v>0.04</v>
      </c>
      <c r="B10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13.839546277769466</v>
      </c>
      <c r="C10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14.014236292853836</v>
      </c>
      <c r="D10" s="99">
        <f>(A10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14.188244290007511</v>
      </c>
      <c r="E10" s="99">
        <f>テーブル3[[#This Row],[半径方向応力min]]*寸法→圧入力!D$48*寸法→圧入力!D$6/1000</f>
        <v>2.4111155624824283</v>
      </c>
      <c r="F10" s="99">
        <f>テーブル3[[#This Row],[半径方向応力min]]*寸法→圧入力!E$48*寸法→圧入力!E$6/1000</f>
        <v>3.0791218871613522</v>
      </c>
      <c r="G10" s="99">
        <f>テーブル3[[#This Row],[半径方向応力min]]*寸法→圧入力!F$48*寸法→圧入力!F$6/1000</f>
        <v>3.7739746368737932</v>
      </c>
      <c r="H10" s="99">
        <f>寸法→圧入力!$D$32</f>
        <v>345</v>
      </c>
      <c r="I10" s="99">
        <f>寸法→圧入力!$D$41</f>
        <v>150</v>
      </c>
      <c r="J10" s="99">
        <f>テーブル3[[#This Row],[半径方向応力nor]]*2*寸法→圧入力!E$25^2/(寸法→圧入力!E$25^2-寸法→圧入力!E$26^2)</f>
        <v>70.922941753213649</v>
      </c>
      <c r="K10" s="99">
        <f>テーブル3[[#This Row],[半径方向応力nor]]* (1+(寸法→圧入力!E$36/寸法→圧入力!E$35)^2)/((寸法→圧入力!E$36/寸法→圧入力!E$35)^2-1)</f>
        <v>26.924305346405774</v>
      </c>
      <c r="N10">
        <f t="shared" si="1"/>
        <v>-30</v>
      </c>
      <c r="O10" s="177">
        <f>寸法→圧入力!F$25*(1+寸法→圧入力!D$31*10^-6*(テーブル4[[#This Row],[inner温度'[℃']]]-20)) - 寸法→圧入力!D$35*(1+寸法→圧入力!D$40*10^-6*(テーブル4[[#This Row],[inner温度'[℃']]]+O$3-20))</f>
        <v>0.15865104999999602</v>
      </c>
      <c r="P10" s="177">
        <f>寸法→圧入力!F$25*(1+寸法→圧入力!D$31*10^-6*(テーブル4[[#This Row],[inner温度'[℃']]]-20)) - 寸法→圧入力!D$35*(1+寸法→圧入力!D$40*10^-6*(テーブル4[[#This Row],[inner温度'[℃']]]+P$3-20))</f>
        <v>0.14922204999999877</v>
      </c>
      <c r="Q10" s="177">
        <f>寸法→圧入力!F$25*(1+寸法→圧入力!D$31*10^-6*(テーブル4[[#This Row],[inner温度'[℃']]]-20)) - 寸法→圧入力!D$35*(1+寸法→圧入力!D$40*10^-6*(テーブル4[[#This Row],[inner温度'[℃']]]+Q$3-20))</f>
        <v>0.13979305000000153</v>
      </c>
      <c r="R10" s="177">
        <f>寸法→圧入力!F$25*(1+寸法→圧入力!D$31*10^-6*(テーブル4[[#This Row],[inner温度'[℃']]]-20)) - 寸法→圧入力!D$35*(1+寸法→圧入力!D$40*10^-6*(テーブル4[[#This Row],[inner温度'[℃']]]+R$3-20))</f>
        <v>0.13036404999999718</v>
      </c>
      <c r="S10" s="177">
        <f>寸法→圧入力!F$25*(1+寸法→圧入力!D$31*10^-6*(テーブル4[[#This Row],[inner温度'[℃']]]-20)) - 寸法→圧入力!D$35*(1+寸法→圧入力!D$40*10^-6*(テーブル4[[#This Row],[inner温度'[℃']]]+S$3-20))</f>
        <v>0.12093504999999283</v>
      </c>
      <c r="T10" s="177">
        <f>寸法→圧入力!F$25*(1+寸法→圧入力!D$31*10^-6*(テーブル4[[#This Row],[inner温度'[℃']]]-20)) - 寸法→圧入力!D$35*(1+寸法→圧入力!D$40*10^-6*(テーブル4[[#This Row],[inner温度'[℃']]]+T$3-20))</f>
        <v>0.11150604999999558</v>
      </c>
      <c r="U10" s="177">
        <f>寸法→圧入力!F$25*(1+寸法→圧入力!D$31*10^-6*(テーブル4[[#This Row],[inner温度'[℃']]]-20)) - 寸法→圧入力!D$35*(1+寸法→圧入力!D$40*10^-6*(テーブル4[[#This Row],[inner温度'[℃']]]+U$3-20))</f>
        <v>0.10207704999999834</v>
      </c>
      <c r="V10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56.274496356653486</v>
      </c>
      <c r="W10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52.929972471392446</v>
      </c>
      <c r="X10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49.585448586131399</v>
      </c>
      <c r="Y10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46.240924700867829</v>
      </c>
      <c r="Z10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42.896400815604274</v>
      </c>
      <c r="AA10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39.551876930343226</v>
      </c>
      <c r="AB10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36.207353045082186</v>
      </c>
      <c r="AC10" s="99">
        <f>テーブル4[[#This Row],[半径方向応力:Δ-30℃]]*2*寸法→圧入力!D$25^2/(寸法→圧入力!D$25^2-寸法→圧入力!F$26^2)</f>
        <v>287.40805085114141</v>
      </c>
      <c r="AD10" s="99">
        <f>テーブル4[[#This Row],[半径方向応力:Δ-20℃]]*2*寸法→圧入力!D$25^2/(寸法→圧入力!D$25^2-寸法→圧入力!F$26^2)</f>
        <v>270.32672355154466</v>
      </c>
      <c r="AE10" s="99">
        <f>テーブル4[[#This Row],[半径方向応力:Δ-10℃]]*2*寸法→圧入力!D$25^2/(寸法→圧入力!D$25^2-寸法→圧入力!F$26^2)</f>
        <v>253.24539625194791</v>
      </c>
      <c r="AF10" s="99">
        <f>テーブル4[[#This Row],[半径方向応力:Δ0℃]]*2*寸法→圧入力!D$25^2/(寸法→圧入力!D$25^2-寸法→圧入力!F$26^2)</f>
        <v>236.16406895233823</v>
      </c>
      <c r="AG10" s="99">
        <f>テーブル4[[#This Row],[半径方向応力:Δ+10℃]]*2*寸法→圧入力!D$25^2/(寸法→圧入力!D$25^2-寸法→圧入力!F$26^2)</f>
        <v>219.08274165272869</v>
      </c>
      <c r="AH10" s="99">
        <f>テーブル4[[#This Row],[半径方向応力:Δ+20℃]]*2*寸法→圧入力!D$25^2/(寸法→圧入力!D$25^2-寸法→圧入力!F$26^2)</f>
        <v>202.00141435313188</v>
      </c>
      <c r="AI10" s="99">
        <f>テーブル4[[#This Row],[半径方向応力:Δ+30℃]]*2*寸法→圧入力!D$25^2/(寸法→圧入力!D$25^2-寸法→圧入力!F$26^2)</f>
        <v>184.92008705353518</v>
      </c>
      <c r="AJ10" s="99">
        <f>寸法→圧入力!$D$32</f>
        <v>345</v>
      </c>
      <c r="AK10" s="99">
        <f>テーブル4[[#This Row],[半径方向応力:Δ-30℃]]* (1+(寸法→圧入力!D$36/寸法→圧入力!F$35)^2)/((寸法→圧入力!D$36/寸法→圧入力!F$35)^2-1)</f>
        <v>110.15570850041583</v>
      </c>
      <c r="AL10" s="99">
        <f>テーブル4[[#This Row],[半径方向応力:Δ-20℃]]* (1+(寸法→圧入力!D$36/寸法→圧入力!F$35)^2)/((寸法→圧入力!D$36/寸法→圧入力!F$35)^2-1)</f>
        <v>103.60889916350857</v>
      </c>
      <c r="AM10" s="99">
        <f>テーブル4[[#This Row],[半径方向応力:Δ-10℃]]* (1+(寸法→圧入力!D$36/寸法→圧入力!F$35)^2)/((寸法→圧入力!D$36/寸法→圧入力!F$35)^2-1)</f>
        <v>97.06208982660128</v>
      </c>
      <c r="AN10" s="99">
        <f>テーブル4[[#This Row],[半径方向応力:Δ0℃]]* (1+(寸法→圧入力!D$36/寸法→圧入力!F$35)^2)/((寸法→圧入力!D$36/寸法→圧入力!F$35)^2-1)</f>
        <v>90.515280489689061</v>
      </c>
      <c r="AO10" s="99">
        <f>テーブル4[[#This Row],[半径方向応力:Δ+10℃]]* (1+(寸法→圧入力!D$36/寸法→圧入力!F$35)^2)/((寸法→圧入力!D$36/寸法→圧入力!F$35)^2-1)</f>
        <v>83.968471152776857</v>
      </c>
      <c r="AP10" s="99">
        <f>テーブル4[[#This Row],[半径方向応力:Δ+20℃]]* (1+(寸法→圧入力!D$36/寸法→圧入力!F$35)^2)/((寸法→圧入力!D$36/寸法→圧入力!F$35)^2-1)</f>
        <v>77.42166181586957</v>
      </c>
      <c r="AQ10" s="99">
        <f>テーブル4[[#This Row],[半径方向応力:Δ+30℃]]* (1+(寸法→圧入力!D$36/寸法→圧入力!F$35)^2)/((寸法→圧入力!D$36/寸法→圧入力!F$35)^2-1)</f>
        <v>70.874852478962296</v>
      </c>
      <c r="AR10" s="99">
        <f>寸法→圧入力!$D$41</f>
        <v>150</v>
      </c>
    </row>
    <row r="11" spans="1:44">
      <c r="A11" s="177">
        <f t="shared" si="0"/>
        <v>0.05</v>
      </c>
      <c r="B11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17.299432847211833</v>
      </c>
      <c r="C11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17.517795366067293</v>
      </c>
      <c r="D11" s="99">
        <f>(A11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17.735305362509386</v>
      </c>
      <c r="E11" s="99">
        <f>テーブル3[[#This Row],[半径方向応力min]]*寸法→圧入力!D$48*寸法→圧入力!D$6/1000</f>
        <v>3.0138944531030347</v>
      </c>
      <c r="F11" s="99">
        <f>テーブル3[[#This Row],[半径方向応力min]]*寸法→圧入力!E$48*寸法→圧入力!E$6/1000</f>
        <v>3.8489023589516904</v>
      </c>
      <c r="G11" s="99">
        <f>テーブル3[[#This Row],[半径方向応力min]]*寸法→圧入力!F$48*寸法→圧入力!F$6/1000</f>
        <v>4.7174682960922416</v>
      </c>
      <c r="H11" s="99">
        <f>寸法→圧入力!$D$32</f>
        <v>345</v>
      </c>
      <c r="I11" s="99">
        <f>寸法→圧入力!$D$41</f>
        <v>150</v>
      </c>
      <c r="J11" s="99">
        <f>テーブル3[[#This Row],[半径方向応力nor]]*2*寸法→圧入力!E$25^2/(寸法→圧入力!E$25^2-寸法→圧入力!E$26^2)</f>
        <v>88.653677191517048</v>
      </c>
      <c r="K11" s="99">
        <f>テーブル3[[#This Row],[半径方向応力nor]]* (1+(寸法→圧入力!E$36/寸法→圧入力!E$35)^2)/((寸法→圧入力!E$36/寸法→圧入力!E$35)^2-1)</f>
        <v>33.655381683007214</v>
      </c>
      <c r="N11">
        <f t="shared" si="1"/>
        <v>-25</v>
      </c>
      <c r="O11" s="177">
        <f>寸法→圧入力!F$25*(1+寸法→圧入力!D$31*10^-6*(テーブル4[[#This Row],[inner温度'[℃']]]-20)) - 寸法→圧入力!D$35*(1+寸法→圧入力!D$40*10^-6*(テーブル4[[#This Row],[inner温度'[℃']]]+O$3-20))</f>
        <v>0.15661464499999767</v>
      </c>
      <c r="P11" s="177">
        <f>寸法→圧入力!F$25*(1+寸法→圧入力!D$31*10^-6*(テーブル4[[#This Row],[inner温度'[℃']]]-20)) - 寸法→圧入力!D$35*(1+寸法→圧入力!D$40*10^-6*(テーブル4[[#This Row],[inner温度'[℃']]]+P$3-20))</f>
        <v>0.14718564499999331</v>
      </c>
      <c r="Q11" s="177">
        <f>寸法→圧入力!F$25*(1+寸法→圧入力!D$31*10^-6*(テーブル4[[#This Row],[inner温度'[℃']]]-20)) - 寸法→圧入力!D$35*(1+寸法→圧入力!D$40*10^-6*(テーブル4[[#This Row],[inner温度'[℃']]]+Q$3-20))</f>
        <v>0.13775664499999607</v>
      </c>
      <c r="R11" s="177">
        <f>寸法→圧入力!F$25*(1+寸法→圧入力!D$31*10^-6*(テーブル4[[#This Row],[inner温度'[℃']]]-20)) - 寸法→圧入力!D$35*(1+寸法→圧入力!D$40*10^-6*(テーブル4[[#This Row],[inner温度'[℃']]]+R$3-20))</f>
        <v>0.12832764499999882</v>
      </c>
      <c r="S11" s="177">
        <f>寸法→圧入力!F$25*(1+寸法→圧入力!D$31*10^-6*(テーブル4[[#This Row],[inner温度'[℃']]]-20)) - 寸法→圧入力!D$35*(1+寸法→圧入力!D$40*10^-6*(テーブル4[[#This Row],[inner温度'[℃']]]+S$3-20))</f>
        <v>0.11889864500000158</v>
      </c>
      <c r="T11" s="177">
        <f>寸法→圧入力!F$25*(1+寸法→圧入力!D$31*10^-6*(テーブル4[[#This Row],[inner温度'[℃']]]-20)) - 寸法→圧入力!D$35*(1+寸法→圧入力!D$40*10^-6*(テーブル4[[#This Row],[inner温度'[℃']]]+T$3-20))</f>
        <v>0.10946964499999723</v>
      </c>
      <c r="U11" s="177">
        <f>寸法→圧入力!F$25*(1+寸法→圧入力!D$31*10^-6*(テーブル4[[#This Row],[inner温度'[℃']]]-20)) - 寸法→圧入力!D$35*(1+寸法→圧入力!D$40*10^-6*(テーブル4[[#This Row],[inner温度'[℃']]]+U$3-20))</f>
        <v>0.10004064499999288</v>
      </c>
      <c r="V11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55.552171066319254</v>
      </c>
      <c r="W11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52.207647181055691</v>
      </c>
      <c r="X11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48.863123295794651</v>
      </c>
      <c r="Y11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45.518599410533596</v>
      </c>
      <c r="Z11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42.174075525272556</v>
      </c>
      <c r="AA11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38.829551640008994</v>
      </c>
      <c r="AB11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35.485027754745431</v>
      </c>
      <c r="AC11" s="99">
        <f>テーブル4[[#This Row],[半径方向応力:Δ-30℃]]*2*寸法→圧入力!D$25^2/(寸法→圧入力!D$25^2-寸法→圧入力!F$26^2)</f>
        <v>283.71895335198803</v>
      </c>
      <c r="AD11" s="99">
        <f>テーブル4[[#This Row],[半径方向応力:Δ-20℃]]*2*寸法→圧入力!D$25^2/(寸法→圧入力!D$25^2-寸法→圧入力!F$26^2)</f>
        <v>266.63762605237838</v>
      </c>
      <c r="AE11" s="99">
        <f>テーブル4[[#This Row],[半径方向応力:Δ-10℃]]*2*寸法→圧入力!D$25^2/(寸法→圧入力!D$25^2-寸法→圧入力!F$26^2)</f>
        <v>249.55629875278169</v>
      </c>
      <c r="AF11" s="99">
        <f>テーブル4[[#This Row],[半径方向応力:Δ0℃]]*2*寸法→圧入力!D$25^2/(寸法→圧入力!D$25^2-寸法→圧入力!F$26^2)</f>
        <v>232.47497145318485</v>
      </c>
      <c r="AG11" s="99">
        <f>テーブル4[[#This Row],[半径方向応力:Δ+10℃]]*2*寸法→圧入力!D$25^2/(寸法→圧入力!D$25^2-寸法→圧入力!F$26^2)</f>
        <v>215.39364415358813</v>
      </c>
      <c r="AH11" s="99">
        <f>テーブル4[[#This Row],[半径方向応力:Δ+20℃]]*2*寸法→圧入力!D$25^2/(寸法→圧入力!D$25^2-寸法→圧入力!F$26^2)</f>
        <v>198.3123168539785</v>
      </c>
      <c r="AI11" s="99">
        <f>テーブル4[[#This Row],[半径方向応力:Δ+30℃]]*2*寸法→圧入力!D$25^2/(寸法→圧入力!D$25^2-寸法→圧入力!F$26^2)</f>
        <v>181.23098955436893</v>
      </c>
      <c r="AJ11" s="99">
        <f>寸法→圧入力!$D$32</f>
        <v>345</v>
      </c>
      <c r="AK11" s="99">
        <f>テーブル4[[#This Row],[半径方向応力:Δ-30℃]]* (1+(寸法→圧入力!D$36/寸法→圧入力!F$35)^2)/((寸法→圧入力!D$36/寸法→圧入力!F$35)^2-1)</f>
        <v>108.74177751433908</v>
      </c>
      <c r="AL11" s="99">
        <f>テーブル4[[#This Row],[半径方向応力:Δ-20℃]]* (1+(寸法→圧入力!D$36/寸法→圧入力!F$35)^2)/((寸法→圧入力!D$36/寸法→圧入力!F$35)^2-1)</f>
        <v>102.19496817742686</v>
      </c>
      <c r="AM11" s="99">
        <f>テーブル4[[#This Row],[半径方向応力:Δ-10℃]]* (1+(寸法→圧入力!D$36/寸法→圧入力!F$35)^2)/((寸法→圧入力!D$36/寸法→圧入力!F$35)^2-1)</f>
        <v>95.648158840519599</v>
      </c>
      <c r="AN11" s="99">
        <f>テーブル4[[#This Row],[半径方向応力:Δ0℃]]* (1+(寸法→圧入力!D$36/寸法→圧入力!F$35)^2)/((寸法→圧入力!D$36/寸法→圧入力!F$35)^2-1)</f>
        <v>89.101349503612283</v>
      </c>
      <c r="AO11" s="99">
        <f>テーブル4[[#This Row],[半径方向応力:Δ+10℃]]* (1+(寸法→圧入力!D$36/寸法→圧入力!F$35)^2)/((寸法→圧入力!D$36/寸法→圧入力!F$35)^2-1)</f>
        <v>82.554540166705024</v>
      </c>
      <c r="AP11" s="99">
        <f>テーブル4[[#This Row],[半径方向応力:Δ+20℃]]* (1+(寸法→圧入力!D$36/寸法→圧入力!F$35)^2)/((寸法→圧入力!D$36/寸法→圧入力!F$35)^2-1)</f>
        <v>76.00773082979282</v>
      </c>
      <c r="AQ11" s="99">
        <f>テーブル4[[#This Row],[半径方向応力:Δ+30℃]]* (1+(寸法→圧入力!D$36/寸法→圧入力!F$35)^2)/((寸法→圧入力!D$36/寸法→圧入力!F$35)^2-1)</f>
        <v>69.460921492880601</v>
      </c>
      <c r="AR11" s="99">
        <f>寸法→圧入力!$D$41</f>
        <v>150</v>
      </c>
    </row>
    <row r="12" spans="1:44">
      <c r="A12" s="177">
        <f t="shared" si="0"/>
        <v>0.06</v>
      </c>
      <c r="B12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20.759319416654197</v>
      </c>
      <c r="C12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21.021354439280753</v>
      </c>
      <c r="D12" s="99">
        <f>(A12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21.282366435011262</v>
      </c>
      <c r="E12" s="99">
        <f>テーブル3[[#This Row],[半径方向応力min]]*寸法→圧入力!D$48*寸法→圧入力!D$6/1000</f>
        <v>3.6166733437236411</v>
      </c>
      <c r="F12" s="99">
        <f>テーブル3[[#This Row],[半径方向応力min]]*寸法→圧入力!E$48*寸法→圧入力!E$6/1000</f>
        <v>4.6186828307420287</v>
      </c>
      <c r="G12" s="99">
        <f>テーブル3[[#This Row],[半径方向応力min]]*寸法→圧入力!F$48*寸法→圧入力!F$6/1000</f>
        <v>5.6609619553106896</v>
      </c>
      <c r="H12" s="99">
        <f>寸法→圧入力!$D$32</f>
        <v>345</v>
      </c>
      <c r="I12" s="99">
        <f>寸法→圧入力!$D$41</f>
        <v>150</v>
      </c>
      <c r="J12" s="99">
        <f>テーブル3[[#This Row],[半径方向応力nor]]*2*寸法→圧入力!E$25^2/(寸法→圧入力!E$25^2-寸法→圧入力!E$26^2)</f>
        <v>106.38441262982045</v>
      </c>
      <c r="K12" s="99">
        <f>テーブル3[[#This Row],[半径方向応力nor]]* (1+(寸法→圧入力!E$36/寸法→圧入力!E$35)^2)/((寸法→圧入力!E$36/寸法→圧入力!E$35)^2-1)</f>
        <v>40.386458019608661</v>
      </c>
      <c r="N12">
        <f>N11+5</f>
        <v>-20</v>
      </c>
      <c r="O12" s="177">
        <f>寸法→圧入力!F$25*(1+寸法→圧入力!D$31*10^-6*(テーブル4[[#This Row],[inner温度'[℃']]]-20)) - 寸法→圧入力!D$35*(1+寸法→圧入力!D$40*10^-6*(テーブル4[[#This Row],[inner温度'[℃']]]+O$3-20))</f>
        <v>0.15457823999999931</v>
      </c>
      <c r="P12" s="177">
        <f>寸法→圧入力!F$25*(1+寸法→圧入力!D$31*10^-6*(テーブル4[[#This Row],[inner温度'[℃']]]-20)) - 寸法→圧入力!D$35*(1+寸法→圧入力!D$40*10^-6*(テーブル4[[#This Row],[inner温度'[℃']]]+P$3-20))</f>
        <v>0.14514924000000207</v>
      </c>
      <c r="Q12" s="177">
        <f>寸法→圧入力!F$25*(1+寸法→圧入力!D$31*10^-6*(テーブル4[[#This Row],[inner温度'[℃']]]-20)) - 寸法→圧入力!D$35*(1+寸法→圧入力!D$40*10^-6*(テーブル4[[#This Row],[inner温度'[℃']]]+Q$3-20))</f>
        <v>0.13572023999999772</v>
      </c>
      <c r="R12" s="177">
        <f>寸法→圧入力!F$25*(1+寸法→圧入力!D$31*10^-6*(テーブル4[[#This Row],[inner温度'[℃']]]-20)) - 寸法→圧入力!D$35*(1+寸法→圧入力!D$40*10^-6*(テーブル4[[#This Row],[inner温度'[℃']]]+R$3-20))</f>
        <v>0.12629123999999337</v>
      </c>
      <c r="S12" s="177">
        <f>寸法→圧入力!F$25*(1+寸法→圧入力!D$31*10^-6*(テーブル4[[#This Row],[inner温度'[℃']]]-20)) - 寸法→圧入力!D$35*(1+寸法→圧入力!D$40*10^-6*(テーブル4[[#This Row],[inner温度'[℃']]]+S$3-20))</f>
        <v>0.11686223999999612</v>
      </c>
      <c r="T12" s="177">
        <f>寸法→圧入力!F$25*(1+寸法→圧入力!D$31*10^-6*(テーブル4[[#This Row],[inner温度'[℃']]]-20)) - 寸法→圧入力!D$35*(1+寸法→圧入力!D$40*10^-6*(テーブル4[[#This Row],[inner温度'[℃']]]+T$3-20))</f>
        <v>0.10743323999999888</v>
      </c>
      <c r="U12" s="177">
        <f>寸法→圧入力!F$25*(1+寸法→圧入力!D$31*10^-6*(テーブル4[[#This Row],[inner温度'[℃']]]-20)) - 寸法→圧入力!D$35*(1+寸法→圧入力!D$40*10^-6*(テーブル4[[#This Row],[inner温度'[℃']]]+U$3-20))</f>
        <v>9.800424000000163E-2</v>
      </c>
      <c r="V12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54.829845775985014</v>
      </c>
      <c r="W12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51.485321890723974</v>
      </c>
      <c r="X12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48.140798005460404</v>
      </c>
      <c r="Y12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44.796274120196848</v>
      </c>
      <c r="Z12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41.451750234935801</v>
      </c>
      <c r="AA12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38.107226349674761</v>
      </c>
      <c r="AB12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34.762702464413721</v>
      </c>
      <c r="AC12" s="99">
        <f>テーブル4[[#This Row],[半径方向応力:Δ-30℃]]*2*寸法→圧入力!D$25^2/(寸法→圧入力!D$25^2-寸法→圧入力!F$26^2)</f>
        <v>280.0298558528346</v>
      </c>
      <c r="AD12" s="99">
        <f>テーブル4[[#This Row],[半径方向応力:Δ-20℃]]*2*寸法→圧入力!D$25^2/(寸法→圧入力!D$25^2-寸法→圧入力!F$26^2)</f>
        <v>262.94852855323785</v>
      </c>
      <c r="AE12" s="99">
        <f>テーブル4[[#This Row],[半径方向応力:Δ-10℃]]*2*寸法→圧入力!D$25^2/(寸法→圧入力!D$25^2-寸法→圧入力!F$26^2)</f>
        <v>245.86720125362822</v>
      </c>
      <c r="AF12" s="99">
        <f>テーブル4[[#This Row],[半径方向応力:Δ0℃]]*2*寸法→圧入力!D$25^2/(寸法→圧入力!D$25^2-寸法→圧入力!F$26^2)</f>
        <v>228.78587395401863</v>
      </c>
      <c r="AG12" s="99">
        <f>テーブル4[[#This Row],[半径方向応力:Δ+10℃]]*2*寸法→圧入力!D$25^2/(寸法→圧入力!D$25^2-寸法→圧入力!F$26^2)</f>
        <v>211.70454665442185</v>
      </c>
      <c r="AH12" s="99">
        <f>テーブル4[[#This Row],[半径方向応力:Δ+20℃]]*2*寸法→圧入力!D$25^2/(寸法→圧入力!D$25^2-寸法→圧入力!F$26^2)</f>
        <v>194.62321935482512</v>
      </c>
      <c r="AI12" s="99">
        <f>テーブル4[[#This Row],[半径方向応力:Δ+30℃]]*2*寸法→圧入力!D$25^2/(寸法→圧入力!D$25^2-寸法→圧入力!F$26^2)</f>
        <v>177.54189205522837</v>
      </c>
      <c r="AJ12" s="99">
        <f>寸法→圧入力!$D$32</f>
        <v>345</v>
      </c>
      <c r="AK12" s="99">
        <f>テーブル4[[#This Row],[半径方向応力:Δ-30℃]]* (1+(寸法→圧入力!D$36/寸法→圧入力!F$35)^2)/((寸法→圧入力!D$36/寸法→圧入力!F$35)^2-1)</f>
        <v>107.3278465282623</v>
      </c>
      <c r="AL12" s="99">
        <f>テーブル4[[#This Row],[半径方向応力:Δ-20℃]]* (1+(寸法→圧入力!D$36/寸法→圧入力!F$35)^2)/((寸法→圧入力!D$36/寸法→圧入力!F$35)^2-1)</f>
        <v>100.78103719135504</v>
      </c>
      <c r="AM12" s="99">
        <f>テーブル4[[#This Row],[半径方向応力:Δ-10℃]]* (1+(寸法→圧入力!D$36/寸法→圧入力!F$35)^2)/((寸法→圧入力!D$36/寸法→圧入力!F$35)^2-1)</f>
        <v>94.234227854442821</v>
      </c>
      <c r="AN12" s="99">
        <f>テーブル4[[#This Row],[半径方向応力:Δ0℃]]* (1+(寸法→圧入力!D$36/寸法→圧入力!F$35)^2)/((寸法→圧入力!D$36/寸法→圧入力!F$35)^2-1)</f>
        <v>87.687418517530617</v>
      </c>
      <c r="AO12" s="99">
        <f>テーブル4[[#This Row],[半径方向応力:Δ+10℃]]* (1+(寸法→圧入力!D$36/寸法→圧入力!F$35)^2)/((寸法→圧入力!D$36/寸法→圧入力!F$35)^2-1)</f>
        <v>81.140609180623329</v>
      </c>
      <c r="AP12" s="99">
        <f>テーブル4[[#This Row],[半径方向応力:Δ+20℃]]* (1+(寸法→圧入力!D$36/寸法→圧入力!F$35)^2)/((寸法→圧入力!D$36/寸法→圧入力!F$35)^2-1)</f>
        <v>74.593799843716056</v>
      </c>
      <c r="AQ12" s="99">
        <f>テーブル4[[#This Row],[半径方向応力:Δ+30℃]]* (1+(寸法→圧入力!D$36/寸法→圧入力!F$35)^2)/((寸法→圧入力!D$36/寸法→圧入力!F$35)^2-1)</f>
        <v>68.046990506808783</v>
      </c>
      <c r="AR12" s="99">
        <f>寸法→圧入力!$D$41</f>
        <v>150</v>
      </c>
    </row>
    <row r="13" spans="1:44">
      <c r="A13" s="177">
        <f t="shared" si="0"/>
        <v>7.0000000000000007E-2</v>
      </c>
      <c r="B13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24.219205986096568</v>
      </c>
      <c r="C13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24.524913512494212</v>
      </c>
      <c r="D13" s="99">
        <f>(A13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24.829427507513145</v>
      </c>
      <c r="E13" s="99">
        <f>テーブル3[[#This Row],[半径方向応力min]]*寸法→圧入力!D$48*寸法→圧入力!D$6/1000</f>
        <v>4.2194522343442493</v>
      </c>
      <c r="F13" s="99">
        <f>テーブル3[[#This Row],[半径方向応力min]]*寸法→圧入力!E$48*寸法→圧入力!E$6/1000</f>
        <v>5.3884633025323669</v>
      </c>
      <c r="G13" s="99">
        <f>テーブル3[[#This Row],[半径方向応力min]]*寸法→圧入力!F$48*寸法→圧入力!F$6/1000</f>
        <v>6.6044556145291393</v>
      </c>
      <c r="H13" s="99">
        <f>寸法→圧入力!$D$32</f>
        <v>345</v>
      </c>
      <c r="I13" s="99">
        <f>寸法→圧入力!$D$41</f>
        <v>150</v>
      </c>
      <c r="J13" s="99">
        <f>テーブル3[[#This Row],[半径方向応力nor]]*2*寸法→圧入力!E$25^2/(寸法→圧入力!E$25^2-寸法→圧入力!E$26^2)</f>
        <v>124.11514806812387</v>
      </c>
      <c r="K13" s="99">
        <f>テーブル3[[#This Row],[半径方向応力nor]]* (1+(寸法→圧入力!E$36/寸法→圧入力!E$35)^2)/((寸法→圧入力!E$36/寸法→圧入力!E$35)^2-1)</f>
        <v>47.117534356210101</v>
      </c>
      <c r="N13">
        <f t="shared" si="1"/>
        <v>-15</v>
      </c>
      <c r="O13" s="177">
        <f>寸法→圧入力!F$25*(1+寸法→圧入力!D$31*10^-6*(テーブル4[[#This Row],[inner温度'[℃']]]-20)) - 寸法→圧入力!D$35*(1+寸法→圧入力!D$40*10^-6*(テーブル4[[#This Row],[inner温度'[℃']]]+O$3-20))</f>
        <v>0.15254183499999385</v>
      </c>
      <c r="P13" s="177">
        <f>寸法→圧入力!F$25*(1+寸法→圧入力!D$31*10^-6*(テーブル4[[#This Row],[inner温度'[℃']]]-20)) - 寸法→圧入力!D$35*(1+寸法→圧入力!D$40*10^-6*(テーブル4[[#This Row],[inner温度'[℃']]]+P$3-20))</f>
        <v>0.14311283499999661</v>
      </c>
      <c r="Q13" s="177">
        <f>寸法→圧入力!F$25*(1+寸法→圧入力!D$31*10^-6*(テーブル4[[#This Row],[inner温度'[℃']]]-20)) - 寸法→圧入力!D$35*(1+寸法→圧入力!D$40*10^-6*(テーブル4[[#This Row],[inner温度'[℃']]]+Q$3-20))</f>
        <v>0.13368383499999936</v>
      </c>
      <c r="R13" s="177">
        <f>寸法→圧入力!F$25*(1+寸法→圧入力!D$31*10^-6*(テーブル4[[#This Row],[inner温度'[℃']]]-20)) - 寸法→圧入力!D$35*(1+寸法→圧入力!D$40*10^-6*(テーブル4[[#This Row],[inner温度'[℃']]]+R$3-20))</f>
        <v>0.12425483500000212</v>
      </c>
      <c r="S13" s="177">
        <f>寸法→圧入力!F$25*(1+寸法→圧入力!D$31*10^-6*(テーブル4[[#This Row],[inner温度'[℃']]]-20)) - 寸法→圧入力!D$35*(1+寸法→圧入力!D$40*10^-6*(テーブル4[[#This Row],[inner温度'[℃']]]+S$3-20))</f>
        <v>0.11482583499999777</v>
      </c>
      <c r="T13" s="177">
        <f>寸法→圧入力!F$25*(1+寸法→圧入力!D$31*10^-6*(テーブル4[[#This Row],[inner温度'[℃']]]-20)) - 寸法→圧入力!D$35*(1+寸法→圧入力!D$40*10^-6*(テーブル4[[#This Row],[inner温度'[℃']]]+T$3-20))</f>
        <v>0.10539683499999342</v>
      </c>
      <c r="U13" s="177">
        <f>寸法→圧入力!F$25*(1+寸法→圧入力!D$31*10^-6*(テーブル4[[#This Row],[inner温度'[℃']]]-20)) - 寸法→圧入力!D$35*(1+寸法→圧入力!D$40*10^-6*(テーブル4[[#This Row],[inner温度'[℃']]]+U$3-20))</f>
        <v>9.5967834999996171E-2</v>
      </c>
      <c r="V13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54.107520485648266</v>
      </c>
      <c r="W13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50.762996600387218</v>
      </c>
      <c r="X13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47.418472715126171</v>
      </c>
      <c r="Y13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44.073948829865131</v>
      </c>
      <c r="Z13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40.729424944601568</v>
      </c>
      <c r="AA13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37.384901059338006</v>
      </c>
      <c r="AB13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34.040377174076959</v>
      </c>
      <c r="AC13" s="99">
        <f>テーブル4[[#This Row],[半径方向応力:Δ-30℃]]*2*寸法→圧入力!D$25^2/(寸法→圧入力!D$25^2-寸法→圧入力!F$26^2)</f>
        <v>276.34075835366838</v>
      </c>
      <c r="AD13" s="99">
        <f>テーブル4[[#This Row],[半径方向応力:Δ-20℃]]*2*寸法→圧入力!D$25^2/(寸法→圧入力!D$25^2-寸法→圧入力!F$26^2)</f>
        <v>259.25943105407157</v>
      </c>
      <c r="AE13" s="99">
        <f>テーブル4[[#This Row],[半径方向応力:Δ-10℃]]*2*寸法→圧入力!D$25^2/(寸法→圧入力!D$25^2-寸法→圧入力!F$26^2)</f>
        <v>242.17810375447482</v>
      </c>
      <c r="AF13" s="99">
        <f>テーブル4[[#This Row],[半径方向応力:Δ0℃]]*2*寸法→圧入力!D$25^2/(寸法→圧入力!D$25^2-寸法→圧入力!F$26^2)</f>
        <v>225.0967764548781</v>
      </c>
      <c r="AG13" s="99">
        <f>テーブル4[[#This Row],[半径方向応力:Δ+10℃]]*2*寸法→圧入力!D$25^2/(寸法→圧入力!D$25^2-寸法→圧入力!F$26^2)</f>
        <v>208.01544915526847</v>
      </c>
      <c r="AH13" s="99">
        <f>テーブル4[[#This Row],[半径方向応力:Δ+20℃]]*2*寸法→圧入力!D$25^2/(寸法→圧入力!D$25^2-寸法→圧入力!F$26^2)</f>
        <v>190.93412185565887</v>
      </c>
      <c r="AI13" s="99">
        <f>テーブル4[[#This Row],[半径方向応力:Δ+30℃]]*2*寸法→圧入力!D$25^2/(寸法→圧入力!D$25^2-寸法→圧入力!F$26^2)</f>
        <v>173.85279455606209</v>
      </c>
      <c r="AJ13" s="99">
        <f>寸法→圧入力!$D$32</f>
        <v>345</v>
      </c>
      <c r="AK13" s="99">
        <f>テーブル4[[#This Row],[半径方向応力:Δ-30℃]]* (1+(寸法→圧入力!D$36/寸法→圧入力!F$35)^2)/((寸法→圧入力!D$36/寸法→圧入力!F$35)^2-1)</f>
        <v>105.91391554218062</v>
      </c>
      <c r="AL13" s="99">
        <f>テーブル4[[#This Row],[半径方向応力:Δ-20℃]]* (1+(寸法→圧入力!D$36/寸法→圧入力!F$35)^2)/((寸法→圧入力!D$36/寸法→圧入力!F$35)^2-1)</f>
        <v>99.367106205273345</v>
      </c>
      <c r="AM13" s="99">
        <f>テーブル4[[#This Row],[半径方向応力:Δ-10℃]]* (1+(寸法→圧入力!D$36/寸法→圧入力!F$35)^2)/((寸法→圧入力!D$36/寸法→圧入力!F$35)^2-1)</f>
        <v>92.820296868366057</v>
      </c>
      <c r="AN13" s="99">
        <f>テーブル4[[#This Row],[半径方向応力:Δ0℃]]* (1+(寸法→圧入力!D$36/寸法→圧入力!F$35)^2)/((寸法→圧入力!D$36/寸法→圧入力!F$35)^2-1)</f>
        <v>86.273487531458784</v>
      </c>
      <c r="AO13" s="99">
        <f>テーブル4[[#This Row],[半径方向応力:Δ+10℃]]* (1+(寸法→圧入力!D$36/寸法→圧入力!F$35)^2)/((寸法→圧入力!D$36/寸法→圧入力!F$35)^2-1)</f>
        <v>79.726678194546565</v>
      </c>
      <c r="AP13" s="99">
        <f>テーブル4[[#This Row],[半径方向応力:Δ+20℃]]* (1+(寸法→圧入力!D$36/寸法→圧入力!F$35)^2)/((寸法→圧入力!D$36/寸法→圧入力!F$35)^2-1)</f>
        <v>73.179868857634361</v>
      </c>
      <c r="AQ13" s="99">
        <f>テーブル4[[#This Row],[半径方向応力:Δ+30℃]]* (1+(寸法→圧入力!D$36/寸法→圧入力!F$35)^2)/((寸法→圧入力!D$36/寸法→圧入力!F$35)^2-1)</f>
        <v>66.633059520727073</v>
      </c>
      <c r="AR13" s="99">
        <f>寸法→圧入力!$D$41</f>
        <v>150</v>
      </c>
    </row>
    <row r="14" spans="1:44">
      <c r="A14" s="177">
        <f t="shared" si="0"/>
        <v>0.08</v>
      </c>
      <c r="B14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27.679092555538933</v>
      </c>
      <c r="C14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28.028472585707672</v>
      </c>
      <c r="D14" s="99">
        <f>(A14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28.376488580015021</v>
      </c>
      <c r="E14" s="99">
        <f>テーブル3[[#This Row],[半径方向応力min]]*寸法→圧入力!D$48*寸法→圧入力!D$6/1000</f>
        <v>4.8222311249648566</v>
      </c>
      <c r="F14" s="99">
        <f>テーブル3[[#This Row],[半径方向応力min]]*寸法→圧入力!E$48*寸法→圧入力!E$6/1000</f>
        <v>6.1582437743227043</v>
      </c>
      <c r="G14" s="99">
        <f>テーブル3[[#This Row],[半径方向応力min]]*寸法→圧入力!F$48*寸法→圧入力!F$6/1000</f>
        <v>7.5479492737475864</v>
      </c>
      <c r="H14" s="99">
        <f>寸法→圧入力!$D$32</f>
        <v>345</v>
      </c>
      <c r="I14" s="99">
        <f>寸法→圧入力!$D$41</f>
        <v>150</v>
      </c>
      <c r="J14" s="99">
        <f>テーブル3[[#This Row],[半径方向応力nor]]*2*寸法→圧入力!E$25^2/(寸法→圧入力!E$25^2-寸法→圧入力!E$26^2)</f>
        <v>141.8458835064273</v>
      </c>
      <c r="K14" s="99">
        <f>テーブル3[[#This Row],[半径方向応力nor]]* (1+(寸法→圧入力!E$36/寸法→圧入力!E$35)^2)/((寸法→圧入力!E$36/寸法→圧入力!E$35)^2-1)</f>
        <v>53.848610692811548</v>
      </c>
      <c r="N14">
        <f t="shared" si="1"/>
        <v>-10</v>
      </c>
      <c r="O14" s="177">
        <f>寸法→圧入力!F$25*(1+寸法→圧入力!D$31*10^-6*(テーブル4[[#This Row],[inner温度'[℃']]]-20)) - 寸法→圧入力!D$35*(1+寸法→圧入力!D$40*10^-6*(テーブル4[[#This Row],[inner温度'[℃']]]+O$3-20))</f>
        <v>0.1505054300000026</v>
      </c>
      <c r="P14" s="177">
        <f>寸法→圧入力!F$25*(1+寸法→圧入力!D$31*10^-6*(テーブル4[[#This Row],[inner温度'[℃']]]-20)) - 寸法→圧入力!D$35*(1+寸法→圧入力!D$40*10^-6*(テーブル4[[#This Row],[inner温度'[℃']]]+P$3-20))</f>
        <v>0.14107642999999825</v>
      </c>
      <c r="Q14" s="177">
        <f>寸法→圧入力!F$25*(1+寸法→圧入力!D$31*10^-6*(テーブル4[[#This Row],[inner温度'[℃']]]-20)) - 寸法→圧入力!D$35*(1+寸法→圧入力!D$40*10^-6*(テーブル4[[#This Row],[inner温度'[℃']]]+Q$3-20))</f>
        <v>0.1316474299999939</v>
      </c>
      <c r="R14" s="177">
        <f>寸法→圧入力!F$25*(1+寸法→圧入力!D$31*10^-6*(テーブル4[[#This Row],[inner温度'[℃']]]-20)) - 寸法→圧入力!D$35*(1+寸法→圧入力!D$40*10^-6*(テーブル4[[#This Row],[inner温度'[℃']]]+R$3-20))</f>
        <v>0.12221842999999666</v>
      </c>
      <c r="S14" s="177">
        <f>寸法→圧入力!F$25*(1+寸法→圧入力!D$31*10^-6*(テーブル4[[#This Row],[inner温度'[℃']]]-20)) - 寸法→圧入力!D$35*(1+寸法→圧入力!D$40*10^-6*(テーブル4[[#This Row],[inner温度'[℃']]]+S$3-20))</f>
        <v>0.11278942999999941</v>
      </c>
      <c r="T14" s="177">
        <f>寸法→圧入力!F$25*(1+寸法→圧入力!D$31*10^-6*(テーブル4[[#This Row],[inner温度'[℃']]]-20)) - 寸法→圧入力!D$35*(1+寸法→圧入力!D$40*10^-6*(テーブル4[[#This Row],[inner温度'[℃']]]+T$3-20))</f>
        <v>0.10336043000000217</v>
      </c>
      <c r="U14" s="177">
        <f>寸法→圧入力!F$25*(1+寸法→圧入力!D$31*10^-6*(テーブル4[[#This Row],[inner温度'[℃']]]-20)) - 寸法→圧入力!D$35*(1+寸法→圧入力!D$40*10^-6*(テーブル4[[#This Row],[inner温度'[℃']]]+U$3-20))</f>
        <v>9.3931429999997818E-2</v>
      </c>
      <c r="V14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53.385195195316548</v>
      </c>
      <c r="W14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50.040671310052979</v>
      </c>
      <c r="X14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46.696147424789423</v>
      </c>
      <c r="Y14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43.351623539528376</v>
      </c>
      <c r="Z14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40.007099654267336</v>
      </c>
      <c r="AA14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36.662575769006295</v>
      </c>
      <c r="AB14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33.318051883742726</v>
      </c>
      <c r="AC14" s="99">
        <f>テーブル4[[#This Row],[半径方向応力:Δ-30℃]]*2*寸法→圧入力!D$25^2/(寸法→圧入力!D$25^2-寸法→圧入力!F$26^2)</f>
        <v>272.65166085452779</v>
      </c>
      <c r="AD14" s="99">
        <f>テーブル4[[#This Row],[半径方向応力:Δ-20℃]]*2*寸法→圧入力!D$25^2/(寸法→圧入力!D$25^2-寸法→圧入力!F$26^2)</f>
        <v>255.57033355491816</v>
      </c>
      <c r="AE14" s="99">
        <f>テーブル4[[#This Row],[半径方向応力:Δ-10℃]]*2*寸法→圧入力!D$25^2/(寸法→圧入力!D$25^2-寸法→圧入力!F$26^2)</f>
        <v>238.4890062553086</v>
      </c>
      <c r="AF14" s="99">
        <f>テーブル4[[#This Row],[半径方向応力:Δ0℃]]*2*寸法→圧入力!D$25^2/(寸法→圧入力!D$25^2-寸法→圧入力!F$26^2)</f>
        <v>221.40767895571184</v>
      </c>
      <c r="AG14" s="99">
        <f>テーブル4[[#This Row],[半径方向応力:Δ+10℃]]*2*寸法→圧入力!D$25^2/(寸法→圧入力!D$25^2-寸法→圧入力!F$26^2)</f>
        <v>204.32635165611509</v>
      </c>
      <c r="AH14" s="99">
        <f>テーブル4[[#This Row],[半径方向応力:Δ+20℃]]*2*寸法→圧入力!D$25^2/(寸法→圧入力!D$25^2-寸法→圧入力!F$26^2)</f>
        <v>187.24502435651834</v>
      </c>
      <c r="AI14" s="99">
        <f>テーブル4[[#This Row],[半径方向応力:Δ+30℃]]*2*寸法→圧入力!D$25^2/(寸法→圧入力!D$25^2-寸法→圧入力!F$26^2)</f>
        <v>170.16369705690872</v>
      </c>
      <c r="AJ14" s="99">
        <f>寸法→圧入力!$D$32</f>
        <v>345</v>
      </c>
      <c r="AK14" s="99">
        <f>テーブル4[[#This Row],[半径方向応力:Δ-30℃]]* (1+(寸法→圧入力!D$36/寸法→圧入力!F$35)^2)/((寸法→圧入力!D$36/寸法→圧入力!F$35)^2-1)</f>
        <v>104.4999845561088</v>
      </c>
      <c r="AL14" s="99">
        <f>テーブル4[[#This Row],[半径方向応力:Δ-20℃]]* (1+(寸法→圧入力!D$36/寸法→圧入力!F$35)^2)/((寸法→圧入力!D$36/寸法→圧入力!F$35)^2-1)</f>
        <v>97.953175219196567</v>
      </c>
      <c r="AM14" s="99">
        <f>テーブル4[[#This Row],[半径方向応力:Δ-10℃]]* (1+(寸法→圧入力!D$36/寸法→圧入力!F$35)^2)/((寸法→圧入力!D$36/寸法→圧入力!F$35)^2-1)</f>
        <v>91.406365882284376</v>
      </c>
      <c r="AN14" s="99">
        <f>テーブル4[[#This Row],[半径方向応力:Δ0℃]]* (1+(寸法→圧入力!D$36/寸法→圧入力!F$35)^2)/((寸法→圧入力!D$36/寸法→圧入力!F$35)^2-1)</f>
        <v>84.859556545377075</v>
      </c>
      <c r="AO14" s="99">
        <f>テーブル4[[#This Row],[半径方向応力:Δ+10℃]]* (1+(寸法→圧入力!D$36/寸法→圧入力!F$35)^2)/((寸法→圧入力!D$36/寸法→圧入力!F$35)^2-1)</f>
        <v>78.312747208469816</v>
      </c>
      <c r="AP14" s="99">
        <f>テーブル4[[#This Row],[半径方向応力:Δ+20℃]]* (1+(寸法→圧入力!D$36/寸法→圧入力!F$35)^2)/((寸法→圧入力!D$36/寸法→圧入力!F$35)^2-1)</f>
        <v>71.765937871562528</v>
      </c>
      <c r="AQ14" s="99">
        <f>テーブル4[[#This Row],[半径方向応力:Δ+30℃]]* (1+(寸法→圧入力!D$36/寸法→圧入力!F$35)^2)/((寸法→圧入力!D$36/寸法→圧入力!F$35)^2-1)</f>
        <v>65.219128534650309</v>
      </c>
      <c r="AR14" s="99">
        <f>寸法→圧入力!$D$41</f>
        <v>150</v>
      </c>
    </row>
    <row r="15" spans="1:44">
      <c r="A15" s="177">
        <f t="shared" si="0"/>
        <v>0.09</v>
      </c>
      <c r="B15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31.138979124981301</v>
      </c>
      <c r="C15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31.532031658921131</v>
      </c>
      <c r="D15" s="99">
        <f>(A15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31.923549652516897</v>
      </c>
      <c r="E15" s="99">
        <f>テーブル3[[#This Row],[半径方向応力min]]*寸法→圧入力!D$48*寸法→圧入力!D$6/1000</f>
        <v>5.425010015585463</v>
      </c>
      <c r="F15" s="99">
        <f>テーブル3[[#This Row],[半径方向応力min]]*寸法→圧入力!E$48*寸法→圧入力!E$6/1000</f>
        <v>6.9280242461130435</v>
      </c>
      <c r="G15" s="99">
        <f>テーブル3[[#This Row],[半径方向応力min]]*寸法→圧入力!F$48*寸法→圧入力!F$6/1000</f>
        <v>8.4914429329660361</v>
      </c>
      <c r="H15" s="99">
        <f>寸法→圧入力!$D$32</f>
        <v>345</v>
      </c>
      <c r="I15" s="99">
        <f>寸法→圧入力!$D$41</f>
        <v>150</v>
      </c>
      <c r="J15" s="99">
        <f>テーブル3[[#This Row],[半径方向応力nor]]*2*寸法→圧入力!E$25^2/(寸法→圧入力!E$25^2-寸法→圧入力!E$26^2)</f>
        <v>159.57661894473071</v>
      </c>
      <c r="K15" s="99">
        <f>テーブル3[[#This Row],[半径方向応力nor]]* (1+(寸法→圧入力!E$36/寸法→圧入力!E$35)^2)/((寸法→圧入力!E$36/寸法→圧入力!E$35)^2-1)</f>
        <v>60.579687029412987</v>
      </c>
      <c r="N15">
        <f t="shared" si="1"/>
        <v>-5</v>
      </c>
      <c r="O15" s="177">
        <f>寸法→圧入力!F$25*(1+寸法→圧入力!D$31*10^-6*(テーブル4[[#This Row],[inner温度'[℃']]]-20)) - 寸法→圧入力!D$35*(1+寸法→圧入力!D$40*10^-6*(テーブル4[[#This Row],[inner温度'[℃']]]+O$3-20))</f>
        <v>0.14846902500000425</v>
      </c>
      <c r="P15" s="177">
        <f>寸法→圧入力!F$25*(1+寸法→圧入力!D$31*10^-6*(テーブル4[[#This Row],[inner温度'[℃']]]-20)) - 寸法→圧入力!D$35*(1+寸法→圧入力!D$40*10^-6*(テーブル4[[#This Row],[inner温度'[℃']]]+P$3-20))</f>
        <v>0.13904002500000701</v>
      </c>
      <c r="Q15" s="177">
        <f>寸法→圧入力!F$25*(1+寸法→圧入力!D$31*10^-6*(テーブル4[[#This Row],[inner温度'[℃']]]-20)) - 寸法→圧入力!D$35*(1+寸法→圧入力!D$40*10^-6*(テーブル4[[#This Row],[inner温度'[℃']]]+Q$3-20))</f>
        <v>0.12961102500000976</v>
      </c>
      <c r="R15" s="177">
        <f>寸法→圧入力!F$25*(1+寸法→圧入力!D$31*10^-6*(テーブル4[[#This Row],[inner温度'[℃']]]-20)) - 寸法→圧入力!D$35*(1+寸法→圧入力!D$40*10^-6*(テーブル4[[#This Row],[inner温度'[℃']]]+R$3-20))</f>
        <v>0.12018202500000541</v>
      </c>
      <c r="S15" s="177">
        <f>寸法→圧入力!F$25*(1+寸法→圧入力!D$31*10^-6*(テーブル4[[#This Row],[inner温度'[℃']]]-20)) - 寸法→圧入力!D$35*(1+寸法→圧入力!D$40*10^-6*(テーブル4[[#This Row],[inner温度'[℃']]]+S$3-20))</f>
        <v>0.11075302500000106</v>
      </c>
      <c r="T15" s="177">
        <f>寸法→圧入力!F$25*(1+寸法→圧入力!D$31*10^-6*(テーブル4[[#This Row],[inner温度'[℃']]]-20)) - 寸法→圧入力!D$35*(1+寸法→圧入力!D$40*10^-6*(テーブル4[[#This Row],[inner温度'[℃']]]+T$3-20))</f>
        <v>0.10132402500000381</v>
      </c>
      <c r="U15" s="177">
        <f>寸法→圧入力!F$25*(1+寸法→圧入力!D$31*10^-6*(テーブル4[[#This Row],[inner温度'[℃']]]-20)) - 寸法→圧入力!D$35*(1+寸法→圧入力!D$40*10^-6*(テーブル4[[#This Row],[inner温度'[℃']]]+U$3-20))</f>
        <v>9.1895025000006569E-2</v>
      </c>
      <c r="V15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52.662869904982308</v>
      </c>
      <c r="W15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49.318346019721268</v>
      </c>
      <c r="X15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45.973822134460228</v>
      </c>
      <c r="Y15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42.629298249196665</v>
      </c>
      <c r="Z15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39.284774363933103</v>
      </c>
      <c r="AA15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35.940250478672056</v>
      </c>
      <c r="AB15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32.595726593411015</v>
      </c>
      <c r="AC15" s="99">
        <f>テーブル4[[#This Row],[半径方向応力:Δ-30℃]]*2*寸法→圧入力!D$25^2/(寸法→圧入力!D$25^2-寸法→圧入力!F$26^2)</f>
        <v>268.96256335537441</v>
      </c>
      <c r="AD15" s="99">
        <f>テーブル4[[#This Row],[半径方向応力:Δ-20℃]]*2*寸法→圧入力!D$25^2/(寸法→圧入力!D$25^2-寸法→圧入力!F$26^2)</f>
        <v>251.88123605577769</v>
      </c>
      <c r="AE15" s="99">
        <f>テーブル4[[#This Row],[半径方向応力:Δ-10℃]]*2*寸法→圧入力!D$25^2/(寸法→圧入力!D$25^2-寸法→圧入力!F$26^2)</f>
        <v>234.79990875618094</v>
      </c>
      <c r="AF15" s="99">
        <f>テーブル4[[#This Row],[半径方向応力:Δ0℃]]*2*寸法→圧入力!D$25^2/(寸法→圧入力!D$25^2-寸法→圧入力!F$26^2)</f>
        <v>217.71858145657131</v>
      </c>
      <c r="AG15" s="99">
        <f>テーブル4[[#This Row],[半径方向応力:Δ+10℃]]*2*寸法→圧入力!D$25^2/(寸法→圧入力!D$25^2-寸法→圧入力!F$26^2)</f>
        <v>200.63725415696172</v>
      </c>
      <c r="AH15" s="99">
        <f>テーブル4[[#This Row],[半径方向応力:Δ+20℃]]*2*寸法→圧入力!D$25^2/(寸法→圧入力!D$25^2-寸法→圧入力!F$26^2)</f>
        <v>183.55592685736494</v>
      </c>
      <c r="AI15" s="99">
        <f>テーブル4[[#This Row],[半径方向応力:Δ+30℃]]*2*寸法→圧入力!D$25^2/(寸法→圧入力!D$25^2-寸法→圧入力!F$26^2)</f>
        <v>166.47459955776822</v>
      </c>
      <c r="AJ15" s="99">
        <f>寸法→圧入力!$D$32</f>
        <v>345</v>
      </c>
      <c r="AK15" s="99">
        <f>テーブル4[[#This Row],[半径方向応力:Δ-30℃]]* (1+(寸法→圧入力!D$36/寸法→圧入力!F$35)^2)/((寸法→圧入力!D$36/寸法→圧入力!F$35)^2-1)</f>
        <v>103.08605357003202</v>
      </c>
      <c r="AL15" s="99">
        <f>テーブル4[[#This Row],[半径方向応力:Δ-20℃]]* (1+(寸法→圧入力!D$36/寸法→圧入力!F$35)^2)/((寸法→圧入力!D$36/寸法→圧入力!F$35)^2-1)</f>
        <v>96.539244233124748</v>
      </c>
      <c r="AM15" s="99">
        <f>テーブル4[[#This Row],[半径方向応力:Δ-10℃]]* (1+(寸法→圧入力!D$36/寸法→圧入力!F$35)^2)/((寸法→圧入力!D$36/寸法→圧入力!F$35)^2-1)</f>
        <v>89.992434896217475</v>
      </c>
      <c r="AN15" s="99">
        <f>テーブル4[[#This Row],[半径方向応力:Δ0℃]]* (1+(寸法→圧入力!D$36/寸法→圧入力!F$35)^2)/((寸法→圧入力!D$36/寸法→圧入力!F$35)^2-1)</f>
        <v>83.44562555930527</v>
      </c>
      <c r="AO15" s="99">
        <f>テーブル4[[#This Row],[半径方向応力:Δ+10℃]]* (1+(寸法→圧入力!D$36/寸法→圧入力!F$35)^2)/((寸法→圧入力!D$36/寸法→圧入力!F$35)^2-1)</f>
        <v>76.898816222393052</v>
      </c>
      <c r="AP15" s="99">
        <f>テーブル4[[#This Row],[半径方向応力:Δ+20℃]]* (1+(寸法→圧入力!D$36/寸法→圧入力!F$35)^2)/((寸法→圧入力!D$36/寸法→圧入力!F$35)^2-1)</f>
        <v>70.352006885485764</v>
      </c>
      <c r="AQ15" s="99">
        <f>テーブル4[[#This Row],[半径方向応力:Δ+30℃]]* (1+(寸法→圧入力!D$36/寸法→圧入力!F$35)^2)/((寸法→圧入力!D$36/寸法→圧入力!F$35)^2-1)</f>
        <v>63.805197548578491</v>
      </c>
      <c r="AR15" s="99">
        <f>寸法→圧入力!$D$41</f>
        <v>150</v>
      </c>
    </row>
    <row r="16" spans="1:44">
      <c r="A16" s="177">
        <f t="shared" si="0"/>
        <v>0.1</v>
      </c>
      <c r="B16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34.598865694423665</v>
      </c>
      <c r="C16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35.035590732134587</v>
      </c>
      <c r="D16" s="99">
        <f>(A16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35.470610725018773</v>
      </c>
      <c r="E16" s="99">
        <f>テーブル3[[#This Row],[半径方向応力min]]*寸法→圧入力!D$48*寸法→圧入力!D$6/1000</f>
        <v>6.0277889062060694</v>
      </c>
      <c r="F16" s="99">
        <f>テーブル3[[#This Row],[半径方向応力min]]*寸法→圧入力!E$48*寸法→圧入力!E$6/1000</f>
        <v>7.6978047179033808</v>
      </c>
      <c r="G16" s="99">
        <f>テーブル3[[#This Row],[半径方向応力min]]*寸法→圧入力!F$48*寸法→圧入力!F$6/1000</f>
        <v>9.4349365921844832</v>
      </c>
      <c r="H16" s="99">
        <f>寸法→圧入力!$D$32</f>
        <v>345</v>
      </c>
      <c r="I16" s="99">
        <f>寸法→圧入力!$D$41</f>
        <v>150</v>
      </c>
      <c r="J16" s="99">
        <f>テーブル3[[#This Row],[半径方向応力nor]]*2*寸法→圧入力!E$25^2/(寸法→圧入力!E$25^2-寸法→圧入力!E$26^2)</f>
        <v>177.3073543830341</v>
      </c>
      <c r="K16" s="99">
        <f>テーブル3[[#This Row],[半径方向応力nor]]* (1+(寸法→圧入力!E$36/寸法→圧入力!E$35)^2)/((寸法→圧入力!E$36/寸法→圧入力!E$35)^2-1)</f>
        <v>67.310763366014427</v>
      </c>
      <c r="N16">
        <f t="shared" si="1"/>
        <v>0</v>
      </c>
      <c r="O16" s="177">
        <f>寸法→圧入力!F$25*(1+寸法→圧入力!D$31*10^-6*(テーブル4[[#This Row],[inner温度'[℃']]]-20)) - 寸法→圧入力!D$35*(1+寸法→圧入力!D$40*10^-6*(テーブル4[[#This Row],[inner温度'[℃']]]+O$3-20))</f>
        <v>0.14643261999999879</v>
      </c>
      <c r="P16" s="177">
        <f>寸法→圧入力!F$25*(1+寸法→圧入力!D$31*10^-6*(テーブル4[[#This Row],[inner温度'[℃']]]-20)) - 寸法→圧入力!D$35*(1+寸法→圧入力!D$40*10^-6*(テーブル4[[#This Row],[inner温度'[℃']]]+P$3-20))</f>
        <v>0.13700361999999444</v>
      </c>
      <c r="Q16" s="177">
        <f>寸法→圧入力!F$25*(1+寸法→圧入力!D$31*10^-6*(テーブル4[[#This Row],[inner温度'[℃']]]-20)) - 寸法→圧入力!D$35*(1+寸法→圧入力!D$40*10^-6*(テーブル4[[#This Row],[inner温度'[℃']]]+Q$3-20))</f>
        <v>0.1275746199999972</v>
      </c>
      <c r="R16" s="177">
        <f>寸法→圧入力!F$25*(1+寸法→圧入力!D$31*10^-6*(テーブル4[[#This Row],[inner温度'[℃']]]-20)) - 寸法→圧入力!D$35*(1+寸法→圧入力!D$40*10^-6*(テーブル4[[#This Row],[inner温度'[℃']]]+R$3-20))</f>
        <v>0.11814561999999995</v>
      </c>
      <c r="S16" s="177">
        <f>寸法→圧入力!F$25*(1+寸法→圧入力!D$31*10^-6*(テーブル4[[#This Row],[inner温度'[℃']]]-20)) - 寸法→圧入力!D$35*(1+寸法→圧入力!D$40*10^-6*(テーブル4[[#This Row],[inner温度'[℃']]]+S$3-20))</f>
        <v>0.10871662000000271</v>
      </c>
      <c r="T16" s="177">
        <f>寸法→圧入力!F$25*(1+寸法→圧入力!D$31*10^-6*(テーブル4[[#This Row],[inner温度'[℃']]]-20)) - 寸法→圧入力!D$35*(1+寸法→圧入力!D$40*10^-6*(テーブル4[[#This Row],[inner温度'[℃']]]+T$3-20))</f>
        <v>9.9287619999998356E-2</v>
      </c>
      <c r="U16" s="177">
        <f>寸法→圧入力!F$25*(1+寸法→圧入力!D$31*10^-6*(テーブル4[[#This Row],[inner温度'[℃']]]-20)) - 寸法→圧入力!D$35*(1+寸法→圧入力!D$40*10^-6*(テーブル4[[#This Row],[inner温度'[℃']]]+U$3-20))</f>
        <v>8.9858619999994005E-2</v>
      </c>
      <c r="V16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51.940544614645553</v>
      </c>
      <c r="W16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48.596020729381998</v>
      </c>
      <c r="X16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45.25149684412095</v>
      </c>
      <c r="Y16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41.90697295885991</v>
      </c>
      <c r="Z16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38.562449073598863</v>
      </c>
      <c r="AA16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35.2179251883353</v>
      </c>
      <c r="AB16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31.873401303071738</v>
      </c>
      <c r="AC16" s="99">
        <f>テーブル4[[#This Row],[半径方向応力:Δ-30℃]]*2*寸法→圧入力!D$25^2/(寸法→圧入力!D$25^2-寸法→圧入力!F$26^2)</f>
        <v>265.27346585620813</v>
      </c>
      <c r="AD16" s="99">
        <f>テーブル4[[#This Row],[半径方向応力:Δ-20℃]]*2*寸法→圧入力!D$25^2/(寸法→圧入力!D$25^2-寸法→圧入力!F$26^2)</f>
        <v>248.19213855659854</v>
      </c>
      <c r="AE16" s="99">
        <f>テーブル4[[#This Row],[半径方向応力:Δ-10℃]]*2*寸法→圧入力!D$25^2/(寸法→圧入力!D$25^2-寸法→圧入力!F$26^2)</f>
        <v>231.11081125700179</v>
      </c>
      <c r="AF16" s="99">
        <f>テーブル4[[#This Row],[半径方向応力:Δ0℃]]*2*寸法→圧入力!D$25^2/(寸法→圧入力!D$25^2-寸法→圧入力!F$26^2)</f>
        <v>214.02948395740503</v>
      </c>
      <c r="AG16" s="99">
        <f>テーブル4[[#This Row],[半径方向応力:Δ+10℃]]*2*寸法→圧入力!D$25^2/(寸法→圧入力!D$25^2-寸法→圧入力!F$26^2)</f>
        <v>196.94815665780831</v>
      </c>
      <c r="AH16" s="99">
        <f>テーブル4[[#This Row],[半径方向応力:Δ+20℃]]*2*寸法→圧入力!D$25^2/(寸法→圧入力!D$25^2-寸法→圧入力!F$26^2)</f>
        <v>179.86682935819866</v>
      </c>
      <c r="AI16" s="99">
        <f>テーブル4[[#This Row],[半径方向応力:Δ+30℃]]*2*寸法→圧入力!D$25^2/(寸法→圧入力!D$25^2-寸法→圧入力!F$26^2)</f>
        <v>162.78550205858906</v>
      </c>
      <c r="AJ16" s="99">
        <f>寸法→圧入力!$D$32</f>
        <v>345</v>
      </c>
      <c r="AK16" s="99">
        <f>テーブル4[[#This Row],[半径方向応力:Δ-30℃]]* (1+(寸法→圧入力!D$36/寸法→圧入力!F$35)^2)/((寸法→圧入力!D$36/寸法→圧入力!F$35)^2-1)</f>
        <v>101.67212258395033</v>
      </c>
      <c r="AL16" s="99">
        <f>テーブル4[[#This Row],[半径方向応力:Δ-20℃]]* (1+(寸法→圧入力!D$36/寸法→圧入力!F$35)^2)/((寸法→圧入力!D$36/寸法→圧入力!F$35)^2-1)</f>
        <v>95.125313247038136</v>
      </c>
      <c r="AM16" s="99">
        <f>テーブル4[[#This Row],[半径方向応力:Δ-10℃]]* (1+(寸法→圧入力!D$36/寸法→圧入力!F$35)^2)/((寸法→圧入力!D$36/寸法→圧入力!F$35)^2-1)</f>
        <v>88.578503910130848</v>
      </c>
      <c r="AN16" s="99">
        <f>テーブル4[[#This Row],[半径方向応力:Δ0℃]]* (1+(寸法→圧入力!D$36/寸法→圧入力!F$35)^2)/((寸法→圧入力!D$36/寸法→圧入力!F$35)^2-1)</f>
        <v>82.031694573223561</v>
      </c>
      <c r="AO16" s="99">
        <f>テーブル4[[#This Row],[半径方向応力:Δ+10℃]]* (1+(寸法→圧入力!D$36/寸法→圧入力!F$35)^2)/((寸法→圧入力!D$36/寸法→圧入力!F$35)^2-1)</f>
        <v>75.484885236316288</v>
      </c>
      <c r="AP16" s="99">
        <f>テーブル4[[#This Row],[半径方向応力:Δ+20℃]]* (1+(寸法→圧入力!D$36/寸法→圧入力!F$35)^2)/((寸法→圧入力!D$36/寸法→圧入力!F$35)^2-1)</f>
        <v>68.938075899404083</v>
      </c>
      <c r="AQ16" s="99">
        <f>テーブル4[[#This Row],[半径方向応力:Δ+30℃]]* (1+(寸法→圧入力!D$36/寸法→圧入力!F$35)^2)/((寸法→圧入力!D$36/寸法→圧入力!F$35)^2-1)</f>
        <v>62.391266562491857</v>
      </c>
      <c r="AR16" s="99">
        <f>寸法→圧入力!$D$41</f>
        <v>150</v>
      </c>
    </row>
    <row r="17" spans="1:44">
      <c r="A17" s="177">
        <f t="shared" si="0"/>
        <v>0.11</v>
      </c>
      <c r="B17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38.058752263866033</v>
      </c>
      <c r="C17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38.539149805348046</v>
      </c>
      <c r="D17" s="99">
        <f>(A17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39.017671797520649</v>
      </c>
      <c r="E17" s="99">
        <f>テーブル3[[#This Row],[半径方向応力min]]*寸法→圧入力!D$48*寸法→圧入力!D$6/1000</f>
        <v>6.6305677968266767</v>
      </c>
      <c r="F17" s="99">
        <f>テーブル3[[#This Row],[半径方向応力min]]*寸法→圧入力!E$48*寸法→圧入力!E$6/1000</f>
        <v>8.46758518969372</v>
      </c>
      <c r="G17" s="99">
        <f>テーブル3[[#This Row],[半径方向応力min]]*寸法→圧入力!F$48*寸法→圧入力!F$6/1000</f>
        <v>10.378430251402932</v>
      </c>
      <c r="H17" s="99">
        <f>寸法→圧入力!$D$32</f>
        <v>345</v>
      </c>
      <c r="I17" s="99">
        <f>寸法→圧入力!$D$41</f>
        <v>150</v>
      </c>
      <c r="J17" s="99">
        <f>テーブル3[[#This Row],[半径方向応力nor]]*2*寸法→圧入力!E$25^2/(寸法→圧入力!E$25^2-寸法→圧入力!E$26^2)</f>
        <v>195.03808982133751</v>
      </c>
      <c r="K17" s="99">
        <f>テーブル3[[#This Row],[半径方向応力nor]]* (1+(寸法→圧入力!E$36/寸法→圧入力!E$35)^2)/((寸法→圧入力!E$36/寸法→圧入力!E$35)^2-1)</f>
        <v>74.041839702615889</v>
      </c>
      <c r="N17">
        <f t="shared" si="1"/>
        <v>5</v>
      </c>
      <c r="O17" s="177">
        <f>寸法→圧入力!F$25*(1+寸法→圧入力!D$31*10^-6*(テーブル4[[#This Row],[inner温度'[℃']]]-20)) - 寸法→圧入力!D$35*(1+寸法→圧入力!D$40*10^-6*(テーブル4[[#This Row],[inner温度'[℃']]]+O$3-20))</f>
        <v>0.14439621500000044</v>
      </c>
      <c r="P17" s="177">
        <f>寸法→圧入力!F$25*(1+寸法→圧入力!D$31*10^-6*(テーブル4[[#This Row],[inner温度'[℃']]]-20)) - 寸法→圧入力!D$35*(1+寸法→圧入力!D$40*10^-6*(テーブル4[[#This Row],[inner温度'[℃']]]+P$3-20))</f>
        <v>0.13496721500000319</v>
      </c>
      <c r="Q17" s="177">
        <f>寸法→圧入力!F$25*(1+寸法→圧入力!D$31*10^-6*(テーブル4[[#This Row],[inner温度'[℃']]]-20)) - 寸法→圧入力!D$35*(1+寸法→圧入力!D$40*10^-6*(テーブル4[[#This Row],[inner温度'[℃']]]+Q$3-20))</f>
        <v>0.12553821499999884</v>
      </c>
      <c r="R17" s="177">
        <f>寸法→圧入力!F$25*(1+寸法→圧入力!D$31*10^-6*(テーブル4[[#This Row],[inner温度'[℃']]]-20)) - 寸法→圧入力!D$35*(1+寸法→圧入力!D$40*10^-6*(テーブル4[[#This Row],[inner温度'[℃']]]+R$3-20))</f>
        <v>0.11610921499999449</v>
      </c>
      <c r="S17" s="177">
        <f>寸法→圧入力!F$25*(1+寸法→圧入力!D$31*10^-6*(テーブル4[[#This Row],[inner温度'[℃']]]-20)) - 寸法→圧入力!D$35*(1+寸法→圧入力!D$40*10^-6*(テーブル4[[#This Row],[inner温度'[℃']]]+S$3-20))</f>
        <v>0.10668021499999725</v>
      </c>
      <c r="T17" s="177">
        <f>寸法→圧入力!F$25*(1+寸法→圧入力!D$31*10^-6*(テーブル4[[#This Row],[inner温度'[℃']]]-20)) - 寸法→圧入力!D$35*(1+寸法→圧入力!D$40*10^-6*(テーブル4[[#This Row],[inner温度'[℃']]]+T$3-20))</f>
        <v>9.7251215000000002E-2</v>
      </c>
      <c r="U17" s="177">
        <f>寸法→圧入力!F$25*(1+寸法→圧入力!D$31*10^-6*(テーブル4[[#This Row],[inner温度'[℃']]]-20)) - 寸法→圧入力!D$35*(1+寸法→圧入力!D$40*10^-6*(テーブル4[[#This Row],[inner温度'[℃']]]+U$3-20))</f>
        <v>8.7822214999995651E-2</v>
      </c>
      <c r="V17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51.21821932431132</v>
      </c>
      <c r="W17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47.87369543905028</v>
      </c>
      <c r="X17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44.529171553786718</v>
      </c>
      <c r="Y17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41.184647668523148</v>
      </c>
      <c r="Z17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37.840123783262108</v>
      </c>
      <c r="AA17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34.495599898001068</v>
      </c>
      <c r="AB17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31.151076012737505</v>
      </c>
      <c r="AC17" s="99">
        <f>テーブル4[[#This Row],[半径方向応力:Δ-30℃]]*2*寸法→圧入力!D$25^2/(寸法→圧入力!D$25^2-寸法→圧入力!F$26^2)</f>
        <v>261.58436835705476</v>
      </c>
      <c r="AD17" s="99">
        <f>テーブル4[[#This Row],[半径方向応力:Δ-20℃]]*2*寸法→圧入力!D$25^2/(寸法→圧入力!D$25^2-寸法→圧入力!F$26^2)</f>
        <v>244.50304105745801</v>
      </c>
      <c r="AE17" s="99">
        <f>テーブル4[[#This Row],[半径方向応力:Δ-10℃]]*2*寸法→圧入力!D$25^2/(寸法→圧入力!D$25^2-寸法→圧入力!F$26^2)</f>
        <v>227.42171375784841</v>
      </c>
      <c r="AF17" s="99">
        <f>テーブル4[[#This Row],[半径方向応力:Δ0℃]]*2*寸法→圧入力!D$25^2/(寸法→圧入力!D$25^2-寸法→圧入力!F$26^2)</f>
        <v>210.34038645823875</v>
      </c>
      <c r="AG17" s="99">
        <f>テーブル4[[#This Row],[半径方向応力:Δ+10℃]]*2*寸法→圧入力!D$25^2/(寸法→圧入力!D$25^2-寸法→圧入力!F$26^2)</f>
        <v>193.259059158642</v>
      </c>
      <c r="AH17" s="99">
        <f>テーブル4[[#This Row],[半径方向応力:Δ+20℃]]*2*寸法→圧入力!D$25^2/(寸法→圧入力!D$25^2-寸法→圧入力!F$26^2)</f>
        <v>176.17773185904528</v>
      </c>
      <c r="AI17" s="99">
        <f>テーブル4[[#This Row],[半径方向応力:Δ+30℃]]*2*寸法→圧入力!D$25^2/(寸法→圧入力!D$25^2-寸法→圧入力!F$26^2)</f>
        <v>159.09640455943568</v>
      </c>
      <c r="AJ17" s="99">
        <f>寸法→圧入力!$D$32</f>
        <v>345</v>
      </c>
      <c r="AK17" s="99">
        <f>テーブル4[[#This Row],[半径方向応力:Δ-30℃]]* (1+(寸法→圧入力!D$36/寸法→圧入力!F$35)^2)/((寸法→圧入力!D$36/寸法→圧入力!F$35)^2-1)</f>
        <v>100.25819159787356</v>
      </c>
      <c r="AL17" s="99">
        <f>テーブル4[[#This Row],[半径方向応力:Δ-20℃]]* (1+(寸法→圧入力!D$36/寸法→圧入力!F$35)^2)/((寸法→圧入力!D$36/寸法→圧入力!F$35)^2-1)</f>
        <v>93.711382260966289</v>
      </c>
      <c r="AM17" s="99">
        <f>テーブル4[[#This Row],[半径方向応力:Δ-10℃]]* (1+(寸法→圧入力!D$36/寸法→圧入力!F$35)^2)/((寸法→圧入力!D$36/寸法→圧入力!F$35)^2-1)</f>
        <v>87.164572924054085</v>
      </c>
      <c r="AN17" s="99">
        <f>テーブル4[[#This Row],[半径方向応力:Δ0℃]]* (1+(寸法→圧入力!D$36/寸法→圧入力!F$35)^2)/((寸法→圧入力!D$36/寸法→圧入力!F$35)^2-1)</f>
        <v>80.617763587141852</v>
      </c>
      <c r="AO17" s="99">
        <f>テーブル4[[#This Row],[半径方向応力:Δ+10℃]]* (1+(寸法→圧入力!D$36/寸法→圧入力!F$35)^2)/((寸法→圧入力!D$36/寸法→圧入力!F$35)^2-1)</f>
        <v>74.070954250234593</v>
      </c>
      <c r="AP17" s="99">
        <f>テーブル4[[#This Row],[半径方向応力:Δ+20℃]]* (1+(寸法→圧入力!D$36/寸法→圧入力!F$35)^2)/((寸法→圧入力!D$36/寸法→圧入力!F$35)^2-1)</f>
        <v>67.524144913327305</v>
      </c>
      <c r="AQ17" s="99">
        <f>テーブル4[[#This Row],[半径方向応力:Δ+30℃]]* (1+(寸法→圧入力!D$36/寸法→圧入力!F$35)^2)/((寸法→圧入力!D$36/寸法→圧入力!F$35)^2-1)</f>
        <v>60.977335576415101</v>
      </c>
      <c r="AR17" s="99">
        <f>寸法→圧入力!$D$41</f>
        <v>150</v>
      </c>
    </row>
    <row r="18" spans="1:44">
      <c r="A18" s="177">
        <f t="shared" si="0"/>
        <v>0.12</v>
      </c>
      <c r="B18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41.518638833308394</v>
      </c>
      <c r="C18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42.042708878561506</v>
      </c>
      <c r="D18" s="99">
        <f>(A18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42.564732870022524</v>
      </c>
      <c r="E18" s="99">
        <f>テーブル3[[#This Row],[半径方向応力min]]*寸法→圧入力!D$48*寸法→圧入力!D$6/1000</f>
        <v>7.2333466874472823</v>
      </c>
      <c r="F18" s="99">
        <f>テーブル3[[#This Row],[半径方向応力min]]*寸法→圧入力!E$48*寸法→圧入力!E$6/1000</f>
        <v>9.2373656614840574</v>
      </c>
      <c r="G18" s="99">
        <f>テーブル3[[#This Row],[半径方向応力min]]*寸法→圧入力!F$48*寸法→圧入力!F$6/1000</f>
        <v>11.321923910621379</v>
      </c>
      <c r="H18" s="99">
        <f>寸法→圧入力!$D$32</f>
        <v>345</v>
      </c>
      <c r="I18" s="99">
        <f>寸法→圧入力!$D$41</f>
        <v>150</v>
      </c>
      <c r="J18" s="99">
        <f>テーブル3[[#This Row],[半径方向応力nor]]*2*寸法→圧入力!E$25^2/(寸法→圧入力!E$25^2-寸法→圧入力!E$26^2)</f>
        <v>212.76882525964089</v>
      </c>
      <c r="K18" s="99">
        <f>テーブル3[[#This Row],[半径方向応力nor]]* (1+(寸法→圧入力!E$36/寸法→圧入力!E$35)^2)/((寸法→圧入力!E$36/寸法→圧入力!E$35)^2-1)</f>
        <v>80.772916039217321</v>
      </c>
      <c r="N18">
        <f t="shared" si="1"/>
        <v>10</v>
      </c>
      <c r="O18" s="177">
        <f>寸法→圧入力!F$25*(1+寸法→圧入力!D$31*10^-6*(テーブル4[[#This Row],[inner温度'[℃']]]-20)) - 寸法→圧入力!D$35*(1+寸法→圧入力!D$40*10^-6*(テーブル4[[#This Row],[inner温度'[℃']]]+O$3-20))</f>
        <v>0.14235980999999498</v>
      </c>
      <c r="P18" s="177">
        <f>寸法→圧入力!F$25*(1+寸法→圧入力!D$31*10^-6*(テーブル4[[#This Row],[inner温度'[℃']]]-20)) - 寸法→圧入力!D$35*(1+寸法→圧入力!D$40*10^-6*(テーブル4[[#This Row],[inner温度'[℃']]]+P$3-20))</f>
        <v>0.13293080999999773</v>
      </c>
      <c r="Q18" s="177">
        <f>寸法→圧入力!F$25*(1+寸法→圧入力!D$31*10^-6*(テーブル4[[#This Row],[inner温度'[℃']]]-20)) - 寸法→圧入力!D$35*(1+寸法→圧入力!D$40*10^-6*(テーブル4[[#This Row],[inner温度'[℃']]]+Q$3-20))</f>
        <v>0.12350181000000049</v>
      </c>
      <c r="R18" s="177">
        <f>寸法→圧入力!F$25*(1+寸法→圧入力!D$31*10^-6*(テーブル4[[#This Row],[inner温度'[℃']]]-20)) - 寸法→圧入力!D$35*(1+寸法→圧入力!D$40*10^-6*(テーブル4[[#This Row],[inner温度'[℃']]]+R$3-20))</f>
        <v>0.11407281000000324</v>
      </c>
      <c r="S18" s="177">
        <f>寸法→圧入力!F$25*(1+寸法→圧入力!D$31*10^-6*(テーブル4[[#This Row],[inner温度'[℃']]]-20)) - 寸法→圧入力!D$35*(1+寸法→圧入力!D$40*10^-6*(テーブル4[[#This Row],[inner温度'[℃']]]+S$3-20))</f>
        <v>0.10464380999999889</v>
      </c>
      <c r="T18" s="177">
        <f>寸法→圧入力!F$25*(1+寸法→圧入力!D$31*10^-6*(テーブル4[[#This Row],[inner温度'[℃']]]-20)) - 寸法→圧入力!D$35*(1+寸法→圧入力!D$40*10^-6*(テーブル4[[#This Row],[inner温度'[℃']]]+T$3-20))</f>
        <v>9.5214809999994543E-2</v>
      </c>
      <c r="U18" s="177">
        <f>寸法→圧入力!F$25*(1+寸法→圧入力!D$31*10^-6*(テーブル4[[#This Row],[inner温度'[℃']]]-20)) - 寸法→圧入力!D$35*(1+寸法→圧入力!D$40*10^-6*(テーブル4[[#This Row],[inner温度'[℃']]]+U$3-20))</f>
        <v>8.5785809999997298E-2</v>
      </c>
      <c r="V18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50.495894033974572</v>
      </c>
      <c r="W18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47.151370148713525</v>
      </c>
      <c r="X18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43.806846263452485</v>
      </c>
      <c r="Y18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40.462322378191438</v>
      </c>
      <c r="Z18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37.117798492927875</v>
      </c>
      <c r="AA18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33.773274607664312</v>
      </c>
      <c r="AB18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30.428750722403269</v>
      </c>
      <c r="AC18" s="99">
        <f>テーブル4[[#This Row],[半径方向応力:Δ-30℃]]*2*寸法→圧入力!D$25^2/(寸法→圧入力!D$25^2-寸法→圧入力!F$26^2)</f>
        <v>257.89527085788853</v>
      </c>
      <c r="AD18" s="99">
        <f>テーブル4[[#This Row],[半径方向応力:Δ-20℃]]*2*寸法→圧入力!D$25^2/(寸法→圧入力!D$25^2-寸法→圧入力!F$26^2)</f>
        <v>240.81394355829175</v>
      </c>
      <c r="AE18" s="99">
        <f>テーブル4[[#This Row],[半径方向応力:Δ-10℃]]*2*寸法→圧入力!D$25^2/(寸法→圧入力!D$25^2-寸法→圧入力!F$26^2)</f>
        <v>223.732616258695</v>
      </c>
      <c r="AF18" s="99">
        <f>テーブル4[[#This Row],[半径方向応力:Δ0℃]]*2*寸法→圧入力!D$25^2/(寸法→圧入力!D$25^2-寸法→圧入力!F$26^2)</f>
        <v>206.65128895909825</v>
      </c>
      <c r="AG18" s="99">
        <f>テーブル4[[#This Row],[半径方向応力:Δ+10℃]]*2*寸法→圧入力!D$25^2/(寸法→圧入力!D$25^2-寸法→圧入力!F$26^2)</f>
        <v>189.56996165948863</v>
      </c>
      <c r="AH18" s="99">
        <f>テーブル4[[#This Row],[半径方向応力:Δ+20℃]]*2*寸法→圧入力!D$25^2/(寸法→圧入力!D$25^2-寸法→圧入力!F$26^2)</f>
        <v>172.48863435987903</v>
      </c>
      <c r="AI18" s="99">
        <f>テーブル4[[#This Row],[半径方向応力:Δ+30℃]]*2*寸法→圧入力!D$25^2/(寸法→圧入力!D$25^2-寸法→圧入力!F$26^2)</f>
        <v>155.40730706028228</v>
      </c>
      <c r="AJ18" s="99">
        <f>寸法→圧入力!$D$32</f>
        <v>345</v>
      </c>
      <c r="AK18" s="99">
        <f>テーブル4[[#This Row],[半径方向応力:Δ-30℃]]* (1+(寸法→圧入力!D$36/寸法→圧入力!F$35)^2)/((寸法→圧入力!D$36/寸法→圧入力!F$35)^2-1)</f>
        <v>98.844260611791881</v>
      </c>
      <c r="AL18" s="99">
        <f>テーブル4[[#This Row],[半径方向応力:Δ-20℃]]* (1+(寸法→圧入力!D$36/寸法→圧入力!F$35)^2)/((寸法→圧入力!D$36/寸法→圧入力!F$35)^2-1)</f>
        <v>92.297451274884608</v>
      </c>
      <c r="AM18" s="99">
        <f>テーブル4[[#This Row],[半径方向応力:Δ-10℃]]* (1+(寸法→圧入力!D$36/寸法→圧入力!F$35)^2)/((寸法→圧入力!D$36/寸法→圧入力!F$35)^2-1)</f>
        <v>85.750641937977321</v>
      </c>
      <c r="AN18" s="99">
        <f>テーブル4[[#This Row],[半径方向応力:Δ0℃]]* (1+(寸法→圧入力!D$36/寸法→圧入力!F$35)^2)/((寸法→圧入力!D$36/寸法→圧入力!F$35)^2-1)</f>
        <v>79.203832601070047</v>
      </c>
      <c r="AO18" s="99">
        <f>テーブル4[[#This Row],[半径方向応力:Δ+10℃]]* (1+(寸法→圧入力!D$36/寸法→圧入力!F$35)^2)/((寸法→圧入力!D$36/寸法→圧入力!F$35)^2-1)</f>
        <v>72.657023264157829</v>
      </c>
      <c r="AP18" s="99">
        <f>テーブル4[[#This Row],[半径方向応力:Δ+20℃]]* (1+(寸法→圧入力!D$36/寸法→圧入力!F$35)^2)/((寸法→圧入力!D$36/寸法→圧入力!F$35)^2-1)</f>
        <v>66.110213927245624</v>
      </c>
      <c r="AQ18" s="99">
        <f>テーブル4[[#This Row],[半径方向応力:Δ+30℃]]* (1+(寸法→圧入力!D$36/寸法→圧入力!F$35)^2)/((寸法→圧入力!D$36/寸法→圧入力!F$35)^2-1)</f>
        <v>59.563404590338344</v>
      </c>
      <c r="AR18" s="99">
        <f>寸法→圧入力!$D$41</f>
        <v>150</v>
      </c>
    </row>
    <row r="19" spans="1:44">
      <c r="A19" s="177">
        <f t="shared" si="0"/>
        <v>0.13</v>
      </c>
      <c r="B19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44.978525402750769</v>
      </c>
      <c r="C19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45.546267951774972</v>
      </c>
      <c r="D19" s="99">
        <f>(A19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46.111793942524407</v>
      </c>
      <c r="E19" s="99">
        <f>テーブル3[[#This Row],[半径方向応力min]]*寸法→圧入力!D$48*寸法→圧入力!D$6/1000</f>
        <v>7.8361255780678913</v>
      </c>
      <c r="F19" s="99">
        <f>テーブル3[[#This Row],[半径方向応力min]]*寸法→圧入力!E$48*寸法→圧入力!E$6/1000</f>
        <v>10.007146133274395</v>
      </c>
      <c r="G19" s="99">
        <f>テーブル3[[#This Row],[半径方向応力min]]*寸法→圧入力!F$48*寸法→圧入力!F$6/1000</f>
        <v>12.265417569839828</v>
      </c>
      <c r="H19" s="99">
        <f>寸法→圧入力!$D$32</f>
        <v>345</v>
      </c>
      <c r="I19" s="99">
        <f>寸法→圧入力!$D$41</f>
        <v>150</v>
      </c>
      <c r="J19" s="99">
        <f>テーブル3[[#This Row],[半径方向応力nor]]*2*寸法→圧入力!E$25^2/(寸法→圧入力!E$25^2-寸法→圧入力!E$26^2)</f>
        <v>230.49956069794436</v>
      </c>
      <c r="K19" s="99">
        <f>テーブル3[[#This Row],[半径方向応力nor]]* (1+(寸法→圧入力!E$36/寸法→圧入力!E$35)^2)/((寸法→圧入力!E$36/寸法→圧入力!E$35)^2-1)</f>
        <v>87.503992375818783</v>
      </c>
      <c r="N19">
        <f t="shared" si="1"/>
        <v>15</v>
      </c>
      <c r="O19" s="177">
        <f>寸法→圧入力!F$25*(1+寸法→圧入力!D$31*10^-6*(テーブル4[[#This Row],[inner温度'[℃']]]-20)) - 寸法→圧入力!D$35*(1+寸法→圧入力!D$40*10^-6*(テーブル4[[#This Row],[inner温度'[℃']]]+O$3-20))</f>
        <v>0.14032340500000373</v>
      </c>
      <c r="P19" s="177">
        <f>寸法→圧入力!F$25*(1+寸法→圧入力!D$31*10^-6*(テーブル4[[#This Row],[inner温度'[℃']]]-20)) - 寸法→圧入力!D$35*(1+寸法→圧入力!D$40*10^-6*(テーブル4[[#This Row],[inner温度'[℃']]]+P$3-20))</f>
        <v>0.13089440499999938</v>
      </c>
      <c r="Q19" s="177">
        <f>寸法→圧入力!F$25*(1+寸法→圧入力!D$31*10^-6*(テーブル4[[#This Row],[inner温度'[℃']]]-20)) - 寸法→圧入力!D$35*(1+寸法→圧入力!D$40*10^-6*(テーブル4[[#This Row],[inner温度'[℃']]]+Q$3-20))</f>
        <v>0.12146540499999503</v>
      </c>
      <c r="R19" s="177">
        <f>寸法→圧入力!F$25*(1+寸法→圧入力!D$31*10^-6*(テーブル4[[#This Row],[inner温度'[℃']]]-20)) - 寸法→圧入力!D$35*(1+寸法→圧入力!D$40*10^-6*(テーブル4[[#This Row],[inner温度'[℃']]]+R$3-20))</f>
        <v>0.11203640499999779</v>
      </c>
      <c r="S19" s="177">
        <f>寸法→圧入力!F$25*(1+寸法→圧入力!D$31*10^-6*(テーブル4[[#This Row],[inner温度'[℃']]]-20)) - 寸法→圧入力!D$35*(1+寸法→圧入力!D$40*10^-6*(テーブル4[[#This Row],[inner温度'[℃']]]+S$3-20))</f>
        <v>0.10260740500000054</v>
      </c>
      <c r="T19" s="177">
        <f>寸法→圧入力!F$25*(1+寸法→圧入力!D$31*10^-6*(テーブル4[[#This Row],[inner温度'[℃']]]-20)) - 寸法→圧入力!D$35*(1+寸法→圧入力!D$40*10^-6*(テーブル4[[#This Row],[inner温度'[℃']]]+T$3-20))</f>
        <v>9.3178404999996189E-2</v>
      </c>
      <c r="U19" s="177">
        <f>寸法→圧入力!F$25*(1+寸法→圧入力!D$31*10^-6*(テーブル4[[#This Row],[inner温度'[℃']]]-20)) - 寸法→圧入力!D$35*(1+寸法→圧入力!D$40*10^-6*(テーブル4[[#This Row],[inner温度'[℃']]]+U$3-20))</f>
        <v>8.3749404999991839E-2</v>
      </c>
      <c r="V19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49.773568743642855</v>
      </c>
      <c r="W19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46.429044858379292</v>
      </c>
      <c r="X19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43.084520973115723</v>
      </c>
      <c r="Y19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39.739997087854682</v>
      </c>
      <c r="Z19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36.395473202593642</v>
      </c>
      <c r="AA19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33.05094931733008</v>
      </c>
      <c r="AB19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29.706425432066514</v>
      </c>
      <c r="AC19" s="99">
        <f>テーブル4[[#This Row],[半径方向応力:Δ-30℃]]*2*寸法→圧入力!D$25^2/(寸法→圧入力!D$25^2-寸法→圧入力!F$26^2)</f>
        <v>254.20617335874798</v>
      </c>
      <c r="AD19" s="99">
        <f>テーブル4[[#This Row],[半径方向応力:Δ-20℃]]*2*寸法→圧入力!D$25^2/(寸法→圧入力!D$25^2-寸法→圧入力!F$26^2)</f>
        <v>237.12484605913838</v>
      </c>
      <c r="AE19" s="99">
        <f>テーブル4[[#This Row],[半径方向応力:Δ-10℃]]*2*寸法→圧入力!D$25^2/(寸法→圧入力!D$25^2-寸法→圧入力!F$26^2)</f>
        <v>220.04351875952869</v>
      </c>
      <c r="AF19" s="99">
        <f>テーブル4[[#This Row],[半径方向応力:Δ0℃]]*2*寸法→圧入力!D$25^2/(寸法→圧入力!D$25^2-寸法→圧入力!F$26^2)</f>
        <v>202.962191459932</v>
      </c>
      <c r="AG19" s="99">
        <f>テーブル4[[#This Row],[半径方向応力:Δ+10℃]]*2*寸法→圧入力!D$25^2/(寸法→圧入力!D$25^2-寸法→圧入力!F$26^2)</f>
        <v>185.88086416033525</v>
      </c>
      <c r="AH19" s="99">
        <f>テーブル4[[#This Row],[半径方向応力:Δ+20℃]]*2*寸法→圧入力!D$25^2/(寸法→圧入力!D$25^2-寸法→圧入力!F$26^2)</f>
        <v>168.79953686072562</v>
      </c>
      <c r="AI19" s="99">
        <f>テーブル4[[#This Row],[半径方向応力:Δ+30℃]]*2*寸法→圧入力!D$25^2/(寸法→圧入力!D$25^2-寸法→圧入力!F$26^2)</f>
        <v>151.718209561116</v>
      </c>
      <c r="AJ19" s="99">
        <f>寸法→圧入力!$D$32</f>
        <v>345</v>
      </c>
      <c r="AK19" s="99">
        <f>テーブル4[[#This Row],[半径方向応力:Δ-30℃]]* (1+(寸法→圧入力!D$36/寸法→圧入力!F$35)^2)/((寸法→圧入力!D$36/寸法→圧入力!F$35)^2-1)</f>
        <v>97.430329625720063</v>
      </c>
      <c r="AL19" s="99">
        <f>テーブル4[[#This Row],[半径方向応力:Δ-20℃]]* (1+(寸法→圧入力!D$36/寸法→圧入力!F$35)^2)/((寸法→圧入力!D$36/寸法→圧入力!F$35)^2-1)</f>
        <v>90.883520288807844</v>
      </c>
      <c r="AM19" s="99">
        <f>テーブル4[[#This Row],[半径方向応力:Δ-10℃]]* (1+(寸法→圧入力!D$36/寸法→圧入力!F$35)^2)/((寸法→圧入力!D$36/寸法→圧入力!F$35)^2-1)</f>
        <v>84.336710951895625</v>
      </c>
      <c r="AN19" s="99">
        <f>テーブル4[[#This Row],[半径方向応力:Δ0℃]]* (1+(寸法→圧入力!D$36/寸法→圧入力!F$35)^2)/((寸法→圧入力!D$36/寸法→圧入力!F$35)^2-1)</f>
        <v>77.789901614988338</v>
      </c>
      <c r="AO19" s="99">
        <f>テーブル4[[#This Row],[半径方向応力:Δ+10℃]]* (1+(寸法→圧入力!D$36/寸法→圧入力!F$35)^2)/((寸法→圧入力!D$36/寸法→圧入力!F$35)^2-1)</f>
        <v>71.243092278081079</v>
      </c>
      <c r="AP19" s="99">
        <f>テーブル4[[#This Row],[半径方向応力:Δ+20℃]]* (1+(寸法→圧入力!D$36/寸法→圧入力!F$35)^2)/((寸法→圧入力!D$36/寸法→圧入力!F$35)^2-1)</f>
        <v>64.69628294116886</v>
      </c>
      <c r="AQ19" s="99">
        <f>テーブル4[[#This Row],[半径方向応力:Δ+30℃]]* (1+(寸法→圧入力!D$36/寸法→圧入力!F$35)^2)/((寸法→圧入力!D$36/寸法→圧入力!F$35)^2-1)</f>
        <v>58.149473604256642</v>
      </c>
      <c r="AR19" s="99">
        <f>寸法→圧入力!$D$41</f>
        <v>150</v>
      </c>
    </row>
    <row r="20" spans="1:44">
      <c r="A20" s="177">
        <f t="shared" si="0"/>
        <v>0.14000000000000001</v>
      </c>
      <c r="B20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48.438411972193137</v>
      </c>
      <c r="C20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49.049827024988424</v>
      </c>
      <c r="D20" s="99">
        <f>(A20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49.65885501502629</v>
      </c>
      <c r="E20" s="99">
        <f>テーブル3[[#This Row],[半径方向応力min]]*寸法→圧入力!D$48*寸法→圧入力!D$6/1000</f>
        <v>8.4389044686884986</v>
      </c>
      <c r="F20" s="99">
        <f>テーブル3[[#This Row],[半径方向応力min]]*寸法→圧入力!E$48*寸法→圧入力!E$6/1000</f>
        <v>10.776926605064734</v>
      </c>
      <c r="G20" s="99">
        <f>テーブル3[[#This Row],[半径方向応力min]]*寸法→圧入力!F$48*寸法→圧入力!F$6/1000</f>
        <v>13.208911229058279</v>
      </c>
      <c r="H20" s="99">
        <f>寸法→圧入力!$D$32</f>
        <v>345</v>
      </c>
      <c r="I20" s="99">
        <f>寸法→圧入力!$D$41</f>
        <v>150</v>
      </c>
      <c r="J20" s="99">
        <f>テーブル3[[#This Row],[半径方向応力nor]]*2*寸法→圧入力!E$25^2/(寸法→圧入力!E$25^2-寸法→圧入力!E$26^2)</f>
        <v>248.23029613624774</v>
      </c>
      <c r="K20" s="99">
        <f>テーブル3[[#This Row],[半径方向応力nor]]* (1+(寸法→圧入力!E$36/寸法→圧入力!E$35)^2)/((寸法→圧入力!E$36/寸法→圧入力!E$35)^2-1)</f>
        <v>94.235068712420201</v>
      </c>
      <c r="N20">
        <f t="shared" si="1"/>
        <v>20</v>
      </c>
      <c r="O20" s="177">
        <f>寸法→圧入力!F$25*(1+寸法→圧入力!D$31*10^-6*(テーブル4[[#This Row],[inner温度'[℃']]]-20)) - 寸法→圧入力!D$35*(1+寸法→圧入力!D$40*10^-6*(テーブル4[[#This Row],[inner温度'[℃']]]+O$3-20))</f>
        <v>0.13828699999999827</v>
      </c>
      <c r="P20" s="177">
        <f>寸法→圧入力!F$25*(1+寸法→圧入力!D$31*10^-6*(テーブル4[[#This Row],[inner温度'[℃']]]-20)) - 寸法→圧入力!D$35*(1+寸法→圧入力!D$40*10^-6*(テーブル4[[#This Row],[inner温度'[℃']]]+P$3-20))</f>
        <v>0.12885800000000103</v>
      </c>
      <c r="Q20" s="177">
        <f>寸法→圧入力!F$25*(1+寸法→圧入力!D$31*10^-6*(テーブル4[[#This Row],[inner温度'[℃']]]-20)) - 寸法→圧入力!D$35*(1+寸法→圧入力!D$40*10^-6*(テーブル4[[#This Row],[inner温度'[℃']]]+Q$3-20))</f>
        <v>0.11942900000000378</v>
      </c>
      <c r="R20" s="177">
        <f>寸法→圧入力!F$25*(1+寸法→圧入力!D$31*10^-6*(テーブル4[[#This Row],[inner温度'[℃']]]-20)) - 寸法→圧入力!D$35*(1+寸法→圧入力!D$40*10^-6*(テーブル4[[#This Row],[inner温度'[℃']]]+R$3-20))</f>
        <v>0.10999999999999943</v>
      </c>
      <c r="S20" s="177">
        <f>寸法→圧入力!F$25*(1+寸法→圧入力!D$31*10^-6*(テーブル4[[#This Row],[inner温度'[℃']]]-20)) - 寸法→圧入力!D$35*(1+寸法→圧入力!D$40*10^-6*(テーブル4[[#This Row],[inner温度'[℃']]]+S$3-20))</f>
        <v>0.10057099999999508</v>
      </c>
      <c r="T20" s="177">
        <f>寸法→圧入力!F$25*(1+寸法→圧入力!D$31*10^-6*(テーブル4[[#This Row],[inner温度'[℃']]]-20)) - 寸法→圧入力!D$35*(1+寸法→圧入力!D$40*10^-6*(テーブル4[[#This Row],[inner温度'[℃']]]+T$3-20))</f>
        <v>9.1141999999997836E-2</v>
      </c>
      <c r="U20" s="177">
        <f>寸法→圧入力!F$25*(1+寸法→圧入力!D$31*10^-6*(テーブル4[[#This Row],[inner温度'[℃']]]-20)) - 寸法→圧入力!D$35*(1+寸法→圧入力!D$40*10^-6*(テーブル4[[#This Row],[inner温度'[℃']]]+U$3-20))</f>
        <v>8.1713000000000591E-2</v>
      </c>
      <c r="V20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49.0512434533061</v>
      </c>
      <c r="W20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45.706719568045052</v>
      </c>
      <c r="X20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42.362195682784012</v>
      </c>
      <c r="Y20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39.01767179752045</v>
      </c>
      <c r="Z20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35.673147912256887</v>
      </c>
      <c r="AA20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32.328624026995847</v>
      </c>
      <c r="AB20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28.9841001417348</v>
      </c>
      <c r="AC20" s="99">
        <f>テーブル4[[#This Row],[半径方向応力:Δ-30℃]]*2*寸法→圧入力!D$25^2/(寸法→圧入力!D$25^2-寸法→圧入力!F$26^2)</f>
        <v>250.51707585958169</v>
      </c>
      <c r="AD20" s="99">
        <f>テーブル4[[#This Row],[半径方向応力:Δ-20℃]]*2*寸法→圧入力!D$25^2/(寸法→圧入力!D$25^2-寸法→圧入力!F$26^2)</f>
        <v>233.43574855998494</v>
      </c>
      <c r="AE20" s="99">
        <f>テーブル4[[#This Row],[半径方向応力:Δ-10℃]]*2*寸法→圧入力!D$25^2/(寸法→圧入力!D$25^2-寸法→圧入力!F$26^2)</f>
        <v>216.35442126038822</v>
      </c>
      <c r="AF20" s="99">
        <f>テーブル4[[#This Row],[半径方向応力:Δ0℃]]*2*寸法→圧入力!D$25^2/(寸法→圧入力!D$25^2-寸法→圧入力!F$26^2)</f>
        <v>199.27309396077857</v>
      </c>
      <c r="AG20" s="99">
        <f>テーブル4[[#This Row],[半径方向応力:Δ+10℃]]*2*寸法→圧入力!D$25^2/(寸法→圧入力!D$25^2-寸法→圧入力!F$26^2)</f>
        <v>182.191766661169</v>
      </c>
      <c r="AH20" s="99">
        <f>テーブル4[[#This Row],[半径方向応力:Δ+20℃]]*2*寸法→圧入力!D$25^2/(寸法→圧入力!D$25^2-寸法→圧入力!F$26^2)</f>
        <v>165.11043936157225</v>
      </c>
      <c r="AI20" s="99">
        <f>テーブル4[[#This Row],[半径方向応力:Δ+30℃]]*2*寸法→圧入力!D$25^2/(寸法→圧入力!D$25^2-寸法→圧入力!F$26^2)</f>
        <v>148.02911206197547</v>
      </c>
      <c r="AJ20" s="99">
        <f>寸法→圧入力!$D$32</f>
        <v>345</v>
      </c>
      <c r="AK20" s="99">
        <f>テーブル4[[#This Row],[半径方向応力:Δ-30℃]]* (1+(寸法→圧入力!D$36/寸法→圧入力!F$35)^2)/((寸法→圧入力!D$36/寸法→圧入力!F$35)^2-1)</f>
        <v>96.016398639638354</v>
      </c>
      <c r="AL20" s="99">
        <f>テーブル4[[#This Row],[半径方向応力:Δ-20℃]]* (1+(寸法→圧入力!D$36/寸法→圧入力!F$35)^2)/((寸法→圧入力!D$36/寸法→圧入力!F$35)^2-1)</f>
        <v>89.469589302731066</v>
      </c>
      <c r="AM20" s="99">
        <f>テーブル4[[#This Row],[半径方向応力:Δ-10℃]]* (1+(寸法→圧入力!D$36/寸法→圧入力!F$35)^2)/((寸法→圧入力!D$36/寸法→圧入力!F$35)^2-1)</f>
        <v>82.922779965823793</v>
      </c>
      <c r="AN20" s="99">
        <f>テーブル4[[#This Row],[半径方向応力:Δ0℃]]* (1+(寸法→圧入力!D$36/寸法→圧入力!F$35)^2)/((寸法→圧入力!D$36/寸法→圧入力!F$35)^2-1)</f>
        <v>76.375970628911588</v>
      </c>
      <c r="AO20" s="99">
        <f>テーブル4[[#This Row],[半径方向応力:Δ+10℃]]* (1+(寸法→圧入力!D$36/寸法→圧入力!F$35)^2)/((寸法→圧入力!D$36/寸法→圧入力!F$35)^2-1)</f>
        <v>69.82916129199937</v>
      </c>
      <c r="AP20" s="99">
        <f>テーブル4[[#This Row],[半径方向応力:Δ+20℃]]* (1+(寸法→圧入力!D$36/寸法→圧入力!F$35)^2)/((寸法→圧入力!D$36/寸法→圧入力!F$35)^2-1)</f>
        <v>63.282351955092103</v>
      </c>
      <c r="AQ20" s="99">
        <f>テーブル4[[#This Row],[半径方向応力:Δ+30℃]]* (1+(寸法→圧入力!D$36/寸法→圧入力!F$35)^2)/((寸法→圧入力!D$36/寸法→圧入力!F$35)^2-1)</f>
        <v>56.735542618184816</v>
      </c>
      <c r="AR20" s="99">
        <f>寸法→圧入力!$D$41</f>
        <v>150</v>
      </c>
    </row>
    <row r="21" spans="1:44">
      <c r="A21" s="177">
        <f t="shared" si="0"/>
        <v>0.15</v>
      </c>
      <c r="B21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51.898298541635498</v>
      </c>
      <c r="C21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52.553386098201877</v>
      </c>
      <c r="D21" s="99">
        <f>(A21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53.205916087528159</v>
      </c>
      <c r="E21" s="99">
        <f>テーブル3[[#This Row],[半径方向応力min]]*寸法→圧入力!D$48*寸法→圧入力!D$6/1000</f>
        <v>9.0416833593091024</v>
      </c>
      <c r="F21" s="99">
        <f>テーブル3[[#This Row],[半径方向応力min]]*寸法→圧入力!E$48*寸法→圧入力!E$6/1000</f>
        <v>11.546707076855073</v>
      </c>
      <c r="G21" s="99">
        <f>テーブル3[[#This Row],[半径方向応力min]]*寸法→圧入力!F$48*寸法→圧入力!F$6/1000</f>
        <v>14.152404888276724</v>
      </c>
      <c r="H21" s="99">
        <f>寸法→圧入力!$D$32</f>
        <v>345</v>
      </c>
      <c r="I21" s="99">
        <f>寸法→圧入力!$D$41</f>
        <v>150</v>
      </c>
      <c r="J21" s="99">
        <f>テーブル3[[#This Row],[半径方向応力nor]]*2*寸法→圧入力!E$25^2/(寸法→圧入力!E$25^2-寸法→圧入力!E$26^2)</f>
        <v>265.96103157455116</v>
      </c>
      <c r="K21" s="99">
        <f>テーブル3[[#This Row],[半径方向応力nor]]* (1+(寸法→圧入力!E$36/寸法→圧入力!E$35)^2)/((寸法→圧入力!E$36/寸法→圧入力!E$35)^2-1)</f>
        <v>100.96614504902165</v>
      </c>
      <c r="N21">
        <f t="shared" si="1"/>
        <v>25</v>
      </c>
      <c r="O21" s="177">
        <f>寸法→圧入力!F$25*(1+寸法→圧入力!D$31*10^-6*(テーブル4[[#This Row],[inner温度'[℃']]]-20)) - 寸法→圧入力!D$35*(1+寸法→圧入力!D$40*10^-6*(テーブル4[[#This Row],[inner温度'[℃']]]+O$3-20))</f>
        <v>0.13625059500000702</v>
      </c>
      <c r="P21" s="177">
        <f>寸法→圧入力!F$25*(1+寸法→圧入力!D$31*10^-6*(テーブル4[[#This Row],[inner温度'[℃']]]-20)) - 寸法→圧入力!D$35*(1+寸法→圧入力!D$40*10^-6*(テーブル4[[#This Row],[inner温度'[℃']]]+P$3-20))</f>
        <v>0.12682159500000267</v>
      </c>
      <c r="Q21" s="177">
        <f>寸法→圧入力!F$25*(1+寸法→圧入力!D$31*10^-6*(テーブル4[[#This Row],[inner温度'[℃']]]-20)) - 寸法→圧入力!D$35*(1+寸法→圧入力!D$40*10^-6*(テーブル4[[#This Row],[inner温度'[℃']]]+Q$3-20))</f>
        <v>0.11739259500000543</v>
      </c>
      <c r="R21" s="177">
        <f>寸法→圧入力!F$25*(1+寸法→圧入力!D$31*10^-6*(テーブル4[[#This Row],[inner温度'[℃']]]-20)) - 寸法→圧入力!D$35*(1+寸法→圧入力!D$40*10^-6*(テーブル4[[#This Row],[inner温度'[℃']]]+R$3-20))</f>
        <v>0.10796359500000818</v>
      </c>
      <c r="S21" s="177">
        <f>寸法→圧入力!F$25*(1+寸法→圧入力!D$31*10^-6*(テーブル4[[#This Row],[inner温度'[℃']]]-20)) - 寸法→圧入力!D$35*(1+寸法→圧入力!D$40*10^-6*(テーブル4[[#This Row],[inner温度'[℃']]]+S$3-20))</f>
        <v>9.8534595000003833E-2</v>
      </c>
      <c r="T21" s="177">
        <f>寸法→圧入力!F$25*(1+寸法→圧入力!D$31*10^-6*(テーブル4[[#This Row],[inner温度'[℃']]]-20)) - 寸法→圧入力!D$35*(1+寸法→圧入力!D$40*10^-6*(テーブル4[[#This Row],[inner温度'[℃']]]+T$3-20))</f>
        <v>8.9105594999999482E-2</v>
      </c>
      <c r="U21" s="177">
        <f>寸法→圧入力!F$25*(1+寸法→圧入力!D$31*10^-6*(テーブル4[[#This Row],[inner温度'[℃']]]-20)) - 寸法→圧入力!D$35*(1+寸法→圧入力!D$40*10^-6*(テーブル4[[#This Row],[inner温度'[℃']]]+U$3-20))</f>
        <v>7.9676595000009343E-2</v>
      </c>
      <c r="V21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48.328918162974389</v>
      </c>
      <c r="W21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44.98439427771082</v>
      </c>
      <c r="X21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41.63987039244978</v>
      </c>
      <c r="Y21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38.295346507188739</v>
      </c>
      <c r="Z21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34.950822621925177</v>
      </c>
      <c r="AA21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31.606298736661607</v>
      </c>
      <c r="AB21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28.261774851403086</v>
      </c>
      <c r="AC21" s="99">
        <f>テーブル4[[#This Row],[半径方向応力:Δ-30℃]]*2*寸法→圧入力!D$25^2/(寸法→圧入力!D$25^2-寸法→圧入力!F$26^2)</f>
        <v>246.82797836044122</v>
      </c>
      <c r="AD21" s="99">
        <f>テーブル4[[#This Row],[半径方向応力:Δ-20℃]]*2*寸法→圧入力!D$25^2/(寸法→圧入力!D$25^2-寸法→圧入力!F$26^2)</f>
        <v>229.74665106083154</v>
      </c>
      <c r="AE21" s="99">
        <f>テーブル4[[#This Row],[半径方向応力:Δ-10℃]]*2*寸法→圧入力!D$25^2/(寸法→圧入力!D$25^2-寸法→圧入力!F$26^2)</f>
        <v>212.66532376123484</v>
      </c>
      <c r="AF21" s="99">
        <f>テーブル4[[#This Row],[半径方向応力:Δ0℃]]*2*寸法→圧入力!D$25^2/(寸法→圧入力!D$25^2-寸法→圧入力!F$26^2)</f>
        <v>195.58399646163809</v>
      </c>
      <c r="AG21" s="99">
        <f>テーブル4[[#This Row],[半径方向応力:Δ+10℃]]*2*寸法→圧入力!D$25^2/(寸法→圧入力!D$25^2-寸法→圧入力!F$26^2)</f>
        <v>178.5026691620285</v>
      </c>
      <c r="AH21" s="99">
        <f>テーブル4[[#This Row],[半径方向応力:Δ+20℃]]*2*寸法→圧入力!D$25^2/(寸法→圧入力!D$25^2-寸法→圧入力!F$26^2)</f>
        <v>161.42134186241881</v>
      </c>
      <c r="AI21" s="99">
        <f>テーブル4[[#This Row],[半径方向応力:Δ+30℃]]*2*寸法→圧入力!D$25^2/(寸法→圧入力!D$25^2-寸法→圧入力!F$26^2)</f>
        <v>144.34001456283497</v>
      </c>
      <c r="AJ21" s="99">
        <f>寸法→圧入力!$D$32</f>
        <v>345</v>
      </c>
      <c r="AK21" s="99">
        <f>テーブル4[[#This Row],[半径方向応力:Δ-30℃]]* (1+(寸法→圧入力!D$36/寸法→圧入力!F$35)^2)/((寸法→圧入力!D$36/寸法→圧入力!F$35)^2-1)</f>
        <v>94.602467653566535</v>
      </c>
      <c r="AL21" s="99">
        <f>テーブル4[[#This Row],[半径方向応力:Δ-20℃]]* (1+(寸法→圧入力!D$36/寸法→圧入力!F$35)^2)/((寸法→圧入力!D$36/寸法→圧入力!F$35)^2-1)</f>
        <v>88.055658316654302</v>
      </c>
      <c r="AM21" s="99">
        <f>テーブル4[[#This Row],[半径方向応力:Δ-10℃]]* (1+(寸法→圧入力!D$36/寸法→圧入力!F$35)^2)/((寸法→圧入力!D$36/寸法→圧入力!F$35)^2-1)</f>
        <v>81.508848979747043</v>
      </c>
      <c r="AN21" s="99">
        <f>テーブル4[[#This Row],[半径方向応力:Δ0℃]]* (1+(寸法→圧入力!D$36/寸法→圧入力!F$35)^2)/((寸法→圧入力!D$36/寸法→圧入力!F$35)^2-1)</f>
        <v>74.962039642839756</v>
      </c>
      <c r="AO21" s="99">
        <f>テーブル4[[#This Row],[半径方向応力:Δ+10℃]]* (1+(寸法→圧入力!D$36/寸法→圧入力!F$35)^2)/((寸法→圧入力!D$36/寸法→圧入力!F$35)^2-1)</f>
        <v>68.415230305927551</v>
      </c>
      <c r="AP21" s="99">
        <f>テーブル4[[#This Row],[半径方向応力:Δ+20℃]]* (1+(寸法→圧入力!D$36/寸法→圧入力!F$35)^2)/((寸法→圧入力!D$36/寸法→圧入力!F$35)^2-1)</f>
        <v>61.868420969015339</v>
      </c>
      <c r="AQ21" s="99">
        <f>テーブル4[[#This Row],[半径方向応力:Δ+30℃]]* (1+(寸法→圧入力!D$36/寸法→圧入力!F$35)^2)/((寸法→圧入力!D$36/寸法→圧入力!F$35)^2-1)</f>
        <v>55.32161163211299</v>
      </c>
      <c r="AR21" s="99">
        <f>寸法→圧入力!$D$41</f>
        <v>150</v>
      </c>
    </row>
    <row r="22" spans="1:44">
      <c r="A22" s="177">
        <f t="shared" si="0"/>
        <v>0.16</v>
      </c>
      <c r="B22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55.358185111077866</v>
      </c>
      <c r="C22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56.056945171415343</v>
      </c>
      <c r="D22" s="99">
        <f>(A22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56.752977160030042</v>
      </c>
      <c r="E22" s="99">
        <f>テーブル3[[#This Row],[半径方向応力min]]*寸法→圧入力!D$48*寸法→圧入力!D$6/1000</f>
        <v>9.6444622499297132</v>
      </c>
      <c r="F22" s="99">
        <f>テーブル3[[#This Row],[半径方向応力min]]*寸法→圧入力!E$48*寸法→圧入力!E$6/1000</f>
        <v>12.316487548645409</v>
      </c>
      <c r="G22" s="99">
        <f>テーブル3[[#This Row],[半径方向応力min]]*寸法→圧入力!F$48*寸法→圧入力!F$6/1000</f>
        <v>15.095898547495173</v>
      </c>
      <c r="H22" s="99">
        <f>寸法→圧入力!$D$32</f>
        <v>345</v>
      </c>
      <c r="I22" s="99">
        <f>寸法→圧入力!$D$41</f>
        <v>150</v>
      </c>
      <c r="J22" s="99">
        <f>テーブル3[[#This Row],[半径方向応力nor]]*2*寸法→圧入力!E$25^2/(寸法→圧入力!E$25^2-寸法→圧入力!E$26^2)</f>
        <v>283.6917670128546</v>
      </c>
      <c r="K22" s="99">
        <f>テーブル3[[#This Row],[半径方向応力nor]]* (1+(寸法→圧入力!E$36/寸法→圧入力!E$35)^2)/((寸法→圧入力!E$36/寸法→圧入力!E$35)^2-1)</f>
        <v>107.6972213856231</v>
      </c>
      <c r="N22">
        <f t="shared" si="1"/>
        <v>30</v>
      </c>
      <c r="O22" s="177">
        <f>寸法→圧入力!F$25*(1+寸法→圧入力!D$31*10^-6*(テーブル4[[#This Row],[inner温度'[℃']]]-20)) - 寸法→圧入力!D$35*(1+寸法→圧入力!D$40*10^-6*(テーブル4[[#This Row],[inner温度'[℃']]]+O$3-20))</f>
        <v>0.13421419000000157</v>
      </c>
      <c r="P22" s="177">
        <f>寸法→圧入力!F$25*(1+寸法→圧入力!D$31*10^-6*(テーブル4[[#This Row],[inner温度'[℃']]]-20)) - 寸法→圧入力!D$35*(1+寸法→圧入力!D$40*10^-6*(テーブル4[[#This Row],[inner温度'[℃']]]+P$3-20))</f>
        <v>0.12478519000000432</v>
      </c>
      <c r="Q22" s="177">
        <f>寸法→圧入力!F$25*(1+寸法→圧入力!D$31*10^-6*(テーブル4[[#This Row],[inner温度'[℃']]]-20)) - 寸法→圧入力!D$35*(1+寸法→圧入力!D$40*10^-6*(テーブル4[[#This Row],[inner温度'[℃']]]+Q$3-20))</f>
        <v>0.11535618999999997</v>
      </c>
      <c r="R22" s="177">
        <f>寸法→圧入力!F$25*(1+寸法→圧入力!D$31*10^-6*(テーブル4[[#This Row],[inner温度'[℃']]]-20)) - 寸法→圧入力!D$35*(1+寸法→圧入力!D$40*10^-6*(テーブル4[[#This Row],[inner温度'[℃']]]+R$3-20))</f>
        <v>0.10592718999999562</v>
      </c>
      <c r="S22" s="177">
        <f>寸法→圧入力!F$25*(1+寸法→圧入力!D$31*10^-6*(テーブル4[[#This Row],[inner温度'[℃']]]-20)) - 寸法→圧入力!D$35*(1+寸法→圧入力!D$40*10^-6*(テーブル4[[#This Row],[inner温度'[℃']]]+S$3-20))</f>
        <v>9.6498189999998374E-2</v>
      </c>
      <c r="T22" s="177">
        <f>寸法→圧入力!F$25*(1+寸法→圧入力!D$31*10^-6*(テーブル4[[#This Row],[inner温度'[℃']]]-20)) - 寸法→圧入力!D$35*(1+寸法→圧入力!D$40*10^-6*(テーブル4[[#This Row],[inner温度'[℃']]]+T$3-20))</f>
        <v>8.7069190000001129E-2</v>
      </c>
      <c r="U22" s="177">
        <f>寸法→圧入力!F$25*(1+寸法→圧入力!D$31*10^-6*(テーブル4[[#This Row],[inner温度'[℃']]]-20)) - 寸法→圧入力!D$35*(1+寸法→圧入力!D$40*10^-6*(テーブル4[[#This Row],[inner温度'[℃']]]+U$3-20))</f>
        <v>7.7640190000003884E-2</v>
      </c>
      <c r="V22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47.606592872637627</v>
      </c>
      <c r="W22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44.262068987376587</v>
      </c>
      <c r="X22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40.917545102113024</v>
      </c>
      <c r="Y22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37.573021216849462</v>
      </c>
      <c r="Z22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34.228497331588414</v>
      </c>
      <c r="AA22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30.883973446327374</v>
      </c>
      <c r="AB22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27.539449561066331</v>
      </c>
      <c r="AC22" s="99">
        <f>テーブル4[[#This Row],[半径方向応力:Δ-30℃]]*2*寸法→圧入力!D$25^2/(寸法→圧入力!D$25^2-寸法→圧入力!F$26^2)</f>
        <v>243.13888086127491</v>
      </c>
      <c r="AD22" s="99">
        <f>テーブル4[[#This Row],[半径方向応力:Δ-20℃]]*2*寸法→圧入力!D$25^2/(寸法→圧入力!D$25^2-寸法→圧入力!F$26^2)</f>
        <v>226.05755356167816</v>
      </c>
      <c r="AE22" s="99">
        <f>テーブル4[[#This Row],[半径方向応力:Δ-10℃]]*2*寸法→圧入力!D$25^2/(寸法→圧入力!D$25^2-寸法→圧入力!F$26^2)</f>
        <v>208.97622626206856</v>
      </c>
      <c r="AF22" s="99">
        <f>テーブル4[[#This Row],[半径方向応力:Δ0℃]]*2*寸法→圧入力!D$25^2/(寸法→圧入力!D$25^2-寸法→圧入力!F$26^2)</f>
        <v>191.89489896245894</v>
      </c>
      <c r="AG22" s="99">
        <f>テーブル4[[#This Row],[半径方向応力:Δ+10℃]]*2*寸法→圧入力!D$25^2/(寸法→圧入力!D$25^2-寸法→圧入力!F$26^2)</f>
        <v>174.81357166286216</v>
      </c>
      <c r="AH22" s="99">
        <f>テーブル4[[#This Row],[半径方向応力:Δ+20℃]]*2*寸法→圧入力!D$25^2/(寸法→圧入力!D$25^2-寸法→圧入力!F$26^2)</f>
        <v>157.73224436326544</v>
      </c>
      <c r="AI22" s="99">
        <f>テーブル4[[#This Row],[半径方向応力:Δ+30℃]]*2*寸法→圧入力!D$25^2/(寸法→圧入力!D$25^2-寸法→圧入力!F$26^2)</f>
        <v>140.65091706366871</v>
      </c>
      <c r="AJ22" s="99">
        <f>寸法→圧入力!$D$32</f>
        <v>345</v>
      </c>
      <c r="AK22" s="99">
        <f>テーブル4[[#This Row],[半径方向応力:Δ-30℃]]* (1+(寸法→圧入力!D$36/寸法→圧入力!F$35)^2)/((寸法→圧入力!D$36/寸法→圧入力!F$35)^2-1)</f>
        <v>93.188536667484826</v>
      </c>
      <c r="AL22" s="99">
        <f>テーブル4[[#This Row],[半径方向応力:Δ-20℃]]* (1+(寸法→圧入力!D$36/寸法→圧入力!F$35)^2)/((寸法→圧入力!D$36/寸法→圧入力!F$35)^2-1)</f>
        <v>86.641727330577552</v>
      </c>
      <c r="AM22" s="99">
        <f>テーブル4[[#This Row],[半径方向応力:Δ-10℃]]* (1+(寸法→圧入力!D$36/寸法→圧入力!F$35)^2)/((寸法→圧入力!D$36/寸法→圧入力!F$35)^2-1)</f>
        <v>80.094917993665348</v>
      </c>
      <c r="AN22" s="99">
        <f>テーブル4[[#This Row],[半径方向応力:Δ0℃]]* (1+(寸法→圧入力!D$36/寸法→圧入力!F$35)^2)/((寸法→圧入力!D$36/寸法→圧入力!F$35)^2-1)</f>
        <v>73.548108656753129</v>
      </c>
      <c r="AO22" s="99">
        <f>テーブル4[[#This Row],[半径方向応力:Δ+10℃]]* (1+(寸法→圧入力!D$36/寸法→圧入力!F$35)^2)/((寸法→圧入力!D$36/寸法→圧入力!F$35)^2-1)</f>
        <v>67.001299319845856</v>
      </c>
      <c r="AP22" s="99">
        <f>テーブル4[[#This Row],[半径方向応力:Δ+20℃]]* (1+(寸法→圧入力!D$36/寸法→圧入力!F$35)^2)/((寸法→圧入力!D$36/寸法→圧入力!F$35)^2-1)</f>
        <v>60.454489982938568</v>
      </c>
      <c r="AQ22" s="99">
        <f>テーブル4[[#This Row],[半径方向応力:Δ+30℃]]* (1+(寸法→圧入力!D$36/寸法→圧入力!F$35)^2)/((寸法→圧入力!D$36/寸法→圧入力!F$35)^2-1)</f>
        <v>53.907680646031288</v>
      </c>
      <c r="AR22" s="99">
        <f>寸法→圧入力!$D$41</f>
        <v>150</v>
      </c>
    </row>
    <row r="23" spans="1:44">
      <c r="A23" s="177">
        <f t="shared" si="0"/>
        <v>0.17</v>
      </c>
      <c r="B23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58.818071680520234</v>
      </c>
      <c r="C23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59.560504244628802</v>
      </c>
      <c r="D23" s="99">
        <f>(A23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60.300038232531918</v>
      </c>
      <c r="E23" s="99">
        <f>テーブル3[[#This Row],[半径方向応力min]]*寸法→圧入力!D$48*寸法→圧入力!D$6/1000</f>
        <v>10.247241140550319</v>
      </c>
      <c r="F23" s="99">
        <f>テーブル3[[#This Row],[半径方向応力min]]*寸法→圧入力!E$48*寸法→圧入力!E$6/1000</f>
        <v>13.08626802043575</v>
      </c>
      <c r="G23" s="99">
        <f>テーブル3[[#This Row],[半径方向応力min]]*寸法→圧入力!F$48*寸法→圧入力!F$6/1000</f>
        <v>16.039392206713622</v>
      </c>
      <c r="H23" s="99">
        <f>寸法→圧入力!$D$32</f>
        <v>345</v>
      </c>
      <c r="I23" s="99">
        <f>寸法→圧入力!$D$41</f>
        <v>150</v>
      </c>
      <c r="J23" s="99">
        <f>テーブル3[[#This Row],[半径方向応力nor]]*2*寸法→圧入力!E$25^2/(寸法→圧入力!E$25^2-寸法→圧入力!E$26^2)</f>
        <v>301.42250245115798</v>
      </c>
      <c r="K23" s="99">
        <f>テーブル3[[#This Row],[半径方向応力nor]]* (1+(寸法→圧入力!E$36/寸法→圧入力!E$35)^2)/((寸法→圧入力!E$36/寸法→圧入力!E$35)^2-1)</f>
        <v>114.42829772222454</v>
      </c>
      <c r="N23">
        <f>N22+5</f>
        <v>35</v>
      </c>
      <c r="O23" s="177">
        <f>寸法→圧入力!F$25*(1+寸法→圧入力!D$31*10^-6*(テーブル4[[#This Row],[inner温度'[℃']]]-20)) - 寸法→圧入力!D$35*(1+寸法→圧入力!D$40*10^-6*(テーブル4[[#This Row],[inner温度'[℃']]]+O$3-20))</f>
        <v>0.13217778499999611</v>
      </c>
      <c r="P23" s="177">
        <f>寸法→圧入力!F$25*(1+寸法→圧入力!D$31*10^-6*(テーブル4[[#This Row],[inner温度'[℃']]]-20)) - 寸法→圧入力!D$35*(1+寸法→圧入力!D$40*10^-6*(テーブル4[[#This Row],[inner温度'[℃']]]+P$3-20))</f>
        <v>0.12274878499999886</v>
      </c>
      <c r="Q23" s="177">
        <f>寸法→圧入力!F$25*(1+寸法→圧入力!D$31*10^-6*(テーブル4[[#This Row],[inner温度'[℃']]]-20)) - 寸法→圧入力!D$35*(1+寸法→圧入力!D$40*10^-6*(テーブル4[[#This Row],[inner温度'[℃']]]+Q$3-20))</f>
        <v>0.11331978500000162</v>
      </c>
      <c r="R23" s="177">
        <f>寸法→圧入力!F$25*(1+寸法→圧入力!D$31*10^-6*(テーブル4[[#This Row],[inner温度'[℃']]]-20)) - 寸法→圧入力!D$35*(1+寸法→圧入力!D$40*10^-6*(テーブル4[[#This Row],[inner温度'[℃']]]+R$3-20))</f>
        <v>0.10389078499999727</v>
      </c>
      <c r="S23" s="177">
        <f>寸法→圧入力!F$25*(1+寸法→圧入力!D$31*10^-6*(テーブル4[[#This Row],[inner温度'[℃']]]-20)) - 寸法→圧入力!D$35*(1+寸法→圧入力!D$40*10^-6*(テーブル4[[#This Row],[inner温度'[℃']]]+S$3-20))</f>
        <v>9.4461784999992915E-2</v>
      </c>
      <c r="T23" s="177">
        <f>寸法→圧入力!F$25*(1+寸法→圧入力!D$31*10^-6*(テーブル4[[#This Row],[inner温度'[℃']]]-20)) - 寸法→圧入力!D$35*(1+寸法→圧入力!D$40*10^-6*(テーブル4[[#This Row],[inner温度'[℃']]]+T$3-20))</f>
        <v>8.5032785000002775E-2</v>
      </c>
      <c r="U23" s="177">
        <f>寸法→圧入力!F$25*(1+寸法→圧入力!D$31*10^-6*(テーブル4[[#This Row],[inner温度'[℃']]]-20)) - 寸法→圧入力!D$35*(1+寸法→圧入力!D$40*10^-6*(テーブル4[[#This Row],[inner温度'[℃']]]+U$3-20))</f>
        <v>7.5603784999998425E-2</v>
      </c>
      <c r="V23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46.884267582300872</v>
      </c>
      <c r="W23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43.539743697039832</v>
      </c>
      <c r="X23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40.195219811778792</v>
      </c>
      <c r="Y23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36.850695926515222</v>
      </c>
      <c r="Z23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33.506172041251659</v>
      </c>
      <c r="AA23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30.161648155993138</v>
      </c>
      <c r="AB23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26.817124270729575</v>
      </c>
      <c r="AC23" s="99">
        <f>テーブル4[[#This Row],[半径方向応力:Δ-30℃]]*2*寸法→圧入力!D$25^2/(寸法→圧入力!D$25^2-寸法→圧入力!F$26^2)</f>
        <v>239.44978336210866</v>
      </c>
      <c r="AD23" s="99">
        <f>テーブル4[[#This Row],[半径方向応力:Δ-20℃]]*2*寸法→圧入力!D$25^2/(寸法→圧入力!D$25^2-寸法→圧入力!F$26^2)</f>
        <v>222.36845606251191</v>
      </c>
      <c r="AE23" s="99">
        <f>テーブル4[[#This Row],[半径方向応力:Δ-10℃]]*2*寸法→圧入力!D$25^2/(寸法→圧入力!D$25^2-寸法→圧入力!F$26^2)</f>
        <v>205.28712876291516</v>
      </c>
      <c r="AF23" s="99">
        <f>テーブル4[[#This Row],[半径方向応力:Δ0℃]]*2*寸法→圧入力!D$25^2/(寸法→圧入力!D$25^2-寸法→圧入力!F$26^2)</f>
        <v>188.20580146330553</v>
      </c>
      <c r="AG23" s="99">
        <f>テーブル4[[#This Row],[半径方向応力:Δ+10℃]]*2*寸法→圧入力!D$25^2/(寸法→圧入力!D$25^2-寸法→圧入力!F$26^2)</f>
        <v>171.12447416369591</v>
      </c>
      <c r="AH23" s="99">
        <f>テーブル4[[#This Row],[半径方向応力:Δ+20℃]]*2*寸法→圧入力!D$25^2/(寸法→圧入力!D$25^2-寸法→圧入力!F$26^2)</f>
        <v>154.04314686411203</v>
      </c>
      <c r="AI23" s="99">
        <f>テーブル4[[#This Row],[半径方向応力:Δ+30℃]]*2*寸法→圧入力!D$25^2/(寸法→圧入力!D$25^2-寸法→圧入力!F$26^2)</f>
        <v>136.96181956450243</v>
      </c>
      <c r="AJ23" s="99">
        <f>寸法→圧入力!$D$32</f>
        <v>345</v>
      </c>
      <c r="AK23" s="99">
        <f>テーブル4[[#This Row],[半径方向応力:Δ-30℃]]* (1+(寸法→圧入力!D$36/寸法→圧入力!F$35)^2)/((寸法→圧入力!D$36/寸法→圧入力!F$35)^2-1)</f>
        <v>91.774605681403131</v>
      </c>
      <c r="AL23" s="99">
        <f>テーブル4[[#This Row],[半径方向応力:Δ-20℃]]* (1+(寸法→圧入力!D$36/寸法→圧入力!F$35)^2)/((寸法→圧入力!D$36/寸法→圧入力!F$35)^2-1)</f>
        <v>85.227796344495857</v>
      </c>
      <c r="AM23" s="99">
        <f>テーブル4[[#This Row],[半径方向応力:Δ-10℃]]* (1+(寸法→圧入力!D$36/寸法→圧入力!F$35)^2)/((寸法→圧入力!D$36/寸法→圧入力!F$35)^2-1)</f>
        <v>78.680987007588584</v>
      </c>
      <c r="AN23" s="99">
        <f>テーブル4[[#This Row],[半径方向応力:Δ0℃]]* (1+(寸法→圧入力!D$36/寸法→圧入力!F$35)^2)/((寸法→圧入力!D$36/寸法→圧入力!F$35)^2-1)</f>
        <v>72.134177670676365</v>
      </c>
      <c r="AO23" s="99">
        <f>テーブル4[[#This Row],[半径方向応力:Δ+10℃]]* (1+(寸法→圧入力!D$36/寸法→圧入力!F$35)^2)/((寸法→圧入力!D$36/寸法→圧入力!F$35)^2-1)</f>
        <v>65.587368333764147</v>
      </c>
      <c r="AP23" s="99">
        <f>テーブル4[[#This Row],[半径方向応力:Δ+20℃]]* (1+(寸法→圧入力!D$36/寸法→圧入力!F$35)^2)/((寸法→圧入力!D$36/寸法→圧入力!F$35)^2-1)</f>
        <v>59.040558996861805</v>
      </c>
      <c r="AQ23" s="99">
        <f>テーブル4[[#This Row],[半径方向応力:Δ+30℃]]* (1+(寸法→圧入力!D$36/寸法→圧入力!F$35)^2)/((寸法→圧入力!D$36/寸法→圧入力!F$35)^2-1)</f>
        <v>52.4937496599496</v>
      </c>
      <c r="AR23" s="99">
        <f>寸法→圧入力!$D$41</f>
        <v>150</v>
      </c>
    </row>
    <row r="24" spans="1:44">
      <c r="A24" s="177">
        <f t="shared" si="0"/>
        <v>0.18</v>
      </c>
      <c r="B24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62.277958249962602</v>
      </c>
      <c r="C24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63.064063317842262</v>
      </c>
      <c r="D24" s="99">
        <f>(A24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63.847099305033794</v>
      </c>
      <c r="E24" s="99">
        <f>テーブル3[[#This Row],[半径方向応力min]]*寸法→圧入力!D$48*寸法→圧入力!D$6/1000</f>
        <v>10.850020031170926</v>
      </c>
      <c r="F24" s="99">
        <f>テーブル3[[#This Row],[半径方向応力min]]*寸法→圧入力!E$48*寸法→圧入力!E$6/1000</f>
        <v>13.856048492226087</v>
      </c>
      <c r="G24" s="99">
        <f>テーブル3[[#This Row],[半径方向応力min]]*寸法→圧入力!F$48*寸法→圧入力!F$6/1000</f>
        <v>16.982885865932072</v>
      </c>
      <c r="H24" s="99">
        <f>寸法→圧入力!$D$32</f>
        <v>345</v>
      </c>
      <c r="I24" s="99">
        <f>寸法→圧入力!$D$41</f>
        <v>150</v>
      </c>
      <c r="J24" s="99">
        <f>テーブル3[[#This Row],[半径方向応力nor]]*2*寸法→圧入力!E$25^2/(寸法→圧入力!E$25^2-寸法→圧入力!E$26^2)</f>
        <v>319.15323788946142</v>
      </c>
      <c r="K24" s="99">
        <f>テーブル3[[#This Row],[半径方向応力nor]]* (1+(寸法→圧入力!E$36/寸法→圧入力!E$35)^2)/((寸法→圧入力!E$36/寸法→圧入力!E$35)^2-1)</f>
        <v>121.15937405882597</v>
      </c>
      <c r="N24">
        <f t="shared" si="1"/>
        <v>40</v>
      </c>
      <c r="O24" s="177">
        <f>寸法→圧入力!F$25*(1+寸法→圧入力!D$31*10^-6*(テーブル4[[#This Row],[inner温度'[℃']]]-20)) - 寸法→圧入力!D$35*(1+寸法→圧入力!D$40*10^-6*(テーブル4[[#This Row],[inner温度'[℃']]]+O$3-20))</f>
        <v>0.13014138000000486</v>
      </c>
      <c r="P24" s="177">
        <f>寸法→圧入力!F$25*(1+寸法→圧入力!D$31*10^-6*(テーブル4[[#This Row],[inner温度'[℃']]]-20)) - 寸法→圧入力!D$35*(1+寸法→圧入力!D$40*10^-6*(テーブル4[[#This Row],[inner温度'[℃']]]+P$3-20))</f>
        <v>0.12071238000000051</v>
      </c>
      <c r="Q24" s="177">
        <f>寸法→圧入力!F$25*(1+寸法→圧入力!D$31*10^-6*(テーブル4[[#This Row],[inner温度'[℃']]]-20)) - 寸法→圧入力!D$35*(1+寸法→圧入力!D$40*10^-6*(テーブル4[[#This Row],[inner温度'[℃']]]+Q$3-20))</f>
        <v>0.11128337999999616</v>
      </c>
      <c r="R24" s="177">
        <f>寸法→圧入力!F$25*(1+寸法→圧入力!D$31*10^-6*(テーブル4[[#This Row],[inner温度'[℃']]]-20)) - 寸法→圧入力!D$35*(1+寸法→圧入力!D$40*10^-6*(テーブル4[[#This Row],[inner温度'[℃']]]+R$3-20))</f>
        <v>0.10185437999999891</v>
      </c>
      <c r="S24" s="177">
        <f>寸法→圧入力!F$25*(1+寸法→圧入力!D$31*10^-6*(テーブル4[[#This Row],[inner温度'[℃']]]-20)) - 寸法→圧入力!D$35*(1+寸法→圧入力!D$40*10^-6*(テーブル4[[#This Row],[inner温度'[℃']]]+S$3-20))</f>
        <v>9.2425380000001667E-2</v>
      </c>
      <c r="T24" s="177">
        <f>寸法→圧入力!F$25*(1+寸法→圧入力!D$31*10^-6*(テーブル4[[#This Row],[inner温度'[℃']]]-20)) - 寸法→圧入力!D$35*(1+寸法→圧入力!D$40*10^-6*(テーブル4[[#This Row],[inner温度'[℃']]]+T$3-20))</f>
        <v>8.2996380000004422E-2</v>
      </c>
      <c r="U24" s="177">
        <f>寸法→圧入力!F$25*(1+寸法→圧入力!D$31*10^-6*(テーブル4[[#This Row],[inner温度'[℃']]]-20)) - 寸法→圧入力!D$35*(1+寸法→圧入力!D$40*10^-6*(テーブル4[[#This Row],[inner温度'[℃']]]+U$3-20))</f>
        <v>7.3567380000000071E-2</v>
      </c>
      <c r="V24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46.161942291969162</v>
      </c>
      <c r="W24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42.817418406705599</v>
      </c>
      <c r="X24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39.472894521442036</v>
      </c>
      <c r="Y24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36.128370636180989</v>
      </c>
      <c r="Z24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32.783846750919949</v>
      </c>
      <c r="AA24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29.439322865658905</v>
      </c>
      <c r="AB24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26.094798980395339</v>
      </c>
      <c r="AC24" s="99">
        <f>テーブル4[[#This Row],[半径方向応力:Δ-30℃]]*2*寸法→圧入力!D$25^2/(寸法→圧入力!D$25^2-寸法→圧入力!F$26^2)</f>
        <v>235.76068586296813</v>
      </c>
      <c r="AD24" s="99">
        <f>テーブル4[[#This Row],[半径方向応力:Δ-20℃]]*2*寸法→圧入力!D$25^2/(寸法→圧入力!D$25^2-寸法→圧入力!F$26^2)</f>
        <v>218.67935856335853</v>
      </c>
      <c r="AE24" s="99">
        <f>テーブル4[[#This Row],[半径方向応力:Δ-10℃]]*2*寸法→圧入力!D$25^2/(寸法→圧入力!D$25^2-寸法→圧入力!F$26^2)</f>
        <v>201.59803126374891</v>
      </c>
      <c r="AF24" s="99">
        <f>テーブル4[[#This Row],[半径方向応力:Δ0℃]]*2*寸法→圧入力!D$25^2/(寸法→圧入力!D$25^2-寸法→圧入力!F$26^2)</f>
        <v>184.51670396415216</v>
      </c>
      <c r="AG24" s="99">
        <f>テーブル4[[#This Row],[半径方向応力:Δ+10℃]]*2*寸法→圧入力!D$25^2/(寸法→圧入力!D$25^2-寸法→圧入力!F$26^2)</f>
        <v>167.43537666455541</v>
      </c>
      <c r="AH24" s="99">
        <f>テーブル4[[#This Row],[半径方向応力:Δ+20℃]]*2*寸法→圧入力!D$25^2/(寸法→圧入力!D$25^2-寸法→圧入力!F$26^2)</f>
        <v>150.35404936495866</v>
      </c>
      <c r="AI24" s="99">
        <f>テーブル4[[#This Row],[半径方向応力:Δ+30℃]]*2*寸法→圧入力!D$25^2/(寸法→圧入力!D$25^2-寸法→圧入力!F$26^2)</f>
        <v>133.27272206534903</v>
      </c>
      <c r="AJ24" s="99">
        <f>寸法→圧入力!$D$32</f>
        <v>345</v>
      </c>
      <c r="AK24" s="99">
        <f>テーブル4[[#This Row],[半径方向応力:Δ-30℃]]* (1+(寸法→圧入力!D$36/寸法→圧入力!F$35)^2)/((寸法→圧入力!D$36/寸法→圧入力!F$35)^2-1)</f>
        <v>90.360674695331312</v>
      </c>
      <c r="AL24" s="99">
        <f>テーブル4[[#This Row],[半径方向応力:Δ-20℃]]* (1+(寸法→圧入力!D$36/寸法→圧入力!F$35)^2)/((寸法→圧入力!D$36/寸法→圧入力!F$35)^2-1)</f>
        <v>83.813865358419093</v>
      </c>
      <c r="AM24" s="99">
        <f>テーブル4[[#This Row],[半径方向応力:Δ-10℃]]* (1+(寸法→圧入力!D$36/寸法→圧入力!F$35)^2)/((寸法→圧入力!D$36/寸法→圧入力!F$35)^2-1)</f>
        <v>77.267056021506889</v>
      </c>
      <c r="AN24" s="99">
        <f>テーブル4[[#This Row],[半径方向応力:Δ0℃]]* (1+(寸法→圧入力!D$36/寸法→圧入力!F$35)^2)/((寸法→圧入力!D$36/寸法→圧入力!F$35)^2-1)</f>
        <v>70.720246684599601</v>
      </c>
      <c r="AO24" s="99">
        <f>テーブル4[[#This Row],[半径方向応力:Δ+10℃]]* (1+(寸法→圧入力!D$36/寸法→圧入力!F$35)^2)/((寸法→圧入力!D$36/寸法→圧入力!F$35)^2-1)</f>
        <v>64.173437347692328</v>
      </c>
      <c r="AP24" s="99">
        <f>テーブル4[[#This Row],[半径方向応力:Δ+20℃]]* (1+(寸法→圧入力!D$36/寸法→圧入力!F$35)^2)/((寸法→圧入力!D$36/寸法→圧入力!F$35)^2-1)</f>
        <v>57.626628010785055</v>
      </c>
      <c r="AQ24" s="99">
        <f>テーブル4[[#This Row],[半径方向応力:Δ+30℃]]* (1+(寸法→圧入力!D$36/寸法→圧入力!F$35)^2)/((寸法→圧入力!D$36/寸法→圧入力!F$35)^2-1)</f>
        <v>51.079818673872836</v>
      </c>
      <c r="AR24" s="99">
        <f>寸法→圧入力!$D$41</f>
        <v>150</v>
      </c>
    </row>
    <row r="25" spans="1:44">
      <c r="A25" s="177">
        <f t="shared" si="0"/>
        <v>0.19</v>
      </c>
      <c r="B25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65.73784481940497</v>
      </c>
      <c r="C25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66.567622391055721</v>
      </c>
      <c r="D25" s="99">
        <f>(A25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67.394160377535684</v>
      </c>
      <c r="E25" s="99">
        <f>テーブル3[[#This Row],[半径方向応力min]]*寸法→圧入力!D$48*寸法→圧入力!D$6/1000</f>
        <v>11.452798921791533</v>
      </c>
      <c r="F25" s="99">
        <f>テーブル3[[#This Row],[半径方向応力min]]*寸法→圧入力!E$48*寸法→圧入力!E$6/1000</f>
        <v>14.625828964016424</v>
      </c>
      <c r="G25" s="99">
        <f>テーブル3[[#This Row],[半径方向応力min]]*寸法→圧入力!F$48*寸法→圧入力!F$6/1000</f>
        <v>17.926379525150519</v>
      </c>
      <c r="H25" s="99">
        <f>寸法→圧入力!$D$32</f>
        <v>345</v>
      </c>
      <c r="I25" s="99">
        <f>寸法→圧入力!$D$41</f>
        <v>150</v>
      </c>
      <c r="J25" s="99">
        <f>テーブル3[[#This Row],[半径方向応力nor]]*2*寸法→圧入力!E$25^2/(寸法→圧入力!E$25^2-寸法→圧入力!E$26^2)</f>
        <v>336.88397332776481</v>
      </c>
      <c r="K25" s="99">
        <f>テーブル3[[#This Row],[半径方向応力nor]]* (1+(寸法→圧入力!E$36/寸法→圧入力!E$35)^2)/((寸法→圧入力!E$36/寸法→圧入力!E$35)^2-1)</f>
        <v>127.89045039542744</v>
      </c>
      <c r="N25">
        <f t="shared" si="1"/>
        <v>45</v>
      </c>
      <c r="O25" s="177">
        <f>寸法→圧入力!F$25*(1+寸法→圧入力!D$31*10^-6*(テーブル4[[#This Row],[inner温度'[℃']]]-20)) - 寸法→圧入力!D$35*(1+寸法→圧入力!D$40*10^-6*(テーブル4[[#This Row],[inner温度'[℃']]]+O$3-20))</f>
        <v>0.1281049749999994</v>
      </c>
      <c r="P25" s="177">
        <f>寸法→圧入力!F$25*(1+寸法→圧入力!D$31*10^-6*(テーブル4[[#This Row],[inner温度'[℃']]]-20)) - 寸法→圧入力!D$35*(1+寸法→圧入力!D$40*10^-6*(テーブル4[[#This Row],[inner温度'[℃']]]+P$3-20))</f>
        <v>0.11867597500000215</v>
      </c>
      <c r="Q25" s="177">
        <f>寸法→圧入力!F$25*(1+寸法→圧入力!D$31*10^-6*(テーブル4[[#This Row],[inner温度'[℃']]]-20)) - 寸法→圧入力!D$35*(1+寸法→圧入力!D$40*10^-6*(テーブル4[[#This Row],[inner温度'[℃']]]+Q$3-20))</f>
        <v>0.1092469749999978</v>
      </c>
      <c r="R25" s="177">
        <f>寸法→圧入力!F$25*(1+寸法→圧入力!D$31*10^-6*(テーブル4[[#This Row],[inner温度'[℃']]]-20)) - 寸法→圧入力!D$35*(1+寸法→圧入力!D$40*10^-6*(テーブル4[[#This Row],[inner温度'[℃']]]+R$3-20))</f>
        <v>9.9817974999993453E-2</v>
      </c>
      <c r="S25" s="177">
        <f>寸法→圧入力!F$25*(1+寸法→圧入力!D$31*10^-6*(テーブル4[[#This Row],[inner温度'[℃']]]-20)) - 寸法→圧入力!D$35*(1+寸法→圧入力!D$40*10^-6*(テーブル4[[#This Row],[inner温度'[℃']]]+S$3-20))</f>
        <v>9.0388975000003313E-2</v>
      </c>
      <c r="T25" s="177">
        <f>寸法→圧入力!F$25*(1+寸法→圧入力!D$31*10^-6*(テーブル4[[#This Row],[inner温度'[℃']]]-20)) - 寸法→圧入力!D$35*(1+寸法→圧入力!D$40*10^-6*(テーブル4[[#This Row],[inner温度'[℃']]]+T$3-20))</f>
        <v>8.0959974999998963E-2</v>
      </c>
      <c r="U25" s="177">
        <f>寸法→圧入力!F$25*(1+寸法→圧入力!D$31*10^-6*(テーブル4[[#This Row],[inner温度'[℃']]]-20)) - 寸法→圧入力!D$35*(1+寸法→圧入力!D$40*10^-6*(テーブル4[[#This Row],[inner温度'[℃']]]+U$3-20))</f>
        <v>7.1530975000001717E-2</v>
      </c>
      <c r="V25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45.439617001632406</v>
      </c>
      <c r="W25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42.095093116371366</v>
      </c>
      <c r="X25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38.750569231107796</v>
      </c>
      <c r="Y25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35.406045345844234</v>
      </c>
      <c r="Z25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32.061521460585716</v>
      </c>
      <c r="AA25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28.71699757532215</v>
      </c>
      <c r="AB25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25.372473690061106</v>
      </c>
      <c r="AC25" s="99">
        <f>テーブル4[[#This Row],[半径方向応力:Δ-30℃]]*2*寸法→圧入力!D$25^2/(寸法→圧入力!D$25^2-寸法→圧入力!F$26^2)</f>
        <v>232.07158836380185</v>
      </c>
      <c r="AD25" s="99">
        <f>テーブル4[[#This Row],[半径方向応力:Δ-20℃]]*2*寸法→圧入力!D$25^2/(寸法→圧入力!D$25^2-寸法→圧入力!F$26^2)</f>
        <v>214.99026106420516</v>
      </c>
      <c r="AE25" s="99">
        <f>テーブル4[[#This Row],[半径方向応力:Δ-10℃]]*2*寸法→圧入力!D$25^2/(寸法→圧入力!D$25^2-寸法→圧入力!F$26^2)</f>
        <v>197.90893376459547</v>
      </c>
      <c r="AF25" s="99">
        <f>テーブル4[[#This Row],[半径方向応力:Δ0℃]]*2*寸法→圧入力!D$25^2/(寸法→圧入力!D$25^2-寸法→圧入力!F$26^2)</f>
        <v>180.82760646498585</v>
      </c>
      <c r="AG25" s="99">
        <f>テーブル4[[#This Row],[半径方向応力:Δ+10℃]]*2*寸法→圧入力!D$25^2/(寸法→圧入力!D$25^2-寸法→圧入力!F$26^2)</f>
        <v>163.74627916540203</v>
      </c>
      <c r="AH25" s="99">
        <f>テーブル4[[#This Row],[半径方向応力:Δ+20℃]]*2*寸法→圧入力!D$25^2/(寸法→圧入力!D$25^2-寸法→圧入力!F$26^2)</f>
        <v>146.6649518657924</v>
      </c>
      <c r="AI25" s="99">
        <f>テーブル4[[#This Row],[半径方向応力:Δ+30℃]]*2*寸法→圧入力!D$25^2/(寸法→圧入力!D$25^2-寸法→圧入力!F$26^2)</f>
        <v>129.58362456619562</v>
      </c>
      <c r="AJ25" s="99">
        <f>寸法→圧入力!$D$32</f>
        <v>345</v>
      </c>
      <c r="AK25" s="99">
        <f>テーブル4[[#This Row],[半径方向応力:Δ-30℃]]* (1+(寸法→圧入力!D$36/寸法→圧入力!F$35)^2)/((寸法→圧入力!D$36/寸法→圧入力!F$35)^2-1)</f>
        <v>88.946743709249617</v>
      </c>
      <c r="AL25" s="99">
        <f>テーブル4[[#This Row],[半径方向応力:Δ-20℃]]* (1+(寸法→圧入力!D$36/寸法→圧入力!F$35)^2)/((寸法→圧入力!D$36/寸法→圧入力!F$35)^2-1)</f>
        <v>82.399934372342344</v>
      </c>
      <c r="AM25" s="99">
        <f>テーブル4[[#This Row],[半径方向応力:Δ-10℃]]* (1+(寸法→圧入力!D$36/寸法→圧入力!F$35)^2)/((寸法→圧入力!D$36/寸法→圧入力!F$35)^2-1)</f>
        <v>75.853125035430111</v>
      </c>
      <c r="AN25" s="99">
        <f>テーブル4[[#This Row],[半径方向応力:Δ0℃]]* (1+(寸法→圧入力!D$36/寸法→圧入力!F$35)^2)/((寸法→圧入力!D$36/寸法→圧入力!F$35)^2-1)</f>
        <v>69.306315698517906</v>
      </c>
      <c r="AO25" s="99">
        <f>テーブル4[[#This Row],[半径方向応力:Δ+10℃]]* (1+(寸法→圧入力!D$36/寸法→圧入力!F$35)^2)/((寸法→圧入力!D$36/寸法→圧入力!F$35)^2-1)</f>
        <v>62.759506361615564</v>
      </c>
      <c r="AP25" s="99">
        <f>テーブル4[[#This Row],[半径方向応力:Δ+20℃]]* (1+(寸法→圧入力!D$36/寸法→圧入力!F$35)^2)/((寸法→圧入力!D$36/寸法→圧入力!F$35)^2-1)</f>
        <v>56.212697024703353</v>
      </c>
      <c r="AQ25" s="99">
        <f>テーブル4[[#This Row],[半径方向応力:Δ+30℃]]* (1+(寸法→圧入力!D$36/寸法→圧入力!F$35)^2)/((寸法→圧入力!D$36/寸法→圧入力!F$35)^2-1)</f>
        <v>49.665887687796072</v>
      </c>
      <c r="AR25" s="99">
        <f>寸法→圧入力!$D$41</f>
        <v>150</v>
      </c>
    </row>
    <row r="26" spans="1:44">
      <c r="A26" s="177">
        <f t="shared" si="0"/>
        <v>0.2</v>
      </c>
      <c r="B26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69.19773138884733</v>
      </c>
      <c r="C26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70.071181464269173</v>
      </c>
      <c r="D26" s="99">
        <f>(A26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70.941221450037546</v>
      </c>
      <c r="E26" s="99">
        <f>テーブル3[[#This Row],[半径方向応力min]]*寸法→圧入力!D$48*寸法→圧入力!D$6/1000</f>
        <v>12.055577812412139</v>
      </c>
      <c r="F26" s="99">
        <f>テーブル3[[#This Row],[半径方向応力min]]*寸法→圧入力!E$48*寸法→圧入力!E$6/1000</f>
        <v>15.395609435806762</v>
      </c>
      <c r="G26" s="99">
        <f>テーブル3[[#This Row],[半径方向応力min]]*寸法→圧入力!F$48*寸法→圧入力!F$6/1000</f>
        <v>18.869873184368966</v>
      </c>
      <c r="H26" s="99">
        <f>寸法→圧入力!$D$32</f>
        <v>345</v>
      </c>
      <c r="I26" s="99">
        <f>寸法→圧入力!$D$41</f>
        <v>150</v>
      </c>
      <c r="J26" s="99">
        <f>テーブル3[[#This Row],[半径方向応力nor]]*2*寸法→圧入力!E$25^2/(寸法→圧入力!E$25^2-寸法→圧入力!E$26^2)</f>
        <v>354.61470876606819</v>
      </c>
      <c r="K26" s="99">
        <f>テーブル3[[#This Row],[半径方向応力nor]]* (1+(寸法→圧入力!E$36/寸法→圧入力!E$35)^2)/((寸法→圧入力!E$36/寸法→圧入力!E$35)^2-1)</f>
        <v>134.62152673202885</v>
      </c>
      <c r="N26">
        <f t="shared" si="1"/>
        <v>50</v>
      </c>
      <c r="O26" s="177">
        <f>寸法→圧入力!F$25*(1+寸法→圧入力!D$31*10^-6*(テーブル4[[#This Row],[inner温度'[℃']]]-20)) - 寸法→圧入力!D$35*(1+寸法→圧入力!D$40*10^-6*(テーブル4[[#This Row],[inner温度'[℃']]]+O$3-20))</f>
        <v>0.12606856999999394</v>
      </c>
      <c r="P26" s="177">
        <f>寸法→圧入力!F$25*(1+寸法→圧入力!D$31*10^-6*(テーブル4[[#This Row],[inner温度'[℃']]]-20)) - 寸法→圧入力!D$35*(1+寸法→圧入力!D$40*10^-6*(テーブル4[[#This Row],[inner温度'[℃']]]+P$3-20))</f>
        <v>0.11663956999998959</v>
      </c>
      <c r="Q26" s="177">
        <f>寸法→圧入力!F$25*(1+寸法→圧入力!D$31*10^-6*(テーブル4[[#This Row],[inner温度'[℃']]]-20)) - 寸法→圧入力!D$35*(1+寸法→圧入力!D$40*10^-6*(テーブル4[[#This Row],[inner温度'[℃']]]+Q$3-20))</f>
        <v>0.10721056999999234</v>
      </c>
      <c r="R26" s="177">
        <f>寸法→圧入力!F$25*(1+寸法→圧入力!D$31*10^-6*(テーブル4[[#This Row],[inner温度'[℃']]]-20)) - 寸法→圧入力!D$35*(1+寸法→圧入力!D$40*10^-6*(テーブル4[[#This Row],[inner温度'[℃']]]+R$3-20))</f>
        <v>9.7781569999995099E-2</v>
      </c>
      <c r="S26" s="177">
        <f>寸法→圧入力!F$25*(1+寸法→圧入力!D$31*10^-6*(テーブル4[[#This Row],[inner温度'[℃']]]-20)) - 寸法→圧入力!D$35*(1+寸法→圧入力!D$40*10^-6*(テーブル4[[#This Row],[inner温度'[℃']]]+S$3-20))</f>
        <v>8.8352569999997854E-2</v>
      </c>
      <c r="T26" s="177">
        <f>寸法→圧入力!F$25*(1+寸法→圧入力!D$31*10^-6*(テーブル4[[#This Row],[inner温度'[℃']]]-20)) - 寸法→圧入力!D$35*(1+寸法→圧入力!D$40*10^-6*(テーブル4[[#This Row],[inner温度'[℃']]]+T$3-20))</f>
        <v>7.8923569999993504E-2</v>
      </c>
      <c r="U26" s="177">
        <f>寸法→圧入力!F$25*(1+寸法→圧入力!D$31*10^-6*(テーブル4[[#This Row],[inner温度'[℃']]]-20)) - 寸法→圧入力!D$35*(1+寸法→圧入力!D$40*10^-6*(テーブル4[[#This Row],[inner温度'[℃']]]+U$3-20))</f>
        <v>6.9494569999989153E-2</v>
      </c>
      <c r="V26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44.717291711295651</v>
      </c>
      <c r="W26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41.372767826032089</v>
      </c>
      <c r="X26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38.028243940771041</v>
      </c>
      <c r="Y26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34.683720055510001</v>
      </c>
      <c r="Z26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31.339196170248961</v>
      </c>
      <c r="AA26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27.994672284985395</v>
      </c>
      <c r="AB26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24.650148399721832</v>
      </c>
      <c r="AC26" s="99">
        <f>テーブル4[[#This Row],[半径方向応力:Δ-30℃]]*2*寸法→圧入力!D$25^2/(寸法→圧入力!D$25^2-寸法→圧入力!F$26^2)</f>
        <v>228.3824908646356</v>
      </c>
      <c r="AD26" s="99">
        <f>テーブル4[[#This Row],[半径方向応力:Δ-20℃]]*2*寸法→圧入力!D$25^2/(寸法→圧入力!D$25^2-寸法→圧入力!F$26^2)</f>
        <v>211.30116356502597</v>
      </c>
      <c r="AE26" s="99">
        <f>テーブル4[[#This Row],[半径方向応力:Δ-10℃]]*2*寸法→圧入力!D$25^2/(寸法→圧入力!D$25^2-寸法→圧入力!F$26^2)</f>
        <v>194.21983626542922</v>
      </c>
      <c r="AF26" s="99">
        <f>テーブル4[[#This Row],[半径方向応力:Δ0℃]]*2*寸法→圧入力!D$25^2/(寸法→圧入力!D$25^2-寸法→圧入力!F$26^2)</f>
        <v>177.13850896583247</v>
      </c>
      <c r="AG26" s="99">
        <f>テーブル4[[#This Row],[半径方向応力:Δ+10℃]]*2*寸法→圧入力!D$25^2/(寸法→圧入力!D$25^2-寸法→圧入力!F$26^2)</f>
        <v>160.05718166623575</v>
      </c>
      <c r="AH26" s="99">
        <f>テーブル4[[#This Row],[半径方向応力:Δ+20℃]]*2*寸法→圧入力!D$25^2/(寸法→圧入力!D$25^2-寸法→圧入力!F$26^2)</f>
        <v>142.97585436662612</v>
      </c>
      <c r="AI26" s="99">
        <f>テーブル4[[#This Row],[半径方向応力:Δ+30℃]]*2*寸法→圧入力!D$25^2/(寸法→圧入力!D$25^2-寸法→圧入力!F$26^2)</f>
        <v>125.89452706701651</v>
      </c>
      <c r="AJ26" s="99">
        <f>寸法→圧入力!$D$32</f>
        <v>345</v>
      </c>
      <c r="AK26" s="99">
        <f>テーブル4[[#This Row],[半径方向応力:Δ-30℃]]* (1+(寸法→圧入力!D$36/寸法→圧入力!F$35)^2)/((寸法→圧入力!D$36/寸法→圧入力!F$35)^2-1)</f>
        <v>87.532812723167922</v>
      </c>
      <c r="AL26" s="99">
        <f>テーブル4[[#This Row],[半径方向応力:Δ-20℃]]* (1+(寸法→圧入力!D$36/寸法→圧入力!F$35)^2)/((寸法→圧入力!D$36/寸法→圧入力!F$35)^2-1)</f>
        <v>80.986003386255717</v>
      </c>
      <c r="AM26" s="99">
        <f>テーブル4[[#This Row],[半径方向応力:Δ-10℃]]* (1+(寸法→圧入力!D$36/寸法→圧入力!F$35)^2)/((寸法→圧入力!D$36/寸法→圧入力!F$35)^2-1)</f>
        <v>74.439194049348416</v>
      </c>
      <c r="AN26" s="99">
        <f>テーブル4[[#This Row],[半径方向応力:Δ0℃]]* (1+(寸法→圧入力!D$36/寸法→圧入力!F$35)^2)/((寸法→圧入力!D$36/寸法→圧入力!F$35)^2-1)</f>
        <v>67.892384712441157</v>
      </c>
      <c r="AO26" s="99">
        <f>テーブル4[[#This Row],[半径方向応力:Δ+10℃]]* (1+(寸法→圧入力!D$36/寸法→圧入力!F$35)^2)/((寸法→圧入力!D$36/寸法→圧入力!F$35)^2-1)</f>
        <v>61.345575375533876</v>
      </c>
      <c r="AP26" s="99">
        <f>テーブル4[[#This Row],[半径方向応力:Δ+20℃]]* (1+(寸法→圧入力!D$36/寸法→圧入力!F$35)^2)/((寸法→圧入力!D$36/寸法→圧入力!F$35)^2-1)</f>
        <v>54.798766038621658</v>
      </c>
      <c r="AQ26" s="99">
        <f>テーブル4[[#This Row],[半径方向応力:Δ+30℃]]* (1+(寸法→圧入力!D$36/寸法→圧入力!F$35)^2)/((寸法→圧入力!D$36/寸法→圧入力!F$35)^2-1)</f>
        <v>48.251956701709453</v>
      </c>
      <c r="AR26" s="99">
        <f>寸法→圧入力!$D$41</f>
        <v>150</v>
      </c>
    </row>
    <row r="27" spans="1:44">
      <c r="A27" s="177">
        <f t="shared" si="0"/>
        <v>0.21</v>
      </c>
      <c r="B27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72.657617958289691</v>
      </c>
      <c r="C27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73.574740537482626</v>
      </c>
      <c r="D27" s="99">
        <f>(A27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74.488282522539421</v>
      </c>
      <c r="E27" s="99">
        <f>テーブル3[[#This Row],[半径方向応力min]]*寸法→圧入力!D$48*寸法→圧入力!D$6/1000</f>
        <v>12.658356703032744</v>
      </c>
      <c r="F27" s="99">
        <f>テーブル3[[#This Row],[半径方向応力min]]*寸法→圧入力!E$48*寸法→圧入力!E$6/1000</f>
        <v>16.165389907597099</v>
      </c>
      <c r="G27" s="99">
        <f>テーブル3[[#This Row],[半径方向応力min]]*寸法→圧入力!F$48*寸法→圧入力!F$6/1000</f>
        <v>19.81336684358741</v>
      </c>
      <c r="H27" s="99">
        <f>寸法→圧入力!$D$32</f>
        <v>345</v>
      </c>
      <c r="I27" s="99">
        <f>寸法→圧入力!$D$41</f>
        <v>150</v>
      </c>
      <c r="J27" s="99">
        <f>テーブル3[[#This Row],[半径方向応力nor]]*2*寸法→圧入力!E$25^2/(寸法→圧入力!E$25^2-寸法→圧入力!E$26^2)</f>
        <v>372.34544420437152</v>
      </c>
      <c r="K27" s="99">
        <f>テーブル3[[#This Row],[半径方向応力nor]]* (1+(寸法→圧入力!E$36/寸法→圧入力!E$35)^2)/((寸法→圧入力!E$36/寸法→圧入力!E$35)^2-1)</f>
        <v>141.35260306863029</v>
      </c>
      <c r="N27">
        <f t="shared" si="1"/>
        <v>55</v>
      </c>
      <c r="O27" s="177">
        <f>寸法→圧入力!F$25*(1+寸法→圧入力!D$31*10^-6*(テーブル4[[#This Row],[inner温度'[℃']]]-20)) - 寸法→圧入力!D$35*(1+寸法→圧入力!D$40*10^-6*(テーブル4[[#This Row],[inner温度'[℃']]]+O$3-20))</f>
        <v>0.12403216500000269</v>
      </c>
      <c r="P27" s="177">
        <f>寸法→圧入力!F$25*(1+寸法→圧入力!D$31*10^-6*(テーブル4[[#This Row],[inner温度'[℃']]]-20)) - 寸法→圧入力!D$35*(1+寸法→圧入力!D$40*10^-6*(テーブル4[[#This Row],[inner温度'[℃']]]+P$3-20))</f>
        <v>0.11460316499999834</v>
      </c>
      <c r="Q27" s="177">
        <f>寸法→圧入力!F$25*(1+寸法→圧入力!D$31*10^-6*(テーブル4[[#This Row],[inner温度'[℃']]]-20)) - 寸法→圧入力!D$35*(1+寸法→圧入力!D$40*10^-6*(テーブル4[[#This Row],[inner温度'[℃']]]+Q$3-20))</f>
        <v>0.10517416499999399</v>
      </c>
      <c r="R27" s="177">
        <f>寸法→圧入力!F$25*(1+寸法→圧入力!D$31*10^-6*(テーブル4[[#This Row],[inner温度'[℃']]]-20)) - 寸法→圧入力!D$35*(1+寸法→圧入力!D$40*10^-6*(テーブル4[[#This Row],[inner温度'[℃']]]+R$3-20))</f>
        <v>9.5745165000003851E-2</v>
      </c>
      <c r="S27" s="177">
        <f>寸法→圧入力!F$25*(1+寸法→圧入力!D$31*10^-6*(テーブル4[[#This Row],[inner温度'[℃']]]-20)) - 寸法→圧入力!D$35*(1+寸法→圧入力!D$40*10^-6*(テーブル4[[#This Row],[inner温度'[℃']]]+S$3-20))</f>
        <v>8.6316164999999501E-2</v>
      </c>
      <c r="T27" s="177">
        <f>寸法→圧入力!F$25*(1+寸法→圧入力!D$31*10^-6*(テーブル4[[#This Row],[inner温度'[℃']]]-20)) - 寸法→圧入力!D$35*(1+寸法→圧入力!D$40*10^-6*(テーブル4[[#This Row],[inner温度'[℃']]]+T$3-20))</f>
        <v>7.6887165000002256E-2</v>
      </c>
      <c r="U27" s="177">
        <f>寸法→圧入力!F$25*(1+寸法→圧入力!D$31*10^-6*(テーブル4[[#This Row],[inner温度'[℃']]]-20)) - 寸法→圧入力!D$35*(1+寸法→圧入力!D$40*10^-6*(テーブル4[[#This Row],[inner温度'[℃']]]+U$3-20))</f>
        <v>6.7458164999997905E-2</v>
      </c>
      <c r="V27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43.994966420963941</v>
      </c>
      <c r="W27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40.650442535700371</v>
      </c>
      <c r="X27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37.305918650436809</v>
      </c>
      <c r="Y27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33.961394765178291</v>
      </c>
      <c r="Z27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30.616870879914721</v>
      </c>
      <c r="AA27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27.272346994653681</v>
      </c>
      <c r="AB27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23.927823109390115</v>
      </c>
      <c r="AC27" s="99">
        <f>テーブル4[[#This Row],[半径方向応力:Δ-30℃]]*2*寸法→圧入力!D$25^2/(寸法→圧入力!D$25^2-寸法→圧入力!F$26^2)</f>
        <v>224.6933933654951</v>
      </c>
      <c r="AD27" s="99">
        <f>テーブル4[[#This Row],[半径方向応力:Δ-20℃]]*2*寸法→圧入力!D$25^2/(寸法→圧入力!D$25^2-寸法→圧入力!F$26^2)</f>
        <v>207.61206606588544</v>
      </c>
      <c r="AE27" s="99">
        <f>テーブル4[[#This Row],[半径方向応力:Δ-10℃]]*2*寸法→圧入力!D$25^2/(寸法→圧入力!D$25^2-寸法→圧入力!F$26^2)</f>
        <v>190.53073876627585</v>
      </c>
      <c r="AF27" s="99">
        <f>テーブル4[[#This Row],[半径方向応力:Δ0℃]]*2*寸法→圧入力!D$25^2/(寸法→圧入力!D$25^2-寸法→圧入力!F$26^2)</f>
        <v>173.44941146669197</v>
      </c>
      <c r="AG27" s="99">
        <f>テーブル4[[#This Row],[半径方向応力:Δ+10℃]]*2*寸法→圧入力!D$25^2/(寸法→圧入力!D$25^2-寸法→圧入力!F$26^2)</f>
        <v>156.36808416708234</v>
      </c>
      <c r="AH27" s="99">
        <f>テーブル4[[#This Row],[半径方向応力:Δ+20℃]]*2*寸法→圧入力!D$25^2/(寸法→圧入力!D$25^2-寸法→圧入力!F$26^2)</f>
        <v>139.28675686748559</v>
      </c>
      <c r="AI27" s="99">
        <f>テーブル4[[#This Row],[半径方向応力:Δ+30℃]]*2*寸法→圧入力!D$25^2/(寸法→圧入力!D$25^2-寸法→圧入力!F$26^2)</f>
        <v>122.20542956787598</v>
      </c>
      <c r="AJ27" s="99">
        <f>寸法→圧入力!$D$32</f>
        <v>345</v>
      </c>
      <c r="AK27" s="99">
        <f>テーブル4[[#This Row],[半径方向応力:Δ-30℃]]* (1+(寸法→圧入力!D$36/寸法→圧入力!F$35)^2)/((寸法→圧入力!D$36/寸法→圧入力!F$35)^2-1)</f>
        <v>86.118881737096103</v>
      </c>
      <c r="AL27" s="99">
        <f>テーブル4[[#This Row],[半径方向応力:Δ-20℃]]* (1+(寸法→圧入力!D$36/寸法→圧入力!F$35)^2)/((寸法→圧入力!D$36/寸法→圧入力!F$35)^2-1)</f>
        <v>79.57207240018387</v>
      </c>
      <c r="AM27" s="99">
        <f>テーブル4[[#This Row],[半径方向応力:Δ-10℃]]* (1+(寸法→圧入力!D$36/寸法→圧入力!F$35)^2)/((寸法→圧入力!D$36/寸法→圧入力!F$35)^2-1)</f>
        <v>73.025263063271666</v>
      </c>
      <c r="AN27" s="99">
        <f>テーブル4[[#This Row],[半径方向応力:Δ0℃]]* (1+(寸法→圧入力!D$36/寸法→圧入力!F$35)^2)/((寸法→圧入力!D$36/寸法→圧入力!F$35)^2-1)</f>
        <v>66.478453726369324</v>
      </c>
      <c r="AO27" s="99">
        <f>テーブル4[[#This Row],[半径方向応力:Δ+10℃]]* (1+(寸法→圧入力!D$36/寸法→圧入力!F$35)^2)/((寸法→圧入力!D$36/寸法→圧入力!F$35)^2-1)</f>
        <v>59.931644389457105</v>
      </c>
      <c r="AP27" s="99">
        <f>テーブル4[[#This Row],[半径方向応力:Δ+20℃]]* (1+(寸法→圧入力!D$36/寸法→圧入力!F$35)^2)/((寸法→圧入力!D$36/寸法→圧入力!F$35)^2-1)</f>
        <v>53.384835052549832</v>
      </c>
      <c r="AQ27" s="99">
        <f>テーブル4[[#This Row],[半径方向応力:Δ+30℃]]* (1+(寸法→圧入力!D$36/寸法→圧入力!F$35)^2)/((寸法→圧入力!D$36/寸法→圧入力!F$35)^2-1)</f>
        <v>46.838025715637613</v>
      </c>
      <c r="AR27" s="99">
        <f>寸法→圧入力!$D$41</f>
        <v>150</v>
      </c>
    </row>
    <row r="28" spans="1:44">
      <c r="A28" s="177">
        <f t="shared" si="0"/>
        <v>0.22</v>
      </c>
      <c r="B28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76.117504527732066</v>
      </c>
      <c r="C28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77.078299610696092</v>
      </c>
      <c r="D28" s="99">
        <f>(A28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78.035343595041297</v>
      </c>
      <c r="E28" s="99">
        <f>テーブル3[[#This Row],[半径方向応力min]]*寸法→圧入力!D$48*寸法→圧入力!D$6/1000</f>
        <v>13.261135593653353</v>
      </c>
      <c r="F28" s="99">
        <f>テーブル3[[#This Row],[半径方向応力min]]*寸法→圧入力!E$48*寸法→圧入力!E$6/1000</f>
        <v>16.93517037938744</v>
      </c>
      <c r="G28" s="99">
        <f>テーブル3[[#This Row],[半径方向応力min]]*寸法→圧入力!F$48*寸法→圧入力!F$6/1000</f>
        <v>20.756860502805864</v>
      </c>
      <c r="H28" s="99">
        <f>寸法→圧入力!$D$32</f>
        <v>345</v>
      </c>
      <c r="I28" s="99">
        <f>寸法→圧入力!$D$41</f>
        <v>150</v>
      </c>
      <c r="J28" s="99">
        <f>テーブル3[[#This Row],[半径方向応力nor]]*2*寸法→圧入力!E$25^2/(寸法→圧入力!E$25^2-寸法→圧入力!E$26^2)</f>
        <v>390.07617964267502</v>
      </c>
      <c r="K28" s="99">
        <f>テーブル3[[#This Row],[半径方向応力nor]]* (1+(寸法→圧入力!E$36/寸法→圧入力!E$35)^2)/((寸法→圧入力!E$36/寸法→圧入力!E$35)^2-1)</f>
        <v>148.08367940523178</v>
      </c>
      <c r="N28">
        <f t="shared" si="1"/>
        <v>60</v>
      </c>
      <c r="O28" s="177">
        <f>寸法→圧入力!F$25*(1+寸法→圧入力!D$31*10^-6*(テーブル4[[#This Row],[inner温度'[℃']]]-20)) - 寸法→圧入力!D$35*(1+寸法→圧入力!D$40*10^-6*(テーブル4[[#This Row],[inner温度'[℃']]]+O$3-20))</f>
        <v>0.12199575999999013</v>
      </c>
      <c r="P28" s="177">
        <f>寸法→圧入力!F$25*(1+寸法→圧入力!D$31*10^-6*(テーブル4[[#This Row],[inner温度'[℃']]]-20)) - 寸法→圧入力!D$35*(1+寸法→圧入力!D$40*10^-6*(テーブル4[[#This Row],[inner温度'[℃']]]+P$3-20))</f>
        <v>0.11256675999999288</v>
      </c>
      <c r="Q28" s="177">
        <f>寸法→圧入力!F$25*(1+寸法→圧入力!D$31*10^-6*(テーブル4[[#This Row],[inner温度'[℃']]]-20)) - 寸法→圧入力!D$35*(1+寸法→圧入力!D$40*10^-6*(テーブル4[[#This Row],[inner温度'[℃']]]+Q$3-20))</f>
        <v>0.10313775999999564</v>
      </c>
      <c r="R28" s="177">
        <f>寸法→圧入力!F$25*(1+寸法→圧入力!D$31*10^-6*(テーブル4[[#This Row],[inner温度'[℃']]]-20)) - 寸法→圧入力!D$35*(1+寸法→圧入力!D$40*10^-6*(テーブル4[[#This Row],[inner温度'[℃']]]+R$3-20))</f>
        <v>9.3708759999998392E-2</v>
      </c>
      <c r="S28" s="177">
        <f>寸法→圧入力!F$25*(1+寸法→圧入力!D$31*10^-6*(テーブル4[[#This Row],[inner温度'[℃']]]-20)) - 寸法→圧入力!D$35*(1+寸法→圧入力!D$40*10^-6*(テーブル4[[#This Row],[inner温度'[℃']]]+S$3-20))</f>
        <v>8.4279759999994042E-2</v>
      </c>
      <c r="T28" s="177">
        <f>寸法→圧入力!F$25*(1+寸法→圧入力!D$31*10^-6*(テーブル4[[#This Row],[inner温度'[℃']]]-20)) - 寸法→圧入力!D$35*(1+寸法→圧入力!D$40*10^-6*(テーブル4[[#This Row],[inner温度'[℃']]]+T$3-20))</f>
        <v>7.4850759999989691E-2</v>
      </c>
      <c r="U28" s="177">
        <f>寸法→圧入力!F$25*(1+寸法→圧入力!D$31*10^-6*(テーブル4[[#This Row],[inner温度'[℃']]]-20)) - 寸法→圧入力!D$35*(1+寸法→圧入力!D$40*10^-6*(テーブル4[[#This Row],[inner温度'[℃']]]+U$3-20))</f>
        <v>6.5421759999992446E-2</v>
      </c>
      <c r="V28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43.272641130624656</v>
      </c>
      <c r="W28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39.928117245363616</v>
      </c>
      <c r="X28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36.583593360102576</v>
      </c>
      <c r="Y28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33.239069474841536</v>
      </c>
      <c r="Z28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29.894545589577969</v>
      </c>
      <c r="AA28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26.550021704314403</v>
      </c>
      <c r="AB28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23.205497819053363</v>
      </c>
      <c r="AC28" s="99">
        <f>テーブル4[[#This Row],[半径方向応力:Δ-30℃]]*2*寸法→圧入力!D$25^2/(寸法→圧入力!D$25^2-寸法→圧入力!F$26^2)</f>
        <v>221.00429586631594</v>
      </c>
      <c r="AD28" s="99">
        <f>テーブル4[[#This Row],[半径方向応力:Δ-20℃]]*2*寸法→圧入力!D$25^2/(寸法→圧入力!D$25^2-寸法→圧入力!F$26^2)</f>
        <v>203.92296856671919</v>
      </c>
      <c r="AE28" s="99">
        <f>テーブル4[[#This Row],[半径方向応力:Δ-10℃]]*2*寸法→圧入力!D$25^2/(寸法→圧入力!D$25^2-寸法→圧入力!F$26^2)</f>
        <v>186.84164126712244</v>
      </c>
      <c r="AF28" s="99">
        <f>テーブル4[[#This Row],[半径方向応力:Δ0℃]]*2*寸法→圧入力!D$25^2/(寸法→圧入力!D$25^2-寸法→圧入力!F$26^2)</f>
        <v>169.76031396752572</v>
      </c>
      <c r="AG28" s="99">
        <f>テーブル4[[#This Row],[半径方向応力:Δ+10℃]]*2*寸法→圧入力!D$25^2/(寸法→圧入力!D$25^2-寸法→圧入力!F$26^2)</f>
        <v>152.67898666791606</v>
      </c>
      <c r="AH28" s="99">
        <f>テーブル4[[#This Row],[半径方向応力:Δ+20℃]]*2*寸法→圧入力!D$25^2/(寸法→圧入力!D$25^2-寸法→圧入力!F$26^2)</f>
        <v>135.59765936830644</v>
      </c>
      <c r="AI28" s="99">
        <f>テーブル4[[#This Row],[半径方向応力:Δ+30℃]]*2*寸法→圧入力!D$25^2/(寸法→圧入力!D$25^2-寸法→圧入力!F$26^2)</f>
        <v>118.51633206870972</v>
      </c>
      <c r="AJ28" s="99">
        <f>寸法→圧入力!$D$32</f>
        <v>345</v>
      </c>
      <c r="AK28" s="99">
        <f>テーブル4[[#This Row],[半径方向応力:Δ-30℃]]* (1+(寸法→圧入力!D$36/寸法→圧入力!F$35)^2)/((寸法→圧入力!D$36/寸法→圧入力!F$35)^2-1)</f>
        <v>84.704950751009449</v>
      </c>
      <c r="AL28" s="99">
        <f>テーブル4[[#This Row],[半径方向応力:Δ-20℃]]* (1+(寸法→圧入力!D$36/寸法→圧入力!F$35)^2)/((寸法→圧入力!D$36/寸法→圧入力!F$35)^2-1)</f>
        <v>78.158141414102175</v>
      </c>
      <c r="AM28" s="99">
        <f>テーブル4[[#This Row],[半径方向応力:Δ-10℃]]* (1+(寸法→圧入力!D$36/寸法→圧入力!F$35)^2)/((寸法→圧入力!D$36/寸法→圧入力!F$35)^2-1)</f>
        <v>71.611332077194902</v>
      </c>
      <c r="AN28" s="99">
        <f>テーブル4[[#This Row],[半径方向応力:Δ0℃]]* (1+(寸法→圧入力!D$36/寸法→圧入力!F$35)^2)/((寸法→圧入力!D$36/寸法→圧入力!F$35)^2-1)</f>
        <v>65.064522740287643</v>
      </c>
      <c r="AO28" s="99">
        <f>テーブル4[[#This Row],[半径方向応力:Δ+10℃]]* (1+(寸法→圧入力!D$36/寸法→圧入力!F$35)^2)/((寸法→圧入力!D$36/寸法→圧入力!F$35)^2-1)</f>
        <v>58.517713403375417</v>
      </c>
      <c r="AP28" s="99">
        <f>テーブル4[[#This Row],[半径方向応力:Δ+20℃]]* (1+(寸法→圧入力!D$36/寸法→圧入力!F$35)^2)/((寸法→圧入力!D$36/寸法→圧入力!F$35)^2-1)</f>
        <v>51.970904066463198</v>
      </c>
      <c r="AQ28" s="99">
        <f>テーブル4[[#This Row],[半径方向応力:Δ+30℃]]* (1+(寸法→圧入力!D$36/寸法→圧入力!F$35)^2)/((寸法→圧入力!D$36/寸法→圧入力!F$35)^2-1)</f>
        <v>45.424094729555925</v>
      </c>
      <c r="AR28" s="99">
        <f>寸法→圧入力!$D$41</f>
        <v>150</v>
      </c>
    </row>
    <row r="29" spans="1:44">
      <c r="A29" s="177">
        <f t="shared" si="0"/>
        <v>0.23</v>
      </c>
      <c r="B29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79.577391097174441</v>
      </c>
      <c r="C29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80.581858683909559</v>
      </c>
      <c r="D29" s="99">
        <f>(A29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81.582404667543187</v>
      </c>
      <c r="E29" s="99">
        <f>テーブル3[[#This Row],[半径方向応力min]]*寸法→圧入力!D$48*寸法→圧入力!D$6/1000</f>
        <v>13.863914484273963</v>
      </c>
      <c r="F29" s="99">
        <f>テーブル3[[#This Row],[半径方向応力min]]*寸法→圧入力!E$48*寸法→圧入力!E$6/1000</f>
        <v>17.704950851177777</v>
      </c>
      <c r="G29" s="99">
        <f>テーブル3[[#This Row],[半径方向応力min]]*寸法→圧入力!F$48*寸法→圧入力!F$6/1000</f>
        <v>21.700354162024315</v>
      </c>
      <c r="H29" s="99">
        <f>寸法→圧入力!$D$32</f>
        <v>345</v>
      </c>
      <c r="I29" s="99">
        <f>寸法→圧入力!$D$41</f>
        <v>150</v>
      </c>
      <c r="J29" s="99">
        <f>テーブル3[[#This Row],[半径方向応力nor]]*2*寸法→圧入力!E$25^2/(寸法→圧入力!E$25^2-寸法→圧入力!E$26^2)</f>
        <v>407.80691508097846</v>
      </c>
      <c r="K29" s="99">
        <f>テーブル3[[#This Row],[半径方向応力nor]]* (1+(寸法→圧入力!E$36/寸法→圧入力!E$35)^2)/((寸法→圧入力!E$36/寸法→圧入力!E$35)^2-1)</f>
        <v>154.81475574183321</v>
      </c>
      <c r="N29">
        <f t="shared" si="1"/>
        <v>65</v>
      </c>
      <c r="O29" s="177">
        <f>寸法→圧入力!F$25*(1+寸法→圧入力!D$31*10^-6*(テーブル4[[#This Row],[inner温度'[℃']]]-20)) - 寸法→圧入力!D$35*(1+寸法→圧入力!D$40*10^-6*(テーブル4[[#This Row],[inner温度'[℃']]]+O$3-20))</f>
        <v>0.11995935499999888</v>
      </c>
      <c r="P29" s="177">
        <f>寸法→圧入力!F$25*(1+寸法→圧入力!D$31*10^-6*(テーブル4[[#This Row],[inner温度'[℃']]]-20)) - 寸法→圧入力!D$35*(1+寸法→圧入力!D$40*10^-6*(テーブル4[[#This Row],[inner温度'[℃']]]+P$3-20))</f>
        <v>0.11053035499999453</v>
      </c>
      <c r="Q29" s="177">
        <f>寸法→圧入力!F$25*(1+寸法→圧入力!D$31*10^-6*(テーブル4[[#This Row],[inner温度'[℃']]]-20)) - 寸法→圧入力!D$35*(1+寸法→圧入力!D$40*10^-6*(テーブル4[[#This Row],[inner温度'[℃']]]+Q$3-20))</f>
        <v>0.10110135500000439</v>
      </c>
      <c r="R29" s="177">
        <f>寸法→圧入力!F$25*(1+寸法→圧入力!D$31*10^-6*(テーブル4[[#This Row],[inner温度'[℃']]]-20)) - 寸法→圧入力!D$35*(1+寸法→圧入力!D$40*10^-6*(テーブル4[[#This Row],[inner温度'[℃']]]+R$3-20))</f>
        <v>9.1672355000000039E-2</v>
      </c>
      <c r="S29" s="177">
        <f>寸法→圧入力!F$25*(1+寸法→圧入力!D$31*10^-6*(テーブル4[[#This Row],[inner温度'[℃']]]-20)) - 寸法→圧入力!D$35*(1+寸法→圧入力!D$40*10^-6*(テーブル4[[#This Row],[inner温度'[℃']]]+S$3-20))</f>
        <v>8.2243355000002794E-2</v>
      </c>
      <c r="T29" s="177">
        <f>寸法→圧入力!F$25*(1+寸法→圧入力!D$31*10^-6*(テーブル4[[#This Row],[inner温度'[℃']]]-20)) - 寸法→圧入力!D$35*(1+寸法→圧入力!D$40*10^-6*(テーブル4[[#This Row],[inner温度'[℃']]]+T$3-20))</f>
        <v>7.2814354999998443E-2</v>
      </c>
      <c r="U29" s="177">
        <f>寸法→圧入力!F$25*(1+寸法→圧入力!D$31*10^-6*(テーブル4[[#This Row],[inner温度'[℃']]]-20)) - 寸法→圧入力!D$35*(1+寸法→圧入力!D$40*10^-6*(テーブル4[[#This Row],[inner温度'[℃']]]+U$3-20))</f>
        <v>6.3385354999994092E-2</v>
      </c>
      <c r="V29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42.550315840292946</v>
      </c>
      <c r="W29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39.205791955029383</v>
      </c>
      <c r="X29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35.861268069770865</v>
      </c>
      <c r="Y29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32.516744184507303</v>
      </c>
      <c r="Z29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29.172220299246256</v>
      </c>
      <c r="AA29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25.827696413982689</v>
      </c>
      <c r="AB29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22.48317252871913</v>
      </c>
      <c r="AC29" s="99">
        <f>テーブル4[[#This Row],[半径方向応力:Δ-30℃]]*2*寸法→圧入力!D$25^2/(寸法→圧入力!D$25^2-寸法→圧入力!F$26^2)</f>
        <v>217.31519836717538</v>
      </c>
      <c r="AD29" s="99">
        <f>テーブル4[[#This Row],[半径方向応力:Δ-20℃]]*2*寸法→圧入力!D$25^2/(寸法→圧入力!D$25^2-寸法→圧入力!F$26^2)</f>
        <v>200.23387106756581</v>
      </c>
      <c r="AE29" s="99">
        <f>テーブル4[[#This Row],[半径方向応力:Δ-10℃]]*2*寸法→圧入力!D$25^2/(寸法→圧入力!D$25^2-寸法→圧入力!F$26^2)</f>
        <v>183.15254376798194</v>
      </c>
      <c r="AF29" s="99">
        <f>テーブル4[[#This Row],[半径方向応力:Δ0℃]]*2*寸法→圧入力!D$25^2/(寸法→圧入力!D$25^2-寸法→圧入力!F$26^2)</f>
        <v>166.07121646837234</v>
      </c>
      <c r="AG29" s="99">
        <f>テーブル4[[#This Row],[半径方向応力:Δ+10℃]]*2*寸法→圧入力!D$25^2/(寸法→圧入力!D$25^2-寸法→圧入力!F$26^2)</f>
        <v>148.98988916877556</v>
      </c>
      <c r="AH29" s="99">
        <f>テーブル4[[#This Row],[半径方向応力:Δ+20℃]]*2*寸法→圧入力!D$25^2/(寸法→圧入力!D$25^2-寸法→圧入力!F$26^2)</f>
        <v>131.90856186916594</v>
      </c>
      <c r="AI29" s="99">
        <f>テーブル4[[#This Row],[半径方向応力:Δ+30℃]]*2*寸法→圧入力!D$25^2/(寸法→圧入力!D$25^2-寸法→圧入力!F$26^2)</f>
        <v>114.82723456955634</v>
      </c>
      <c r="AJ29" s="99">
        <f>寸法→圧入力!$D$32</f>
        <v>345</v>
      </c>
      <c r="AK29" s="99">
        <f>テーブル4[[#This Row],[半径方向応力:Δ-30℃]]* (1+(寸法→圧入力!D$36/寸法→圧入力!F$35)^2)/((寸法→圧入力!D$36/寸法→圧入力!F$35)^2-1)</f>
        <v>83.29101976493763</v>
      </c>
      <c r="AL29" s="99">
        <f>テーブル4[[#This Row],[半径方向応力:Δ-20℃]]* (1+(寸法→圧入力!D$36/寸法→圧入力!F$35)^2)/((寸法→圧入力!D$36/寸法→圧入力!F$35)^2-1)</f>
        <v>76.744210428025411</v>
      </c>
      <c r="AM29" s="99">
        <f>テーブル4[[#This Row],[半径方向応力:Δ-10℃]]* (1+(寸法→圧入力!D$36/寸法→圧入力!F$35)^2)/((寸法→圧入力!D$36/寸法→圧入力!F$35)^2-1)</f>
        <v>70.197401091123083</v>
      </c>
      <c r="AN29" s="99">
        <f>テーブル4[[#This Row],[半径方向応力:Δ0℃]]* (1+(寸法→圧入力!D$36/寸法→圧入力!F$35)^2)/((寸法→圧入力!D$36/寸法→圧入力!F$35)^2-1)</f>
        <v>63.650591754210872</v>
      </c>
      <c r="AO29" s="99">
        <f>テーブル4[[#This Row],[半径方向応力:Δ+10℃]]* (1+(寸法→圧入力!D$36/寸法→圧入力!F$35)^2)/((寸法→圧入力!D$36/寸法→圧入力!F$35)^2-1)</f>
        <v>57.103782417303592</v>
      </c>
      <c r="AP29" s="99">
        <f>テーブル4[[#This Row],[半径方向応力:Δ+20℃]]* (1+(寸法→圧入力!D$36/寸法→圧入力!F$35)^2)/((寸法→圧入力!D$36/寸法→圧入力!F$35)^2-1)</f>
        <v>50.556973080391373</v>
      </c>
      <c r="AQ29" s="99">
        <f>テーブル4[[#This Row],[半径方向応力:Δ+30℃]]* (1+(寸法→圧入力!D$36/寸法→圧入力!F$35)^2)/((寸法→圧入力!D$36/寸法→圧入力!F$35)^2-1)</f>
        <v>44.010163743479168</v>
      </c>
      <c r="AR29" s="99">
        <f>寸法→圧入力!$D$41</f>
        <v>150</v>
      </c>
    </row>
    <row r="30" spans="1:44">
      <c r="A30" s="177">
        <f t="shared" si="0"/>
        <v>0.24</v>
      </c>
      <c r="B30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83.037277666616788</v>
      </c>
      <c r="C30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84.085417757123011</v>
      </c>
      <c r="D30" s="99">
        <f>(A30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85.129465740045049</v>
      </c>
      <c r="E30" s="99">
        <f>テーブル3[[#This Row],[半径方向応力min]]*寸法→圧入力!D$48*寸法→圧入力!D$6/1000</f>
        <v>14.466693374894565</v>
      </c>
      <c r="F30" s="99">
        <f>テーブル3[[#This Row],[半径方向応力min]]*寸法→圧入力!E$48*寸法→圧入力!E$6/1000</f>
        <v>18.474731322968115</v>
      </c>
      <c r="G30" s="99">
        <f>テーブル3[[#This Row],[半径方向応力min]]*寸法→圧入力!F$48*寸法→圧入力!F$6/1000</f>
        <v>22.643847821242758</v>
      </c>
      <c r="H30" s="99">
        <f>寸法→圧入力!$D$32</f>
        <v>345</v>
      </c>
      <c r="I30" s="99">
        <f>寸法→圧入力!$D$41</f>
        <v>150</v>
      </c>
      <c r="J30" s="99">
        <f>テーブル3[[#This Row],[半径方向応力nor]]*2*寸法→圧入力!E$25^2/(寸法→圧入力!E$25^2-寸法→圧入力!E$26^2)</f>
        <v>425.53765051928178</v>
      </c>
      <c r="K30" s="99">
        <f>テーブル3[[#This Row],[半径方向応力nor]]* (1+(寸法→圧入力!E$36/寸法→圧入力!E$35)^2)/((寸法→圧入力!E$36/寸法→圧入力!E$35)^2-1)</f>
        <v>161.54583207843464</v>
      </c>
      <c r="N30">
        <f t="shared" si="1"/>
        <v>70</v>
      </c>
      <c r="O30" s="177">
        <f>寸法→圧入力!F$25*(1+寸法→圧入力!D$31*10^-6*(テーブル4[[#This Row],[inner温度'[℃']]]-20)) - 寸法→圧入力!D$35*(1+寸法→圧入力!D$40*10^-6*(テーブル4[[#This Row],[inner温度'[℃']]]+O$3-20))</f>
        <v>0.11792294999999342</v>
      </c>
      <c r="P30" s="177">
        <f>寸法→圧入力!F$25*(1+寸法→圧入力!D$31*10^-6*(テーブル4[[#This Row],[inner温度'[℃']]]-20)) - 寸法→圧入力!D$35*(1+寸法→圧入力!D$40*10^-6*(テーブル4[[#This Row],[inner温度'[℃']]]+P$3-20))</f>
        <v>0.10849394999999618</v>
      </c>
      <c r="Q30" s="177">
        <f>寸法→圧入力!F$25*(1+寸法→圧入力!D$31*10^-6*(テーブル4[[#This Row],[inner温度'[℃']]]-20)) - 寸法→圧入力!D$35*(1+寸法→圧入力!D$40*10^-6*(テーブル4[[#This Row],[inner温度'[℃']]]+Q$3-20))</f>
        <v>9.906494999999893E-2</v>
      </c>
      <c r="R30" s="177">
        <f>寸法→圧入力!F$25*(1+寸法→圧入力!D$31*10^-6*(テーブル4[[#This Row],[inner温度'[℃']]]-20)) - 寸法→圧入力!D$35*(1+寸法→圧入力!D$40*10^-6*(テーブル4[[#This Row],[inner温度'[℃']]]+R$3-20))</f>
        <v>8.963594999999458E-2</v>
      </c>
      <c r="S30" s="177">
        <f>寸法→圧入力!F$25*(1+寸法→圧入力!D$31*10^-6*(テーブル4[[#This Row],[inner温度'[℃']]]-20)) - 寸法→圧入力!D$35*(1+寸法→圧入力!D$40*10^-6*(テーブル4[[#This Row],[inner温度'[℃']]]+S$3-20))</f>
        <v>8.0206949999990229E-2</v>
      </c>
      <c r="T30" s="177">
        <f>寸法→圧入力!F$25*(1+寸法→圧入力!D$31*10^-6*(テーブル4[[#This Row],[inner温度'[℃']]]-20)) - 寸法→圧入力!D$35*(1+寸法→圧入力!D$40*10^-6*(テーブル4[[#This Row],[inner温度'[℃']]]+T$3-20))</f>
        <v>7.0777949999992984E-2</v>
      </c>
      <c r="U30" s="177">
        <f>寸法→圧入力!F$25*(1+寸法→圧入力!D$31*10^-6*(テーブル4[[#This Row],[inner温度'[℃']]]-20)) - 寸法→圧入力!D$35*(1+寸法→圧入力!D$40*10^-6*(テーブル4[[#This Row],[inner温度'[℃']]]+U$3-20))</f>
        <v>6.1348950000002844E-2</v>
      </c>
      <c r="V30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41.827990549956191</v>
      </c>
      <c r="W30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38.48346666469515</v>
      </c>
      <c r="X30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35.13894277943411</v>
      </c>
      <c r="Y30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31.794418894170541</v>
      </c>
      <c r="Z30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28.449895008906978</v>
      </c>
      <c r="AA30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25.105371123645938</v>
      </c>
      <c r="AB30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21.760847238387417</v>
      </c>
      <c r="AC30" s="99">
        <f>テーブル4[[#This Row],[半径方向応力:Δ-30℃]]*2*寸法→圧入力!D$25^2/(寸法→圧入力!D$25^2-寸法→圧入力!F$26^2)</f>
        <v>213.62610086800913</v>
      </c>
      <c r="AD30" s="99">
        <f>テーブル4[[#This Row],[半径方向応力:Δ-20℃]]*2*寸法→圧入力!D$25^2/(寸法→圧入力!D$25^2-寸法→圧入力!F$26^2)</f>
        <v>196.54477356841244</v>
      </c>
      <c r="AE30" s="99">
        <f>テーブル4[[#This Row],[半径方向応力:Δ-10℃]]*2*寸法→圧入力!D$25^2/(寸法→圧入力!D$25^2-寸法→圧入力!F$26^2)</f>
        <v>179.46344626881569</v>
      </c>
      <c r="AF30" s="99">
        <f>テーブル4[[#This Row],[半径方向応力:Δ0℃]]*2*寸法→圧入力!D$25^2/(寸法→圧入力!D$25^2-寸法→圧入力!F$26^2)</f>
        <v>162.38211896920603</v>
      </c>
      <c r="AG30" s="99">
        <f>テーブル4[[#This Row],[半径方向応力:Δ+10℃]]*2*寸法→圧入力!D$25^2/(寸法→圧入力!D$25^2-寸法→圧入力!F$26^2)</f>
        <v>145.30079166959641</v>
      </c>
      <c r="AH30" s="99">
        <f>テーブル4[[#This Row],[半径方向応力:Δ+20℃]]*2*寸法→圧入力!D$25^2/(寸法→圧入力!D$25^2-寸法→圧入力!F$26^2)</f>
        <v>128.21946436999968</v>
      </c>
      <c r="AI30" s="99">
        <f>テーブル4[[#This Row],[半径方向応力:Δ+30℃]]*2*寸法→圧入力!D$25^2/(寸法→圧入力!D$25^2-寸法→圧入力!F$26^2)</f>
        <v>111.13813707041581</v>
      </c>
      <c r="AJ30" s="99">
        <f>寸法→圧入力!$D$32</f>
        <v>345</v>
      </c>
      <c r="AK30" s="99">
        <f>テーブル4[[#This Row],[半径方向応力:Δ-30℃]]* (1+(寸法→圧入力!D$36/寸法→圧入力!F$35)^2)/((寸法→圧入力!D$36/寸法→圧入力!F$35)^2-1)</f>
        <v>81.877088778855935</v>
      </c>
      <c r="AL30" s="99">
        <f>テーブル4[[#This Row],[半径方向応力:Δ-20℃]]* (1+(寸法→圧入力!D$36/寸法→圧入力!F$35)^2)/((寸法→圧入力!D$36/寸法→圧入力!F$35)^2-1)</f>
        <v>75.330279441948662</v>
      </c>
      <c r="AM30" s="99">
        <f>テーブル4[[#This Row],[半径方向応力:Δ-10℃]]* (1+(寸法→圧入力!D$36/寸法→圧入力!F$35)^2)/((寸法→圧入力!D$36/寸法→圧入力!F$35)^2-1)</f>
        <v>68.783470105041388</v>
      </c>
      <c r="AN30" s="99">
        <f>テーブル4[[#This Row],[半径方向応力:Δ0℃]]* (1+(寸法→圧入力!D$36/寸法→圧入力!F$35)^2)/((寸法→圧入力!D$36/寸法→圧入力!F$35)^2-1)</f>
        <v>62.236660768129163</v>
      </c>
      <c r="AO30" s="99">
        <f>テーブル4[[#This Row],[半径方向応力:Δ+10℃]]* (1+(寸法→圧入力!D$36/寸法→圧入力!F$35)^2)/((寸法→圧入力!D$36/寸法→圧入力!F$35)^2-1)</f>
        <v>55.689851431216951</v>
      </c>
      <c r="AP30" s="99">
        <f>テーブル4[[#This Row],[半径方向応力:Δ+20℃]]* (1+(寸法→圧入力!D$36/寸法→圧入力!F$35)^2)/((寸法→圧入力!D$36/寸法→圧入力!F$35)^2-1)</f>
        <v>49.143042094309678</v>
      </c>
      <c r="AQ30" s="99">
        <f>テーブル4[[#This Row],[半径方向応力:Δ+30℃]]* (1+(寸法→圧入力!D$36/寸法→圧入力!F$35)^2)/((寸法→圧入力!D$36/寸法→圧入力!F$35)^2-1)</f>
        <v>42.596232757407343</v>
      </c>
      <c r="AR30" s="99">
        <f>寸法→圧入力!$D$41</f>
        <v>150</v>
      </c>
    </row>
    <row r="31" spans="1:44">
      <c r="A31" s="177">
        <f t="shared" si="0"/>
        <v>0.25</v>
      </c>
      <c r="B31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86.497164236059163</v>
      </c>
      <c r="C31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87.588976830336478</v>
      </c>
      <c r="D31" s="99">
        <f>(A31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88.676526812546939</v>
      </c>
      <c r="E31" s="99">
        <f>テーブル3[[#This Row],[半径方向応力min]]*寸法→圧入力!D$48*寸法→圧入力!D$6/1000</f>
        <v>15.069472265515175</v>
      </c>
      <c r="F31" s="99">
        <f>テーブル3[[#This Row],[半径方向応力min]]*寸法→圧入力!E$48*寸法→圧入力!E$6/1000</f>
        <v>19.244511794758456</v>
      </c>
      <c r="G31" s="99">
        <f>テーブル3[[#This Row],[半径方向応力min]]*寸法→圧入力!F$48*寸法→圧入力!F$6/1000</f>
        <v>23.587341480461209</v>
      </c>
      <c r="H31" s="99">
        <f>寸法→圧入力!$D$32</f>
        <v>345</v>
      </c>
      <c r="I31" s="99">
        <f>寸法→圧入力!$D$41</f>
        <v>150</v>
      </c>
      <c r="J31" s="99">
        <f>テーブル3[[#This Row],[半径方向応力nor]]*2*寸法→圧入力!E$25^2/(寸法→圧入力!E$25^2-寸法→圧入力!E$26^2)</f>
        <v>443.26838595758528</v>
      </c>
      <c r="K31" s="99">
        <f>テーブル3[[#This Row],[半径方向応力nor]]* (1+(寸法→圧入力!E$36/寸法→圧入力!E$35)^2)/((寸法→圧入力!E$36/寸法→圧入力!E$35)^2-1)</f>
        <v>168.2769084150361</v>
      </c>
      <c r="N31">
        <f t="shared" si="1"/>
        <v>75</v>
      </c>
      <c r="O31" s="177">
        <f>寸法→圧入力!F$25*(1+寸法→圧入力!D$31*10^-6*(テーブル4[[#This Row],[inner温度'[℃']]]-20)) - 寸法→圧入力!D$35*(1+寸法→圧入力!D$40*10^-6*(テーブル4[[#This Row],[inner温度'[℃']]]+O$3-20))</f>
        <v>0.11588654499999507</v>
      </c>
      <c r="P31" s="177">
        <f>寸法→圧入力!F$25*(1+寸法→圧入力!D$31*10^-6*(テーブル4[[#This Row],[inner温度'[℃']]]-20)) - 寸法→圧入力!D$35*(1+寸法→圧入力!D$40*10^-6*(テーブル4[[#This Row],[inner温度'[℃']]]+P$3-20))</f>
        <v>0.10645754500000493</v>
      </c>
      <c r="Q31" s="177">
        <f>寸法→圧入力!F$25*(1+寸法→圧入力!D$31*10^-6*(テーブル4[[#This Row],[inner温度'[℃']]]-20)) - 寸法→圧入力!D$35*(1+寸法→圧入力!D$40*10^-6*(テーブル4[[#This Row],[inner温度'[℃']]]+Q$3-20))</f>
        <v>9.7028545000000577E-2</v>
      </c>
      <c r="R31" s="177">
        <f>寸法→圧入力!F$25*(1+寸法→圧入力!D$31*10^-6*(テーブル4[[#This Row],[inner温度'[℃']]]-20)) - 寸法→圧入力!D$35*(1+寸法→圧入力!D$40*10^-6*(テーブル4[[#This Row],[inner温度'[℃']]]+R$3-20))</f>
        <v>8.7599545000003332E-2</v>
      </c>
      <c r="S31" s="177">
        <f>寸法→圧入力!F$25*(1+寸法→圧入力!D$31*10^-6*(テーブル4[[#This Row],[inner温度'[℃']]]-20)) - 寸法→圧入力!D$35*(1+寸法→圧入力!D$40*10^-6*(テーブル4[[#This Row],[inner温度'[℃']]]+S$3-20))</f>
        <v>7.8170544999998981E-2</v>
      </c>
      <c r="T31" s="177">
        <f>寸法→圧入力!F$25*(1+寸法→圧入力!D$31*10^-6*(テーブル4[[#This Row],[inner温度'[℃']]]-20)) - 寸法→圧入力!D$35*(1+寸法→圧入力!D$40*10^-6*(テーブル4[[#This Row],[inner温度'[℃']]]+T$3-20))</f>
        <v>6.874154499999463E-2</v>
      </c>
      <c r="U31" s="177">
        <f>寸法→圧入力!F$25*(1+寸法→圧入力!D$31*10^-6*(テーブル4[[#This Row],[inner温度'[℃']]]-20)) - 寸法→圧入力!D$35*(1+寸法→圧入力!D$40*10^-6*(テーブル4[[#This Row],[inner温度'[℃']]]+U$3-20))</f>
        <v>5.9312545000004491E-2</v>
      </c>
      <c r="V31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41.105665259621958</v>
      </c>
      <c r="W31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37.76114137436344</v>
      </c>
      <c r="X31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34.416617489099878</v>
      </c>
      <c r="Y31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31.07209360383883</v>
      </c>
      <c r="Z31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27.727569718575264</v>
      </c>
      <c r="AA31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24.383045833311705</v>
      </c>
      <c r="AB31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21.038521948053177</v>
      </c>
      <c r="AC31" s="99">
        <f>テーブル4[[#This Row],[半径方向応力:Δ-30℃]]*2*寸法→圧入力!D$25^2/(寸法→圧入力!D$25^2-寸法→圧入力!F$26^2)</f>
        <v>209.93700336885576</v>
      </c>
      <c r="AD31" s="99">
        <f>テーブル4[[#This Row],[半径方向応力:Δ-20℃]]*2*寸法→圧入力!D$25^2/(寸法→圧入力!D$25^2-寸法→圧入力!F$26^2)</f>
        <v>192.85567606927191</v>
      </c>
      <c r="AE31" s="99">
        <f>テーブル4[[#This Row],[半径方向応力:Δ-10℃]]*2*寸法→圧入力!D$25^2/(寸法→圧入力!D$25^2-寸法→圧入力!F$26^2)</f>
        <v>175.77434876966231</v>
      </c>
      <c r="AF31" s="99">
        <f>テーブル4[[#This Row],[半径方向応力:Δ0℃]]*2*寸法→圧入力!D$25^2/(寸法→圧入力!D$25^2-寸法→圧入力!F$26^2)</f>
        <v>158.69302147006553</v>
      </c>
      <c r="AG31" s="99">
        <f>テーブル4[[#This Row],[半径方向応力:Δ+10℃]]*2*寸法→圧入力!D$25^2/(寸法→圧入力!D$25^2-寸法→圧入力!F$26^2)</f>
        <v>141.61169417045588</v>
      </c>
      <c r="AH31" s="99">
        <f>テーブル4[[#This Row],[半径方向応力:Δ+20℃]]*2*寸法→圧入力!D$25^2/(寸法→圧入力!D$25^2-寸法→圧入力!F$26^2)</f>
        <v>124.53036687084629</v>
      </c>
      <c r="AI31" s="99">
        <f>テーブル4[[#This Row],[半径方向応力:Δ+30℃]]*2*寸法→圧入力!D$25^2/(寸法→圧入力!D$25^2-寸法→圧入力!F$26^2)</f>
        <v>107.44903957126239</v>
      </c>
      <c r="AJ31" s="99">
        <f>寸法→圧入力!$D$32</f>
        <v>345</v>
      </c>
      <c r="AK31" s="99">
        <f>テーブル4[[#This Row],[半径方向応力:Δ-30℃]]* (1+(寸法→圧入力!D$36/寸法→圧入力!F$35)^2)/((寸法→圧入力!D$36/寸法→圧入力!F$35)^2-1)</f>
        <v>80.463157792779185</v>
      </c>
      <c r="AL31" s="99">
        <f>テーブル4[[#This Row],[半径方向応力:Δ-20℃]]* (1+(寸法→圧入力!D$36/寸法→圧入力!F$35)^2)/((寸法→圧入力!D$36/寸法→圧入力!F$35)^2-1)</f>
        <v>73.916348455876843</v>
      </c>
      <c r="AM31" s="99">
        <f>テーブル4[[#This Row],[半径方向応力:Δ-10℃]]* (1+(寸法→圧入力!D$36/寸法→圧入力!F$35)^2)/((寸法→圧入力!D$36/寸法→圧入力!F$35)^2-1)</f>
        <v>67.369539118964639</v>
      </c>
      <c r="AN31" s="99">
        <f>テーブル4[[#This Row],[半径方向応力:Δ0℃]]* (1+(寸法→圧入力!D$36/寸法→圧入力!F$35)^2)/((寸法→圧入力!D$36/寸法→圧入力!F$35)^2-1)</f>
        <v>60.822729782057344</v>
      </c>
      <c r="AO31" s="99">
        <f>テーブル4[[#This Row],[半径方向応力:Δ+10℃]]* (1+(寸法→圧入力!D$36/寸法→圧入力!F$35)^2)/((寸法→圧入力!D$36/寸法→圧入力!F$35)^2-1)</f>
        <v>54.275920445145125</v>
      </c>
      <c r="AP31" s="99">
        <f>テーブル4[[#This Row],[半径方向応力:Δ+20℃]]* (1+(寸法→圧入力!D$36/寸法→圧入力!F$35)^2)/((寸法→圧入力!D$36/寸法→圧入力!F$35)^2-1)</f>
        <v>47.729111108232921</v>
      </c>
      <c r="AQ31" s="99">
        <f>テーブル4[[#This Row],[半径方向応力:Δ+30℃]]* (1+(寸法→圧入力!D$36/寸法→圧入力!F$35)^2)/((寸法→圧入力!D$36/寸法→圧入力!F$35)^2-1)</f>
        <v>41.182301771330565</v>
      </c>
      <c r="AR31" s="99">
        <f>寸法→圧入力!$D$41</f>
        <v>150</v>
      </c>
    </row>
    <row r="32" spans="1:44">
      <c r="A32" s="177">
        <f t="shared" si="0"/>
        <v>0.26</v>
      </c>
      <c r="B32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89.957050805501538</v>
      </c>
      <c r="C32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91.092535903549944</v>
      </c>
      <c r="D32" s="99">
        <f>(A32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92.223587885048815</v>
      </c>
      <c r="E32" s="99">
        <f>テーブル3[[#This Row],[半径方向応力min]]*寸法→圧入力!D$48*寸法→圧入力!D$6/1000</f>
        <v>15.672251156135783</v>
      </c>
      <c r="F32" s="99">
        <f>テーブル3[[#This Row],[半径方向応力min]]*寸法→圧入力!E$48*寸法→圧入力!E$6/1000</f>
        <v>20.014292266548789</v>
      </c>
      <c r="G32" s="99">
        <f>テーブル3[[#This Row],[半径方向応力min]]*寸法→圧入力!F$48*寸法→圧入力!F$6/1000</f>
        <v>24.530835139679656</v>
      </c>
      <c r="H32" s="99">
        <f>寸法→圧入力!$D$32</f>
        <v>345</v>
      </c>
      <c r="I32" s="99">
        <f>寸法→圧入力!$D$41</f>
        <v>150</v>
      </c>
      <c r="J32" s="99">
        <f>テーブル3[[#This Row],[半径方向応力nor]]*2*寸法→圧入力!E$25^2/(寸法→圧入力!E$25^2-寸法→圧入力!E$26^2)</f>
        <v>460.99912139588872</v>
      </c>
      <c r="K32" s="99">
        <f>テーブル3[[#This Row],[半径方向応力nor]]* (1+(寸法→圧入力!E$36/寸法→圧入力!E$35)^2)/((寸法→圧入力!E$36/寸法→圧入力!E$35)^2-1)</f>
        <v>175.00798475163757</v>
      </c>
      <c r="N32">
        <f t="shared" si="1"/>
        <v>80</v>
      </c>
      <c r="O32" s="177">
        <f>寸法→圧入力!F$25*(1+寸法→圧入力!D$31*10^-6*(テーブル4[[#This Row],[inner温度'[℃']]]-20)) - 寸法→圧入力!D$35*(1+寸法→圧入力!D$40*10^-6*(テーブル4[[#This Row],[inner温度'[℃']]]+O$3-20))</f>
        <v>0.11385014000000382</v>
      </c>
      <c r="P32" s="177">
        <f>寸法→圧入力!F$25*(1+寸法→圧入力!D$31*10^-6*(テーブル4[[#This Row],[inner温度'[℃']]]-20)) - 寸法→圧入力!D$35*(1+寸法→圧入力!D$40*10^-6*(テーブル4[[#This Row],[inner温度'[℃']]]+P$3-20))</f>
        <v>0.10442114000000657</v>
      </c>
      <c r="Q32" s="177">
        <f>寸法→圧入力!F$25*(1+寸法→圧入力!D$31*10^-6*(テーブル4[[#This Row],[inner温度'[℃']]]-20)) - 寸法→圧入力!D$35*(1+寸法→圧入力!D$40*10^-6*(テーブル4[[#This Row],[inner温度'[℃']]]+Q$3-20))</f>
        <v>9.4992140000002223E-2</v>
      </c>
      <c r="R32" s="177">
        <f>寸法→圧入力!F$25*(1+寸法→圧入力!D$31*10^-6*(テーブル4[[#This Row],[inner温度'[℃']]]-20)) - 寸法→圧入力!D$35*(1+寸法→圧入力!D$40*10^-6*(テーブル4[[#This Row],[inner温度'[℃']]]+R$3-20))</f>
        <v>8.5563139999997873E-2</v>
      </c>
      <c r="S32" s="177">
        <f>寸法→圧入力!F$25*(1+寸法→圧入力!D$31*10^-6*(テーブル4[[#This Row],[inner温度'[℃']]]-20)) - 寸法→圧入力!D$35*(1+寸法→圧入力!D$40*10^-6*(テーブル4[[#This Row],[inner温度'[℃']]]+S$3-20))</f>
        <v>7.6134140000000627E-2</v>
      </c>
      <c r="T32" s="177">
        <f>寸法→圧入力!F$25*(1+寸法→圧入力!D$31*10^-6*(テーブル4[[#This Row],[inner温度'[℃']]]-20)) - 寸法→圧入力!D$35*(1+寸法→圧入力!D$40*10^-6*(テーブル4[[#This Row],[inner温度'[℃']]]+T$3-20))</f>
        <v>6.6705140000010488E-2</v>
      </c>
      <c r="U32" s="177">
        <f>寸法→圧入力!F$25*(1+寸法→圧入力!D$31*10^-6*(テーブル4[[#This Row],[inner温度'[℃']]]-20)) - 寸法→圧入力!D$35*(1+寸法→圧入力!D$40*10^-6*(テーブル4[[#This Row],[inner温度'[℃']]]+U$3-20))</f>
        <v>5.7276140000006137E-2</v>
      </c>
      <c r="V32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40.383339969290247</v>
      </c>
      <c r="W32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37.0388160840292</v>
      </c>
      <c r="X32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33.694292198765638</v>
      </c>
      <c r="Y32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30.349768313502071</v>
      </c>
      <c r="Z32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27.005244428241031</v>
      </c>
      <c r="AA32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23.66072054298251</v>
      </c>
      <c r="AB32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20.316196657718944</v>
      </c>
      <c r="AC32" s="99">
        <f>テーブル4[[#This Row],[半径方向応力:Δ-30℃]]*2*寸法→圧入力!D$25^2/(寸法→圧入力!D$25^2-寸法→圧入力!F$26^2)</f>
        <v>206.24790586971525</v>
      </c>
      <c r="AD32" s="99">
        <f>テーブル4[[#This Row],[半径方向応力:Δ-20℃]]*2*寸法→圧入力!D$25^2/(寸法→圧入力!D$25^2-寸法→圧入力!F$26^2)</f>
        <v>189.16657857011847</v>
      </c>
      <c r="AE32" s="99">
        <f>テーブル4[[#This Row],[半径方向応力:Δ-10℃]]*2*寸法→圧入力!D$25^2/(寸法→圧入力!D$25^2-寸法→圧入力!F$26^2)</f>
        <v>172.08525127050888</v>
      </c>
      <c r="AF32" s="99">
        <f>テーブル4[[#This Row],[半径方向応力:Δ0℃]]*2*寸法→圧入力!D$25^2/(寸法→圧入力!D$25^2-寸法→圧入力!F$26^2)</f>
        <v>155.00392397089925</v>
      </c>
      <c r="AG32" s="99">
        <f>テーブル4[[#This Row],[半径方向応力:Δ+10℃]]*2*寸法→圧入力!D$25^2/(寸法→圧入力!D$25^2-寸法→圧入力!F$26^2)</f>
        <v>137.9225966713025</v>
      </c>
      <c r="AH32" s="99">
        <f>テーブル4[[#This Row],[半径方向応力:Δ+20℃]]*2*寸法→圧入力!D$25^2/(寸法→圧入力!D$25^2-寸法→圧入力!F$26^2)</f>
        <v>120.84126937171864</v>
      </c>
      <c r="AI32" s="99">
        <f>テーブル4[[#This Row],[半径方向応力:Δ+30℃]]*2*寸法→圧入力!D$25^2/(寸法→圧入力!D$25^2-寸法→圧入力!F$26^2)</f>
        <v>103.75994207210901</v>
      </c>
      <c r="AJ32" s="99">
        <f>寸法→圧入力!$D$32</f>
        <v>345</v>
      </c>
      <c r="AK32" s="99">
        <f>テーブル4[[#This Row],[半径方向応力:Δ-30℃]]* (1+(寸法→圧入力!D$36/寸法→圧入力!F$35)^2)/((寸法→圧入力!D$36/寸法→圧入力!F$35)^2-1)</f>
        <v>79.049226806707367</v>
      </c>
      <c r="AL32" s="99">
        <f>テーブル4[[#This Row],[半径方向応力:Δ-20℃]]* (1+(寸法→圧入力!D$36/寸法→圧入力!F$35)^2)/((寸法→圧入力!D$36/寸法→圧入力!F$35)^2-1)</f>
        <v>72.502417469800065</v>
      </c>
      <c r="AM32" s="99">
        <f>テーブル4[[#This Row],[半径方向応力:Δ-10℃]]* (1+(寸法→圧入力!D$36/寸法→圧入力!F$35)^2)/((寸法→圧入力!D$36/寸法→圧入力!F$35)^2-1)</f>
        <v>65.955608132887861</v>
      </c>
      <c r="AN32" s="99">
        <f>テーブル4[[#This Row],[半径方向応力:Δ0℃]]* (1+(寸法→圧入力!D$36/寸法→圧入力!F$35)^2)/((寸法→圧入力!D$36/寸法→圧入力!F$35)^2-1)</f>
        <v>59.408798795975642</v>
      </c>
      <c r="AO32" s="99">
        <f>テーブル4[[#This Row],[半径方向応力:Δ+10℃]]* (1+(寸法→圧入力!D$36/寸法→圧入力!F$35)^2)/((寸法→圧入力!D$36/寸法→圧入力!F$35)^2-1)</f>
        <v>52.861989459068369</v>
      </c>
      <c r="AP32" s="99">
        <f>テーブル4[[#This Row],[半径方向応力:Δ+20℃]]* (1+(寸法→圧入力!D$36/寸法→圧入力!F$35)^2)/((寸法→圧入力!D$36/寸法→圧入力!F$35)^2-1)</f>
        <v>46.315180122166026</v>
      </c>
      <c r="AQ32" s="99">
        <f>テーブル4[[#This Row],[半径方向応力:Δ+30℃]]* (1+(寸法→圧入力!D$36/寸法→圧入力!F$35)^2)/((寸法→圧入力!D$36/寸法→圧入力!F$35)^2-1)</f>
        <v>39.768370785253808</v>
      </c>
      <c r="AR32" s="99">
        <f>寸法→圧入力!$D$41</f>
        <v>150</v>
      </c>
    </row>
    <row r="33" spans="1:44">
      <c r="A33" s="177">
        <f t="shared" si="0"/>
        <v>0.27</v>
      </c>
      <c r="B33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93.416937374943899</v>
      </c>
      <c r="C33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94.596094976763382</v>
      </c>
      <c r="D33" s="99">
        <f>(A33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95.770648957550691</v>
      </c>
      <c r="E33" s="99">
        <f>テーブル3[[#This Row],[半径方向応力min]]*寸法→圧入力!D$48*寸法→圧入力!D$6/1000</f>
        <v>16.275030046756388</v>
      </c>
      <c r="F33" s="99">
        <f>テーブル3[[#This Row],[半径方向応力min]]*寸法→圧入力!E$48*寸法→圧入力!E$6/1000</f>
        <v>20.784072738339127</v>
      </c>
      <c r="G33" s="99">
        <f>テーブル3[[#This Row],[半径方向応力min]]*寸法→圧入力!F$48*寸法→圧入力!F$6/1000</f>
        <v>25.474328798898103</v>
      </c>
      <c r="H33" s="99">
        <f>寸法→圧入力!$D$32</f>
        <v>345</v>
      </c>
      <c r="I33" s="99">
        <f>寸法→圧入力!$D$41</f>
        <v>150</v>
      </c>
      <c r="J33" s="99">
        <f>テーブル3[[#This Row],[半径方向応力nor]]*2*寸法→圧入力!E$25^2/(寸法→圧入力!E$25^2-寸法→圧入力!E$26^2)</f>
        <v>478.72985683419205</v>
      </c>
      <c r="K33" s="99">
        <f>テーブル3[[#This Row],[半径方向応力nor]]* (1+(寸法→圧入力!E$36/寸法→圧入力!E$35)^2)/((寸法→圧入力!E$36/寸法→圧入力!E$35)^2-1)</f>
        <v>181.73906108823894</v>
      </c>
      <c r="N33">
        <f t="shared" si="1"/>
        <v>85</v>
      </c>
      <c r="O33" s="177">
        <f>寸法→圧入力!F$25*(1+寸法→圧入力!D$31*10^-6*(テーブル4[[#This Row],[inner温度'[℃']]]-20)) - 寸法→圧入力!D$35*(1+寸法→圧入力!D$40*10^-6*(テーブル4[[#This Row],[inner温度'[℃']]]+O$3-20))</f>
        <v>0.11181373499999836</v>
      </c>
      <c r="P33" s="177">
        <f>寸法→圧入力!F$25*(1+寸法→圧入力!D$31*10^-6*(テーブル4[[#This Row],[inner温度'[℃']]]-20)) - 寸法→圧入力!D$35*(1+寸法→圧入力!D$40*10^-6*(テーブル4[[#This Row],[inner温度'[℃']]]+P$3-20))</f>
        <v>0.10238473499999401</v>
      </c>
      <c r="Q33" s="177">
        <f>寸法→圧入力!F$25*(1+寸法→圧入力!D$31*10^-6*(テーブル4[[#This Row],[inner温度'[℃']]]-20)) - 寸法→圧入力!D$35*(1+寸法→圧入力!D$40*10^-6*(テーブル4[[#This Row],[inner温度'[℃']]]+Q$3-20))</f>
        <v>9.2955734999996764E-2</v>
      </c>
      <c r="R33" s="177">
        <f>寸法→圧入力!F$25*(1+寸法→圧入力!D$31*10^-6*(テーブル4[[#This Row],[inner温度'[℃']]]-20)) - 寸法→圧入力!D$35*(1+寸法→圧入力!D$40*10^-6*(テーブル4[[#This Row],[inner温度'[℃']]]+R$3-20))</f>
        <v>8.3526734999992414E-2</v>
      </c>
      <c r="S33" s="177">
        <f>寸法→圧入力!F$25*(1+寸法→圧入力!D$31*10^-6*(テーブル4[[#This Row],[inner温度'[℃']]]-20)) - 寸法→圧入力!D$35*(1+寸法→圧入力!D$40*10^-6*(テーブル4[[#This Row],[inner温度'[℃']]]+S$3-20))</f>
        <v>7.4097734999988063E-2</v>
      </c>
      <c r="T33" s="177">
        <f>寸法→圧入力!F$25*(1+寸法→圧入力!D$31*10^-6*(テーブル4[[#This Row],[inner温度'[℃']]]-20)) - 寸法→圧入力!D$35*(1+寸法→圧入力!D$40*10^-6*(テーブル4[[#This Row],[inner温度'[℃']]]+T$3-20))</f>
        <v>6.4668734999997923E-2</v>
      </c>
      <c r="U33" s="177">
        <f>寸法→圧入力!F$25*(1+寸法→圧入力!D$31*10^-6*(テーブル4[[#This Row],[inner温度'[℃']]]-20)) - 寸法→圧入力!D$35*(1+寸法→圧入力!D$40*10^-6*(テーブル4[[#This Row],[inner温度'[℃']]]+U$3-20))</f>
        <v>5.5239735000000678E-2</v>
      </c>
      <c r="V33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39.661014678953492</v>
      </c>
      <c r="W33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36.316490793689923</v>
      </c>
      <c r="X33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32.971966908428882</v>
      </c>
      <c r="Y33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29.62744302316532</v>
      </c>
      <c r="Z33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26.282919137901754</v>
      </c>
      <c r="AA33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22.938395252643232</v>
      </c>
      <c r="AB33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19.593871367382192</v>
      </c>
      <c r="AC33" s="99">
        <f>テーブル4[[#This Row],[半径方向応力:Δ-30℃]]*2*寸法→圧入力!D$25^2/(寸法→圧入力!D$25^2-寸法→圧入力!F$26^2)</f>
        <v>202.558808370549</v>
      </c>
      <c r="AD33" s="99">
        <f>テーブル4[[#This Row],[半径方向応力:Δ-20℃]]*2*寸法→圧入力!D$25^2/(寸法→圧入力!D$25^2-寸法→圧入力!F$26^2)</f>
        <v>185.47748107093935</v>
      </c>
      <c r="AE33" s="99">
        <f>テーブル4[[#This Row],[半径方向応力:Δ-10℃]]*2*寸法→圧入力!D$25^2/(寸法→圧入力!D$25^2-寸法→圧入力!F$26^2)</f>
        <v>168.3961537713426</v>
      </c>
      <c r="AF33" s="99">
        <f>テーブル4[[#This Row],[半径方向応力:Δ0℃]]*2*寸法→圧入力!D$25^2/(寸法→圧入力!D$25^2-寸法→圧入力!F$26^2)</f>
        <v>151.314826471733</v>
      </c>
      <c r="AG33" s="99">
        <f>テーブル4[[#This Row],[半径方向応力:Δ+10℃]]*2*寸法→圧入力!D$25^2/(寸法→圧入力!D$25^2-寸法→圧入力!F$26^2)</f>
        <v>134.23349917212335</v>
      </c>
      <c r="AH33" s="99">
        <f>テーブル4[[#This Row],[半径方向応力:Δ+20℃]]*2*寸法→圧入力!D$25^2/(寸法→圧入力!D$25^2-寸法→圧入力!F$26^2)</f>
        <v>117.15217187253948</v>
      </c>
      <c r="AI33" s="99">
        <f>テーブル4[[#This Row],[半径方向応力:Δ+30℃]]*2*寸法→圧入力!D$25^2/(寸法→圧入力!D$25^2-寸法→圧入力!F$26^2)</f>
        <v>100.07084457294276</v>
      </c>
      <c r="AJ33" s="99">
        <f>寸法→圧入力!$D$32</f>
        <v>345</v>
      </c>
      <c r="AK33" s="99">
        <f>テーブル4[[#This Row],[半径方向応力:Δ-30℃]]* (1+(寸法→圧入力!D$36/寸法→圧入力!F$35)^2)/((寸法→圧入力!D$36/寸法→圧入力!F$35)^2-1)</f>
        <v>77.635295820625657</v>
      </c>
      <c r="AL33" s="99">
        <f>テーブル4[[#This Row],[半径方向応力:Δ-20℃]]* (1+(寸法→圧入力!D$36/寸法→圧入力!F$35)^2)/((寸法→圧入力!D$36/寸法→圧入力!F$35)^2-1)</f>
        <v>71.088486483713439</v>
      </c>
      <c r="AM33" s="99">
        <f>テーブル4[[#This Row],[半径方向応力:Δ-10℃]]* (1+(寸法→圧入力!D$36/寸法→圧入力!F$35)^2)/((寸法→圧入力!D$36/寸法→圧入力!F$35)^2-1)</f>
        <v>64.541677146806165</v>
      </c>
      <c r="AN33" s="99">
        <f>テーブル4[[#This Row],[半径方向応力:Δ0℃]]* (1+(寸法→圧入力!D$36/寸法→圧入力!F$35)^2)/((寸法→圧入力!D$36/寸法→圧入力!F$35)^2-1)</f>
        <v>57.994867809893954</v>
      </c>
      <c r="AO33" s="99">
        <f>テーブル4[[#This Row],[半径方向応力:Δ+10℃]]* (1+(寸法→圧入力!D$36/寸法→圧入力!F$35)^2)/((寸法→圧入力!D$36/寸法→圧入力!F$35)^2-1)</f>
        <v>51.448058472981735</v>
      </c>
      <c r="AP33" s="99">
        <f>テーブル4[[#This Row],[半径方向応力:Δ+20℃]]* (1+(寸法→圧入力!D$36/寸法→圧入力!F$35)^2)/((寸法→圧入力!D$36/寸法→圧入力!F$35)^2-1)</f>
        <v>44.9012491360794</v>
      </c>
      <c r="AQ33" s="99">
        <f>テーブル4[[#This Row],[半径方向応力:Δ+30℃]]* (1+(寸法→圧入力!D$36/寸法→圧入力!F$35)^2)/((寸法→圧入力!D$36/寸法→圧入力!F$35)^2-1)</f>
        <v>38.354439799172127</v>
      </c>
      <c r="AR33" s="99">
        <f>寸法→圧入力!$D$41</f>
        <v>150</v>
      </c>
    </row>
    <row r="34" spans="1:44">
      <c r="A34" s="177">
        <f t="shared" si="0"/>
        <v>0.28000000000000003</v>
      </c>
      <c r="B34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96.876823944386274</v>
      </c>
      <c r="C34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98.099654049976849</v>
      </c>
      <c r="D34" s="99">
        <f>(A34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99.317710030052581</v>
      </c>
      <c r="E34" s="99">
        <f>テーブル3[[#This Row],[半径方向応力min]]*寸法→圧入力!D$48*寸法→圧入力!D$6/1000</f>
        <v>16.877808937376997</v>
      </c>
      <c r="F34" s="99">
        <f>テーブル3[[#This Row],[半径方向応力min]]*寸法→圧入力!E$48*寸法→圧入力!E$6/1000</f>
        <v>21.553853210129468</v>
      </c>
      <c r="G34" s="99">
        <f>テーブル3[[#This Row],[半径方向応力min]]*寸法→圧入力!F$48*寸法→圧入力!F$6/1000</f>
        <v>26.417822458116557</v>
      </c>
      <c r="H34" s="99">
        <f>寸法→圧入力!$D$32</f>
        <v>345</v>
      </c>
      <c r="I34" s="99">
        <f>寸法→圧入力!$D$41</f>
        <v>150</v>
      </c>
      <c r="J34" s="99">
        <f>テーブル3[[#This Row],[半径方向応力nor]]*2*寸法→圧入力!E$25^2/(寸法→圧入力!E$25^2-寸法→圧入力!E$26^2)</f>
        <v>496.46059227249549</v>
      </c>
      <c r="K34" s="99">
        <f>テーブル3[[#This Row],[半径方向応力nor]]* (1+(寸法→圧入力!E$36/寸法→圧入力!E$35)^2)/((寸法→圧入力!E$36/寸法→圧入力!E$35)^2-1)</f>
        <v>188.4701374248404</v>
      </c>
      <c r="N34">
        <f t="shared" si="1"/>
        <v>90</v>
      </c>
      <c r="O34" s="177">
        <f>寸法→圧入力!F$25*(1+寸法→圧入力!D$31*10^-6*(テーブル4[[#This Row],[inner温度'[℃']]]-20)) - 寸法→圧入力!D$35*(1+寸法→圧入力!D$40*10^-6*(テーブル4[[#This Row],[inner温度'[℃']]]+O$3-20))</f>
        <v>0.10977733000000711</v>
      </c>
      <c r="P34" s="177">
        <f>寸法→圧入力!F$25*(1+寸法→圧入力!D$31*10^-6*(テーブル4[[#This Row],[inner温度'[℃']]]-20)) - 寸法→圧入力!D$35*(1+寸法→圧入力!D$40*10^-6*(テーブル4[[#This Row],[inner温度'[℃']]]+P$3-20))</f>
        <v>0.10034833000000276</v>
      </c>
      <c r="Q34" s="177">
        <f>寸法→圧入力!F$25*(1+寸法→圧入力!D$31*10^-6*(テーブル4[[#This Row],[inner温度'[℃']]]-20)) - 寸法→圧入力!D$35*(1+寸法→圧入力!D$40*10^-6*(テーブル4[[#This Row],[inner温度'[℃']]]+Q$3-20))</f>
        <v>9.0919329999998411E-2</v>
      </c>
      <c r="R34" s="177">
        <f>寸法→圧入力!F$25*(1+寸法→圧入力!D$31*10^-6*(テーブル4[[#This Row],[inner温度'[℃']]]-20)) - 寸法→圧入力!D$35*(1+寸法→圧入力!D$40*10^-6*(テーブル4[[#This Row],[inner温度'[℃']]]+R$3-20))</f>
        <v>8.1490330000001165E-2</v>
      </c>
      <c r="S34" s="177">
        <f>寸法→圧入力!F$25*(1+寸法→圧入力!D$31*10^-6*(テーブル4[[#This Row],[inner温度'[℃']]]-20)) - 寸法→圧入力!D$35*(1+寸法→圧入力!D$40*10^-6*(テーブル4[[#This Row],[inner温度'[℃']]]+S$3-20))</f>
        <v>7.2061330000011026E-2</v>
      </c>
      <c r="T34" s="177">
        <f>寸法→圧入力!F$25*(1+寸法→圧入力!D$31*10^-6*(テーブル4[[#This Row],[inner温度'[℃']]]-20)) - 寸法→圧入力!D$35*(1+寸法→圧入力!D$40*10^-6*(テーブル4[[#This Row],[inner温度'[℃']]]+T$3-20))</f>
        <v>6.2632330000006675E-2</v>
      </c>
      <c r="U34" s="177">
        <f>寸法→圧入力!F$25*(1+寸法→圧入力!D$31*10^-6*(テーブル4[[#This Row],[inner温度'[℃']]]-20)) - 寸法→圧入力!D$35*(1+寸法→圧入力!D$40*10^-6*(テーブル4[[#This Row],[inner温度'[℃']]]+U$3-20))</f>
        <v>5.3203330000002325E-2</v>
      </c>
      <c r="V34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38.938689388621775</v>
      </c>
      <c r="W34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35.594165503358212</v>
      </c>
      <c r="X34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32.24964161809465</v>
      </c>
      <c r="Y34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28.905117732833606</v>
      </c>
      <c r="Z34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25.560593847575085</v>
      </c>
      <c r="AA34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22.216069962311519</v>
      </c>
      <c r="AB34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18.871546077047952</v>
      </c>
      <c r="AC34" s="99">
        <f>テーブル4[[#This Row],[半径方向応力:Δ-30℃]]*2*寸法→圧入力!D$25^2/(寸法→圧入力!D$25^2-寸法→圧入力!F$26^2)</f>
        <v>198.86971087140844</v>
      </c>
      <c r="AD34" s="99">
        <f>テーブル4[[#This Row],[半径方向応力:Δ-20℃]]*2*寸法→圧入力!D$25^2/(寸法→圧入力!D$25^2-寸法→圧入力!F$26^2)</f>
        <v>181.78838357179885</v>
      </c>
      <c r="AE34" s="99">
        <f>テーブル4[[#This Row],[半径方向応力:Δ-10℃]]*2*寸法→圧入力!D$25^2/(寸法→圧入力!D$25^2-寸法→圧入力!F$26^2)</f>
        <v>164.70705627218922</v>
      </c>
      <c r="AF34" s="99">
        <f>テーブル4[[#This Row],[半径方向応力:Δ0℃]]*2*寸法→圧入力!D$25^2/(寸法→圧入力!D$25^2-寸法→圧入力!F$26^2)</f>
        <v>147.62572897259247</v>
      </c>
      <c r="AG34" s="99">
        <f>テーブル4[[#This Row],[半径方向応力:Δ+10℃]]*2*寸法→圧入力!D$25^2/(寸法→圧入力!D$25^2-寸法→圧入力!F$26^2)</f>
        <v>130.54440167300859</v>
      </c>
      <c r="AH34" s="99">
        <f>テーブル4[[#This Row],[半径方向応力:Δ+20℃]]*2*寸法→圧入力!D$25^2/(寸法→圧入力!D$25^2-寸法→圧入力!F$26^2)</f>
        <v>113.46307437339897</v>
      </c>
      <c r="AI34" s="99">
        <f>テーブル4[[#This Row],[半径方向応力:Δ+30℃]]*2*寸法→圧入力!D$25^2/(寸法→圧入力!D$25^2-寸法→圧入力!F$26^2)</f>
        <v>96.381747073789342</v>
      </c>
      <c r="AJ34" s="99">
        <f>寸法→圧入力!$D$32</f>
        <v>345</v>
      </c>
      <c r="AK34" s="99">
        <f>テーブル4[[#This Row],[半径方向応力:Δ-30℃]]* (1+(寸法→圧入力!D$36/寸法→圧入力!F$35)^2)/((寸法→圧入力!D$36/寸法→圧入力!F$35)^2-1)</f>
        <v>76.221364834553839</v>
      </c>
      <c r="AL34" s="99">
        <f>テーブル4[[#This Row],[半径方向応力:Δ-20℃]]* (1+(寸法→圧入力!D$36/寸法→圧入力!F$35)^2)/((寸法→圧入力!D$36/寸法→圧入力!F$35)^2-1)</f>
        <v>69.67455549764162</v>
      </c>
      <c r="AM34" s="99">
        <f>テーブル4[[#This Row],[半径方向応力:Δ-10℃]]* (1+(寸法→圧入力!D$36/寸法→圧入力!F$35)^2)/((寸法→圧入力!D$36/寸法→圧入力!F$35)^2-1)</f>
        <v>63.127746160729409</v>
      </c>
      <c r="AN34" s="99">
        <f>テーブル4[[#This Row],[半径方向応力:Δ0℃]]* (1+(寸法→圧入力!D$36/寸法→圧入力!F$35)^2)/((寸法→圧入力!D$36/寸法→圧入力!F$35)^2-1)</f>
        <v>56.580936823822128</v>
      </c>
      <c r="AO34" s="99">
        <f>テーブル4[[#This Row],[半径方向応力:Δ+10℃]]* (1+(寸法→圧入力!D$36/寸法→圧入力!F$35)^2)/((寸法→圧入力!D$36/寸法→圧入力!F$35)^2-1)</f>
        <v>50.034127486919786</v>
      </c>
      <c r="AP34" s="99">
        <f>テーブル4[[#This Row],[半径方向応力:Δ+20℃]]* (1+(寸法→圧入力!D$36/寸法→圧入力!F$35)^2)/((寸法→圧入力!D$36/寸法→圧入力!F$35)^2-1)</f>
        <v>43.487318150007567</v>
      </c>
      <c r="AQ34" s="99">
        <f>テーブル4[[#This Row],[半径方向応力:Δ+30℃]]* (1+(寸法→圧入力!D$36/寸法→圧入力!F$35)^2)/((寸法→圧入力!D$36/寸法→圧入力!F$35)^2-1)</f>
        <v>36.940508813095349</v>
      </c>
      <c r="AR34" s="99">
        <f>寸法→圧入力!$D$41</f>
        <v>150</v>
      </c>
    </row>
    <row r="35" spans="1:44">
      <c r="A35" s="177">
        <f t="shared" si="0"/>
        <v>0.28999999999999998</v>
      </c>
      <c r="B35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100.33671051382862</v>
      </c>
      <c r="C35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101.60321312319029</v>
      </c>
      <c r="D35" s="99">
        <f>(A35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102.86477110255443</v>
      </c>
      <c r="E35" s="99">
        <f>テーブル3[[#This Row],[半径方向応力min]]*寸法→圧入力!D$48*寸法→圧入力!D$6/1000</f>
        <v>17.480587827997599</v>
      </c>
      <c r="F35" s="99">
        <f>テーブル3[[#This Row],[半径方向応力min]]*寸法→圧入力!E$48*寸法→圧入力!E$6/1000</f>
        <v>22.323633681919805</v>
      </c>
      <c r="G35" s="99">
        <f>テーブル3[[#This Row],[半径方向応力min]]*寸法→圧入力!F$48*寸法→圧入力!F$6/1000</f>
        <v>27.361316117334997</v>
      </c>
      <c r="H35" s="99">
        <f>寸法→圧入力!$D$32</f>
        <v>345</v>
      </c>
      <c r="I35" s="99">
        <f>寸法→圧入力!$D$41</f>
        <v>150</v>
      </c>
      <c r="J35" s="99">
        <f>テーブル3[[#This Row],[半径方向応力nor]]*2*寸法→圧入力!E$25^2/(寸法→圧入力!E$25^2-寸法→圧入力!E$26^2)</f>
        <v>514.19132771079876</v>
      </c>
      <c r="K35" s="99">
        <f>テーブル3[[#This Row],[半径方向応力nor]]* (1+(寸法→圧入力!E$36/寸法→圧入力!E$35)^2)/((寸法→圧入力!E$36/寸法→圧入力!E$35)^2-1)</f>
        <v>195.20121376144184</v>
      </c>
      <c r="N35">
        <f t="shared" si="1"/>
        <v>95</v>
      </c>
      <c r="O35" s="177">
        <f>寸法→圧入力!F$25*(1+寸法→圧入力!D$31*10^-6*(テーブル4[[#This Row],[inner温度'[℃']]]-20)) - 寸法→圧入力!D$35*(1+寸法→圧入力!D$40*10^-6*(テーブル4[[#This Row],[inner温度'[℃']]]+O$3-20))</f>
        <v>0.10774092499999455</v>
      </c>
      <c r="P35" s="177">
        <f>寸法→圧入力!F$25*(1+寸法→圧入力!D$31*10^-6*(テーブル4[[#This Row],[inner温度'[℃']]]-20)) - 寸法→圧入力!D$35*(1+寸法→圧入力!D$40*10^-6*(テーブル4[[#This Row],[inner温度'[℃']]]+P$3-20))</f>
        <v>9.8311924999997302E-2</v>
      </c>
      <c r="Q35" s="177">
        <f>寸法→圧入力!F$25*(1+寸法→圧入力!D$31*10^-6*(テーブル4[[#This Row],[inner温度'[℃']]]-20)) - 寸法→圧入力!D$35*(1+寸法→圧入力!D$40*10^-6*(テーブル4[[#This Row],[inner温度'[℃']]]+Q$3-20))</f>
        <v>8.8882924999992952E-2</v>
      </c>
      <c r="R35" s="177">
        <f>寸法→圧入力!F$25*(1+寸法→圧入力!D$31*10^-6*(テーブル4[[#This Row],[inner温度'[℃']]]-20)) - 寸法→圧入力!D$35*(1+寸法→圧入力!D$40*10^-6*(テーブル4[[#This Row],[inner温度'[℃']]]+R$3-20))</f>
        <v>7.9453924999988601E-2</v>
      </c>
      <c r="S35" s="177">
        <f>寸法→圧入力!F$25*(1+寸法→圧入力!D$31*10^-6*(テーブル4[[#This Row],[inner温度'[℃']]]-20)) - 寸法→圧入力!D$35*(1+寸法→圧入力!D$40*10^-6*(テーブル4[[#This Row],[inner温度'[℃']]]+S$3-20))</f>
        <v>7.0024924999998461E-2</v>
      </c>
      <c r="T35" s="177">
        <f>寸法→圧入力!F$25*(1+寸法→圧入力!D$31*10^-6*(テーブル4[[#This Row],[inner温度'[℃']]]-20)) - 寸法→圧入力!D$35*(1+寸法→圧入力!D$40*10^-6*(テーブル4[[#This Row],[inner温度'[℃']]]+T$3-20))</f>
        <v>6.0595925000001216E-2</v>
      </c>
      <c r="U35" s="177">
        <f>寸法→圧入力!F$25*(1+寸法→圧入力!D$31*10^-6*(テーブル4[[#This Row],[inner温度'[℃']]]-20)) - 寸法→圧入力!D$35*(1+寸法→圧入力!D$40*10^-6*(テーブル4[[#This Row],[inner温度'[℃']]]+U$3-20))</f>
        <v>5.1166924999996866E-2</v>
      </c>
      <c r="V35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38.216364098282497</v>
      </c>
      <c r="W35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34.871840213021457</v>
      </c>
      <c r="X35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31.527316327757894</v>
      </c>
      <c r="Y35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28.182792442494328</v>
      </c>
      <c r="Z35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24.838268557235807</v>
      </c>
      <c r="AA35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21.493744671974767</v>
      </c>
      <c r="AB35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18.149220786711201</v>
      </c>
      <c r="AC35" s="99">
        <f>テーブル4[[#This Row],[半径方向応力:Δ-30℃]]*2*寸法→圧入力!D$25^2/(寸法→圧入力!D$25^2-寸法→圧入力!F$26^2)</f>
        <v>195.18061337222929</v>
      </c>
      <c r="AD35" s="99">
        <f>テーブル4[[#This Row],[半径方向応力:Δ-20℃]]*2*寸法→圧入力!D$25^2/(寸法→圧入力!D$25^2-寸法→圧入力!F$26^2)</f>
        <v>178.09928607263259</v>
      </c>
      <c r="AE35" s="99">
        <f>テーブル4[[#This Row],[半径方向応力:Δ-10℃]]*2*寸法→圧入力!D$25^2/(寸法→圧入力!D$25^2-寸法→圧入力!F$26^2)</f>
        <v>161.01795877302297</v>
      </c>
      <c r="AF35" s="99">
        <f>テーブル4[[#This Row],[半径方向応力:Δ0℃]]*2*寸法→圧入力!D$25^2/(寸法→圧入力!D$25^2-寸法→圧入力!F$26^2)</f>
        <v>143.93663147341331</v>
      </c>
      <c r="AG35" s="99">
        <f>テーブル4[[#This Row],[半径方向応力:Δ+10℃]]*2*寸法→圧入力!D$25^2/(寸法→圧入力!D$25^2-寸法→圧入力!F$26^2)</f>
        <v>126.85530417382945</v>
      </c>
      <c r="AH35" s="99">
        <f>テーブル4[[#This Row],[半径方向応力:Δ+20℃]]*2*寸法→圧入力!D$25^2/(寸法→圧入力!D$25^2-寸法→圧入力!F$26^2)</f>
        <v>109.77397687423272</v>
      </c>
      <c r="AI35" s="99">
        <f>テーブル4[[#This Row],[半径方向応力:Δ+30℃]]*2*寸法→圧入力!D$25^2/(寸法→圧入力!D$25^2-寸法→圧入力!F$26^2)</f>
        <v>92.692649574623076</v>
      </c>
      <c r="AJ35" s="99">
        <f>寸法→圧入力!$D$32</f>
        <v>345</v>
      </c>
      <c r="AK35" s="99">
        <f>テーブル4[[#This Row],[半径方向応力:Δ-30℃]]* (1+(寸法→圧入力!D$36/寸法→圧入力!F$35)^2)/((寸法→圧入力!D$36/寸法→圧入力!F$35)^2-1)</f>
        <v>74.807433848467184</v>
      </c>
      <c r="AL35" s="99">
        <f>テーブル4[[#This Row],[半径方向応力:Δ-20℃]]* (1+(寸法→圧入力!D$36/寸法→圧入力!F$35)^2)/((寸法→圧入力!D$36/寸法→圧入力!F$35)^2-1)</f>
        <v>68.260624511559925</v>
      </c>
      <c r="AM35" s="99">
        <f>テーブル4[[#This Row],[半径方向応力:Δ-10℃]]* (1+(寸法→圧入力!D$36/寸法→圧入力!F$35)^2)/((寸法→圧入力!D$36/寸法→圧入力!F$35)^2-1)</f>
        <v>61.713815174647721</v>
      </c>
      <c r="AN35" s="99">
        <f>テーブル4[[#This Row],[半径方向応力:Δ0℃]]* (1+(寸法→圧入力!D$36/寸法→圧入力!F$35)^2)/((寸法→圧入力!D$36/寸法→圧入力!F$35)^2-1)</f>
        <v>55.167005837735495</v>
      </c>
      <c r="AO35" s="99">
        <f>テーブル4[[#This Row],[半径方向応力:Δ+10℃]]* (1+(寸法→圧入力!D$36/寸法→圧入力!F$35)^2)/((寸法→圧入力!D$36/寸法→圧入力!F$35)^2-1)</f>
        <v>48.620196500833153</v>
      </c>
      <c r="AP35" s="99">
        <f>テーブル4[[#This Row],[半径方向応力:Δ+20℃]]* (1+(寸法→圧入力!D$36/寸法→圧入力!F$35)^2)/((寸法→圧入力!D$36/寸法→圧入力!F$35)^2-1)</f>
        <v>42.073387163925879</v>
      </c>
      <c r="AQ35" s="99">
        <f>テーブル4[[#This Row],[半径方向応力:Δ+30℃]]* (1+(寸法→圧入力!D$36/寸法→圧入力!F$35)^2)/((寸法→圧入力!D$36/寸法→圧入力!F$35)^2-1)</f>
        <v>35.526577827013661</v>
      </c>
      <c r="AR35" s="99">
        <f>寸法→圧入力!$D$41</f>
        <v>150</v>
      </c>
    </row>
    <row r="36" spans="1:44">
      <c r="A36" s="177">
        <f t="shared" si="0"/>
        <v>0.3</v>
      </c>
      <c r="B36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103.796597083271</v>
      </c>
      <c r="C36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105.10677219640375</v>
      </c>
      <c r="D36" s="99">
        <f>(A36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106.41183217505632</v>
      </c>
      <c r="E36" s="99">
        <f>テーブル3[[#This Row],[半径方向応力min]]*寸法→圧入力!D$48*寸法→圧入力!D$6/1000</f>
        <v>18.083366718618205</v>
      </c>
      <c r="F36" s="99">
        <f>テーブル3[[#This Row],[半径方向応力min]]*寸法→圧入力!E$48*寸法→圧入力!E$6/1000</f>
        <v>23.093414153710146</v>
      </c>
      <c r="G36" s="99">
        <f>テーブル3[[#This Row],[半径方向応力min]]*寸法→圧入力!F$48*寸法→圧入力!F$6/1000</f>
        <v>28.304809776553448</v>
      </c>
      <c r="H36" s="99">
        <f>寸法→圧入力!$D$32</f>
        <v>345</v>
      </c>
      <c r="I36" s="99">
        <f>寸法→圧入力!$D$41</f>
        <v>150</v>
      </c>
      <c r="J36" s="99">
        <f>テーブル3[[#This Row],[半径方向応力nor]]*2*寸法→圧入力!E$25^2/(寸法→圧入力!E$25^2-寸法→圧入力!E$26^2)</f>
        <v>531.92206314910231</v>
      </c>
      <c r="K36" s="99">
        <f>テーブル3[[#This Row],[半径方向応力nor]]* (1+(寸法→圧入力!E$36/寸法→圧入力!E$35)^2)/((寸法→圧入力!E$36/寸法→圧入力!E$35)^2-1)</f>
        <v>201.9322900980433</v>
      </c>
      <c r="N36">
        <f t="shared" si="1"/>
        <v>100</v>
      </c>
      <c r="O36" s="177">
        <f>寸法→圧入力!F$25*(1+寸法→圧入力!D$31*10^-6*(テーブル4[[#This Row],[inner温度'[℃']]]-20)) - 寸法→圧入力!D$35*(1+寸法→圧入力!D$40*10^-6*(テーブル4[[#This Row],[inner温度'[℃']]]+O$3-20))</f>
        <v>0.1057045200000033</v>
      </c>
      <c r="P36" s="177">
        <f>寸法→圧入力!F$25*(1+寸法→圧入力!D$31*10^-6*(テーブル4[[#This Row],[inner温度'[℃']]]-20)) - 寸法→圧入力!D$35*(1+寸法→圧入力!D$40*10^-6*(テーブル4[[#This Row],[inner温度'[℃']]]+P$3-20))</f>
        <v>9.6275519999998949E-2</v>
      </c>
      <c r="Q36" s="177">
        <f>寸法→圧入力!F$25*(1+寸法→圧入力!D$31*10^-6*(テーブル4[[#This Row],[inner温度'[℃']]]-20)) - 寸法→圧入力!D$35*(1+寸法→圧入力!D$40*10^-6*(テーブル4[[#This Row],[inner温度'[℃']]]+Q$3-20))</f>
        <v>8.6846520000001703E-2</v>
      </c>
      <c r="R36" s="177">
        <f>寸法→圧入力!F$25*(1+寸法→圧入力!D$31*10^-6*(テーブル4[[#This Row],[inner温度'[℃']]]-20)) - 寸法→圧入力!D$35*(1+寸法→圧入力!D$40*10^-6*(テーブル4[[#This Row],[inner温度'[℃']]]+R$3-20))</f>
        <v>7.7417520000011564E-2</v>
      </c>
      <c r="S36" s="177">
        <f>寸法→圧入力!F$25*(1+寸法→圧入力!D$31*10^-6*(テーブル4[[#This Row],[inner温度'[℃']]]-20)) - 寸法→圧入力!D$35*(1+寸法→圧入力!D$40*10^-6*(テーブル4[[#This Row],[inner温度'[℃']]]+S$3-20))</f>
        <v>6.7988520000007213E-2</v>
      </c>
      <c r="T36" s="177">
        <f>寸法→圧入力!F$25*(1+寸法→圧入力!D$31*10^-6*(テーブル4[[#This Row],[inner温度'[℃']]]-20)) - 寸法→圧入力!D$35*(1+寸法→圧入力!D$40*10^-6*(テーブル4[[#This Row],[inner温度'[℃']]]+T$3-20))</f>
        <v>5.8559520000002863E-2</v>
      </c>
      <c r="U36" s="177">
        <f>寸法→圧入力!F$25*(1+寸法→圧入力!D$31*10^-6*(テーブル4[[#This Row],[inner温度'[℃']]]-20)) - 寸法→圧入力!D$35*(1+寸法→圧入力!D$40*10^-6*(テーブル4[[#This Row],[inner温度'[℃']]]+U$3-20))</f>
        <v>4.9130520000005617E-2</v>
      </c>
      <c r="V36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37.494038807950787</v>
      </c>
      <c r="W36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34.149514922687224</v>
      </c>
      <c r="X36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30.804991037426181</v>
      </c>
      <c r="Y36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27.460467152167656</v>
      </c>
      <c r="Z36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24.115943266904093</v>
      </c>
      <c r="AA36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20.771419381640527</v>
      </c>
      <c r="AB36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17.426895496379487</v>
      </c>
      <c r="AC36" s="99">
        <f>テーブル4[[#This Row],[半径方向応力:Δ-30℃]]*2*寸法→圧入力!D$25^2/(寸法→圧入力!D$25^2-寸法→圧入力!F$26^2)</f>
        <v>191.49151587308879</v>
      </c>
      <c r="AD36" s="99">
        <f>テーブル4[[#This Row],[半径方向応力:Δ-20℃]]*2*寸法→圧入力!D$25^2/(寸法→圧入力!D$25^2-寸法→圧入力!F$26^2)</f>
        <v>174.41018857347916</v>
      </c>
      <c r="AE36" s="99">
        <f>テーブル4[[#This Row],[半径方向応力:Δ-10℃]]*2*寸法→圧入力!D$25^2/(寸法→圧入力!D$25^2-寸法→圧入力!F$26^2)</f>
        <v>157.32886127388244</v>
      </c>
      <c r="AF36" s="99">
        <f>テーブル4[[#This Row],[半径方向応力:Δ0℃]]*2*寸法→圧入力!D$25^2/(寸法→圧入力!D$25^2-寸法→圧入力!F$26^2)</f>
        <v>140.24753397429853</v>
      </c>
      <c r="AG36" s="99">
        <f>テーブル4[[#This Row],[半径方向応力:Δ+10℃]]*2*寸法→圧入力!D$25^2/(寸法→圧入力!D$25^2-寸法→圧入力!F$26^2)</f>
        <v>123.16620667468892</v>
      </c>
      <c r="AH36" s="99">
        <f>テーブル4[[#This Row],[半径方向応力:Δ+20℃]]*2*寸法→圧入力!D$25^2/(寸法→圧入力!D$25^2-寸法→圧入力!F$26^2)</f>
        <v>106.0848793750793</v>
      </c>
      <c r="AI36" s="99">
        <f>テーブル4[[#This Row],[半径方向応力:Δ+30℃]]*2*寸法→圧入力!D$25^2/(寸法→圧入力!D$25^2-寸法→圧入力!F$26^2)</f>
        <v>89.003552075482574</v>
      </c>
      <c r="AJ36" s="99">
        <f>寸法→圧入力!$D$32</f>
        <v>345</v>
      </c>
      <c r="AK36" s="99">
        <f>テーブル4[[#This Row],[半径方向応力:Δ-30℃]]* (1+(寸法→圧入力!D$36/寸法→圧入力!F$35)^2)/((寸法→圧入力!D$36/寸法→圧入力!F$35)^2-1)</f>
        <v>73.39350286239538</v>
      </c>
      <c r="AL36" s="99">
        <f>テーブル4[[#This Row],[半径方向応力:Δ-20℃]]* (1+(寸法→圧入力!D$36/寸法→圧入力!F$35)^2)/((寸法→圧入力!D$36/寸法→圧入力!F$35)^2-1)</f>
        <v>66.846693525483175</v>
      </c>
      <c r="AM36" s="99">
        <f>テーブル4[[#This Row],[半径方向応力:Δ-10℃]]* (1+(寸法→圧入力!D$36/寸法→圧入力!F$35)^2)/((寸法→圧入力!D$36/寸法→圧入力!F$35)^2-1)</f>
        <v>60.299884188575888</v>
      </c>
      <c r="AN36" s="99">
        <f>テーブル4[[#This Row],[半径方向応力:Δ0℃]]* (1+(寸法→圧入力!D$36/寸法→圧入力!F$35)^2)/((寸法→圧入力!D$36/寸法→圧入力!F$35)^2-1)</f>
        <v>53.753074851673539</v>
      </c>
      <c r="AO36" s="99">
        <f>テーブル4[[#This Row],[半径方向応力:Δ+10℃]]* (1+(寸法→圧入力!D$36/寸法→圧入力!F$35)^2)/((寸法→圧入力!D$36/寸法→圧入力!F$35)^2-1)</f>
        <v>47.206265514761327</v>
      </c>
      <c r="AP36" s="99">
        <f>テーブル4[[#This Row],[半径方向応力:Δ+20℃]]* (1+(寸法→圧入力!D$36/寸法→圧入力!F$35)^2)/((寸法→圧入力!D$36/寸法→圧入力!F$35)^2-1)</f>
        <v>40.659456177849108</v>
      </c>
      <c r="AQ36" s="99">
        <f>テーブル4[[#This Row],[半径方向応力:Δ+30℃]]* (1+(寸法→圧入力!D$36/寸法→圧入力!F$35)^2)/((寸法→圧入力!D$36/寸法→圧入力!F$35)^2-1)</f>
        <v>34.112646840941835</v>
      </c>
      <c r="AR36" s="99">
        <f>寸法→圧入力!$D$41</f>
        <v>150</v>
      </c>
    </row>
    <row r="37" spans="1:44">
      <c r="A37" s="177">
        <f t="shared" si="0"/>
        <v>0.31</v>
      </c>
      <c r="B37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107.25648365271336</v>
      </c>
      <c r="C37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108.61033126961722</v>
      </c>
      <c r="D37" s="99">
        <f>(A37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109.95889324755819</v>
      </c>
      <c r="E37" s="99">
        <f>テーブル3[[#This Row],[半径方向応力min]]*寸法→圧入力!D$48*寸法→圧入力!D$6/1000</f>
        <v>18.686145609238817</v>
      </c>
      <c r="F37" s="99">
        <f>テーブル3[[#This Row],[半径方向応力min]]*寸法→圧入力!E$48*寸法→圧入力!E$6/1000</f>
        <v>23.863194625500476</v>
      </c>
      <c r="G37" s="99">
        <f>テーブル3[[#This Row],[半径方向応力min]]*寸法→圧入力!F$48*寸法→圧入力!F$6/1000</f>
        <v>29.248303435771899</v>
      </c>
      <c r="H37" s="99">
        <f>寸法→圧入力!$D$32</f>
        <v>345</v>
      </c>
      <c r="I37" s="99">
        <f>寸法→圧入力!$D$41</f>
        <v>150</v>
      </c>
      <c r="J37" s="99">
        <f>テーブル3[[#This Row],[半径方向応力nor]]*2*寸法→圧入力!E$25^2/(寸法→圧入力!E$25^2-寸法→圧入力!E$26^2)</f>
        <v>549.65279858740564</v>
      </c>
      <c r="K37" s="99">
        <f>テーブル3[[#This Row],[半径方向応力nor]]* (1+(寸法→圧入力!E$36/寸法→圧入力!E$35)^2)/((寸法→圧入力!E$36/寸法→圧入力!E$35)^2-1)</f>
        <v>208.66336643464473</v>
      </c>
      <c r="N37">
        <f t="shared" si="1"/>
        <v>105</v>
      </c>
      <c r="O37" s="177">
        <f>寸法→圧入力!F$25*(1+寸法→圧入力!D$31*10^-6*(テーブル4[[#This Row],[inner温度'[℃']]]-20)) - 寸法→圧入力!D$35*(1+寸法→圧入力!D$40*10^-6*(テーブル4[[#This Row],[inner温度'[℃']]]+O$3-20))</f>
        <v>0.10366811499999784</v>
      </c>
      <c r="P37" s="177">
        <f>寸法→圧入力!F$25*(1+寸法→圧入力!D$31*10^-6*(テーブル4[[#This Row],[inner温度'[℃']]]-20)) - 寸法→圧入力!D$35*(1+寸法→圧入力!D$40*10^-6*(テーブル4[[#This Row],[inner温度'[℃']]]+P$3-20))</f>
        <v>9.423911499999349E-2</v>
      </c>
      <c r="Q37" s="177">
        <f>寸法→圧入力!F$25*(1+寸法→圧入力!D$31*10^-6*(テーブル4[[#This Row],[inner温度'[℃']]]-20)) - 寸法→圧入力!D$35*(1+寸法→圧入力!D$40*10^-6*(テーブル4[[#This Row],[inner温度'[℃']]]+Q$3-20))</f>
        <v>8.4810114999989139E-2</v>
      </c>
      <c r="R37" s="177">
        <f>寸法→圧入力!F$25*(1+寸法→圧入力!D$31*10^-6*(テーブル4[[#This Row],[inner温度'[℃']]]-20)) - 寸法→圧入力!D$35*(1+寸法→圧入力!D$40*10^-6*(テーブル4[[#This Row],[inner温度'[℃']]]+R$3-20))</f>
        <v>7.5381114999998999E-2</v>
      </c>
      <c r="S37" s="177">
        <f>寸法→圧入力!F$25*(1+寸法→圧入力!D$31*10^-6*(テーブル4[[#This Row],[inner温度'[℃']]]-20)) - 寸法→圧入力!D$35*(1+寸法→圧入力!D$40*10^-6*(テーブル4[[#This Row],[inner温度'[℃']]]+S$3-20))</f>
        <v>6.5952115000001754E-2</v>
      </c>
      <c r="T37" s="177">
        <f>寸法→圧入力!F$25*(1+寸法→圧入力!D$31*10^-6*(テーブル4[[#This Row],[inner温度'[℃']]]-20)) - 寸法→圧入力!D$35*(1+寸法→圧入力!D$40*10^-6*(テーブル4[[#This Row],[inner温度'[℃']]]+T$3-20))</f>
        <v>5.6523114999997404E-2</v>
      </c>
      <c r="U37" s="177">
        <f>寸法→圧入力!F$25*(1+寸法→圧入力!D$31*10^-6*(テーブル4[[#This Row],[inner温度'[℃']]]-20)) - 寸法→圧入力!D$35*(1+寸法→圧入力!D$40*10^-6*(テーブル4[[#This Row],[inner温度'[℃']]]+U$3-20))</f>
        <v>4.7094114999993053E-2</v>
      </c>
      <c r="V37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36.771713517614032</v>
      </c>
      <c r="W37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33.427189632350469</v>
      </c>
      <c r="X37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30.082665747086903</v>
      </c>
      <c r="Y37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26.738141861828382</v>
      </c>
      <c r="Z37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23.393617976567338</v>
      </c>
      <c r="AA37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20.049094091303775</v>
      </c>
      <c r="AB37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16.704570206040209</v>
      </c>
      <c r="AC37" s="99">
        <f>テーブル4[[#This Row],[半径方向応力:Δ-30℃]]*2*寸法→圧入力!D$25^2/(寸法→圧入力!D$25^2-寸法→圧入力!F$26^2)</f>
        <v>187.80241837392254</v>
      </c>
      <c r="AD37" s="99">
        <f>テーブル4[[#This Row],[半径方向応力:Δ-20℃]]*2*寸法→圧入力!D$25^2/(寸法→圧入力!D$25^2-寸法→圧入力!F$26^2)</f>
        <v>170.72109107431291</v>
      </c>
      <c r="AE37" s="99">
        <f>テーブル4[[#This Row],[半径方向応力:Δ-10℃]]*2*寸法→圧入力!D$25^2/(寸法→圧入力!D$25^2-寸法→圧入力!F$26^2)</f>
        <v>153.63976377470328</v>
      </c>
      <c r="AF37" s="99">
        <f>テーブル4[[#This Row],[半径方向応力:Δ0℃]]*2*寸法→圧入力!D$25^2/(寸法→圧入力!D$25^2-寸法→圧入力!F$26^2)</f>
        <v>136.55843647511941</v>
      </c>
      <c r="AG37" s="99">
        <f>テーブル4[[#This Row],[半径方向応力:Δ+10℃]]*2*寸法→圧入力!D$25^2/(寸法→圧入力!D$25^2-寸法→圧入力!F$26^2)</f>
        <v>119.47710917552267</v>
      </c>
      <c r="AH37" s="99">
        <f>テーブル4[[#This Row],[半径方向応力:Δ+20℃]]*2*寸法→圧入力!D$25^2/(寸法→圧入力!D$25^2-寸法→圧入力!F$26^2)</f>
        <v>102.39578187591306</v>
      </c>
      <c r="AI37" s="99">
        <f>テーブル4[[#This Row],[半径方向応力:Δ+30℃]]*2*寸法→圧入力!D$25^2/(寸法→圧入力!D$25^2-寸法→圧入力!F$26^2)</f>
        <v>85.314454576303405</v>
      </c>
      <c r="AJ37" s="99">
        <f>寸法→圧入力!$D$32</f>
        <v>345</v>
      </c>
      <c r="AK37" s="99">
        <f>テーブル4[[#This Row],[半径方向応力:Δ-30℃]]* (1+(寸法→圧入力!D$36/寸法→圧入力!F$35)^2)/((寸法→圧入力!D$36/寸法→圧入力!F$35)^2-1)</f>
        <v>71.979571876313685</v>
      </c>
      <c r="AL37" s="99">
        <f>テーブル4[[#This Row],[半径方向応力:Δ-20℃]]* (1+(寸法→圧入力!D$36/寸法→圧入力!F$35)^2)/((寸法→圧入力!D$36/寸法→圧入力!F$35)^2-1)</f>
        <v>65.432762539401466</v>
      </c>
      <c r="AM37" s="99">
        <f>テーブル4[[#This Row],[半径方向応力:Δ-10℃]]* (1+(寸法→圧入力!D$36/寸法→圧入力!F$35)^2)/((寸法→圧入力!D$36/寸法→圧入力!F$35)^2-1)</f>
        <v>58.885953202489254</v>
      </c>
      <c r="AN37" s="99">
        <f>テーブル4[[#This Row],[半径方向応力:Δ0℃]]* (1+(寸法→圧入力!D$36/寸法→圧入力!F$35)^2)/((寸法→圧入力!D$36/寸法→圧入力!F$35)^2-1)</f>
        <v>52.339143865586905</v>
      </c>
      <c r="AO37" s="99">
        <f>テーブル4[[#This Row],[半径方向応力:Δ+10℃]]* (1+(寸法→圧入力!D$36/寸法→圧入力!F$35)^2)/((寸法→圧入力!D$36/寸法→圧入力!F$35)^2-1)</f>
        <v>45.792334528679625</v>
      </c>
      <c r="AP37" s="99">
        <f>テーブル4[[#This Row],[半径方向応力:Δ+20℃]]* (1+(寸法→圧入力!D$36/寸法→圧入力!F$35)^2)/((寸法→圧入力!D$36/寸法→圧入力!F$35)^2-1)</f>
        <v>39.24552519176742</v>
      </c>
      <c r="AQ37" s="99">
        <f>テーブル4[[#This Row],[半径方向応力:Δ+30℃]]* (1+(寸法→圧入力!D$36/寸法→圧入力!F$35)^2)/((寸法→圧入力!D$36/寸法→圧入力!F$35)^2-1)</f>
        <v>32.698715854855202</v>
      </c>
      <c r="AR37" s="99">
        <f>寸法→圧入力!$D$41</f>
        <v>150</v>
      </c>
    </row>
    <row r="38" spans="1:44">
      <c r="A38" s="177">
        <f t="shared" si="0"/>
        <v>0.32</v>
      </c>
      <c r="B38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110.71637022215573</v>
      </c>
      <c r="C38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112.11389034283069</v>
      </c>
      <c r="D38" s="99">
        <f>(A38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113.50595432006008</v>
      </c>
      <c r="E38" s="99">
        <f>テーブル3[[#This Row],[半径方向応力min]]*寸法→圧入力!D$48*寸法→圧入力!D$6/1000</f>
        <v>19.288924499859426</v>
      </c>
      <c r="F38" s="99">
        <f>テーブル3[[#This Row],[半径方向応力min]]*寸法→圧入力!E$48*寸法→圧入力!E$6/1000</f>
        <v>24.632975097290817</v>
      </c>
      <c r="G38" s="99">
        <f>テーブル3[[#This Row],[半径方向応力min]]*寸法→圧入力!F$48*寸法→圧入力!F$6/1000</f>
        <v>30.191797094990346</v>
      </c>
      <c r="H38" s="99">
        <f>寸法→圧入力!$D$32</f>
        <v>345</v>
      </c>
      <c r="I38" s="99">
        <f>寸法→圧入力!$D$41</f>
        <v>150</v>
      </c>
      <c r="J38" s="99">
        <f>テーブル3[[#This Row],[半径方向応力nor]]*2*寸法→圧入力!E$25^2/(寸法→圧入力!E$25^2-寸法→圧入力!E$26^2)</f>
        <v>567.3835340257092</v>
      </c>
      <c r="K38" s="99">
        <f>テーブル3[[#This Row],[半径方向応力nor]]* (1+(寸法→圧入力!E$36/寸法→圧入力!E$35)^2)/((寸法→圧入力!E$36/寸法→圧入力!E$35)^2-1)</f>
        <v>215.39444277124619</v>
      </c>
      <c r="N38">
        <f t="shared" si="1"/>
        <v>110</v>
      </c>
      <c r="O38" s="177">
        <f>寸法→圧入力!F$25*(1+寸法→圧入力!D$31*10^-6*(テーブル4[[#This Row],[inner温度'[℃']]]-20)) - 寸法→圧入力!D$35*(1+寸法→圧入力!D$40*10^-6*(テーブル4[[#This Row],[inner温度'[℃']]]+O$3-20))</f>
        <v>0.10163170999999949</v>
      </c>
      <c r="P38" s="177">
        <f>寸法→圧入力!F$25*(1+寸法→圧入力!D$31*10^-6*(テーブル4[[#This Row],[inner温度'[℃']]]-20)) - 寸法→圧入力!D$35*(1+寸法→圧入力!D$40*10^-6*(テーブル4[[#This Row],[inner温度'[℃']]]+P$3-20))</f>
        <v>9.2202710000002241E-2</v>
      </c>
      <c r="Q38" s="177">
        <f>寸法→圧入力!F$25*(1+寸法→圧入力!D$31*10^-6*(テーブル4[[#This Row],[inner温度'[℃']]]-20)) - 寸法→圧入力!D$35*(1+寸法→圧入力!D$40*10^-6*(テーブル4[[#This Row],[inner温度'[℃']]]+Q$3-20))</f>
        <v>8.2773710000012102E-2</v>
      </c>
      <c r="R38" s="177">
        <f>寸法→圧入力!F$25*(1+寸法→圧入力!D$31*10^-6*(テーブル4[[#This Row],[inner温度'[℃']]]-20)) - 寸法→圧入力!D$35*(1+寸法→圧入力!D$40*10^-6*(テーブル4[[#This Row],[inner温度'[℃']]]+R$3-20))</f>
        <v>7.3344710000007751E-2</v>
      </c>
      <c r="S38" s="177">
        <f>寸法→圧入力!F$25*(1+寸法→圧入力!D$31*10^-6*(テーブル4[[#This Row],[inner温度'[℃']]]-20)) - 寸法→圧入力!D$35*(1+寸法→圧入力!D$40*10^-6*(テーブル4[[#This Row],[inner温度'[℃']]]+S$3-20))</f>
        <v>6.3915710000003401E-2</v>
      </c>
      <c r="T38" s="177">
        <f>寸法→圧入力!F$25*(1+寸法→圧入力!D$31*10^-6*(テーブル4[[#This Row],[inner温度'[℃']]]-20)) - 寸法→圧入力!D$35*(1+寸法→圧入力!D$40*10^-6*(テーブル4[[#This Row],[inner温度'[℃']]]+T$3-20))</f>
        <v>5.4486710000006155E-2</v>
      </c>
      <c r="U38" s="177">
        <f>寸法→圧入力!F$25*(1+寸法→圧入力!D$31*10^-6*(テーブル4[[#This Row],[inner温度'[℃']]]-20)) - 寸法→圧入力!D$35*(1+寸法→圧入力!D$40*10^-6*(テーブル4[[#This Row],[inner温度'[℃']]]+U$3-20))</f>
        <v>4.5057710000001805E-2</v>
      </c>
      <c r="V38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36.049388227279799</v>
      </c>
      <c r="W38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32.704864342018752</v>
      </c>
      <c r="X38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29.36034045676023</v>
      </c>
      <c r="Y38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26.015816571496668</v>
      </c>
      <c r="Z38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22.671292686233102</v>
      </c>
      <c r="AA38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19.326768800972062</v>
      </c>
      <c r="AB38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15.982244915708495</v>
      </c>
      <c r="AC38" s="99">
        <f>テーブル4[[#This Row],[半径方向応力:Δ-30℃]]*2*寸法→圧入力!D$25^2/(寸法→圧入力!D$25^2-寸法→圧入力!F$26^2)</f>
        <v>184.11332087476916</v>
      </c>
      <c r="AD38" s="99">
        <f>テーブル4[[#This Row],[半径方向応力:Δ-20℃]]*2*寸法→圧入力!D$25^2/(寸法→圧入力!D$25^2-寸法→圧入力!F$26^2)</f>
        <v>167.03199357517238</v>
      </c>
      <c r="AE38" s="99">
        <f>テーブル4[[#This Row],[半径方向応力:Δ-10℃]]*2*寸法→圧入力!D$25^2/(寸法→圧入力!D$25^2-寸法→圧入力!F$26^2)</f>
        <v>149.9506662755885</v>
      </c>
      <c r="AF38" s="99">
        <f>テーブル4[[#This Row],[半径方向応力:Δ0℃]]*2*寸法→圧入力!D$25^2/(寸法→圧入力!D$25^2-寸法→圧入力!F$26^2)</f>
        <v>132.86933897597891</v>
      </c>
      <c r="AG38" s="99">
        <f>テーブル4[[#This Row],[半径方向応力:Δ+10℃]]*2*寸法→圧入力!D$25^2/(寸法→圧入力!D$25^2-寸法→圧入力!F$26^2)</f>
        <v>115.78801167636925</v>
      </c>
      <c r="AH38" s="99">
        <f>テーブル4[[#This Row],[半径方向応力:Δ+20℃]]*2*寸法→圧入力!D$25^2/(寸法→圧入力!D$25^2-寸法→圧入力!F$26^2)</f>
        <v>98.706684376772529</v>
      </c>
      <c r="AI38" s="99">
        <f>テーブル4[[#This Row],[半径方向応力:Δ+30℃]]*2*寸法→圧入力!D$25^2/(寸法→圧入力!D$25^2-寸法→圧入力!F$26^2)</f>
        <v>81.625357077162889</v>
      </c>
      <c r="AJ38" s="99">
        <f>寸法→圧入力!$D$32</f>
        <v>345</v>
      </c>
      <c r="AK38" s="99">
        <f>テーブル4[[#This Row],[半径方向応力:Δ-30℃]]* (1+(寸法→圧入力!D$36/寸法→圧入力!F$35)^2)/((寸法→圧入力!D$36/寸法→圧入力!F$35)^2-1)</f>
        <v>70.565640890236921</v>
      </c>
      <c r="AL38" s="99">
        <f>テーブル4[[#This Row],[半径方向応力:Δ-20℃]]* (1+(寸法→圧入力!D$36/寸法→圧入力!F$35)^2)/((寸法→圧入力!D$36/寸法→圧入力!F$35)^2-1)</f>
        <v>64.018831553329633</v>
      </c>
      <c r="AM38" s="99">
        <f>テーブル4[[#This Row],[半径方向応力:Δ-10℃]]* (1+(寸法→圧入力!D$36/寸法→圧入力!F$35)^2)/((寸法→圧入力!D$36/寸法→圧入力!F$35)^2-1)</f>
        <v>57.472022216427291</v>
      </c>
      <c r="AN38" s="99">
        <f>テーブル4[[#This Row],[半径方向応力:Δ0℃]]* (1+(寸法→圧入力!D$36/寸法→圧入力!F$35)^2)/((寸法→圧入力!D$36/寸法→圧入力!F$35)^2-1)</f>
        <v>50.92521287951508</v>
      </c>
      <c r="AO38" s="99">
        <f>テーブル4[[#This Row],[半径方向応力:Δ+10℃]]* (1+(寸法→圧入力!D$36/寸法→圧入力!F$35)^2)/((寸法→圧入力!D$36/寸法→圧入力!F$35)^2-1)</f>
        <v>44.378403542602868</v>
      </c>
      <c r="AP38" s="99">
        <f>テーブル4[[#This Row],[半径方向応力:Δ+20℃]]* (1+(寸法→圧入力!D$36/寸法→圧入力!F$35)^2)/((寸法→圧入力!D$36/寸法→圧入力!F$35)^2-1)</f>
        <v>37.831594205695588</v>
      </c>
      <c r="AQ38" s="99">
        <f>テーブル4[[#This Row],[半径方向応力:Δ+30℃]]* (1+(寸法→圧入力!D$36/寸法→圧入力!F$35)^2)/((寸法→圧入力!D$36/寸法→圧入力!F$35)^2-1)</f>
        <v>31.284784868783376</v>
      </c>
      <c r="AR38" s="99">
        <f>寸法→圧入力!$D$41</f>
        <v>150</v>
      </c>
    </row>
    <row r="39" spans="1:44">
      <c r="A39" s="177">
        <f t="shared" ref="A39:A56" si="2">$A$6+($A$3*(ROW(A39)-ROW($A$6)))</f>
        <v>0.33</v>
      </c>
      <c r="B39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114.17625679159811</v>
      </c>
      <c r="C39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115.61744941604415</v>
      </c>
      <c r="D39" s="99">
        <f>(A39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117.05301539256196</v>
      </c>
      <c r="E39" s="99">
        <f>テーブル3[[#This Row],[半径方向応力min]]*寸法→圧入力!D$48*寸法→圧入力!D$6/1000</f>
        <v>19.891703390480032</v>
      </c>
      <c r="F39" s="99">
        <f>テーブル3[[#This Row],[半径方向応力min]]*寸法→圧入力!E$48*寸法→圧入力!E$6/1000</f>
        <v>25.402755569081162</v>
      </c>
      <c r="G39" s="99">
        <f>テーブル3[[#This Row],[半径方向応力min]]*寸法→圧入力!F$48*寸法→圧入力!F$6/1000</f>
        <v>31.135290754208796</v>
      </c>
      <c r="H39" s="99">
        <f>寸法→圧入力!$D$32</f>
        <v>345</v>
      </c>
      <c r="I39" s="99">
        <f>寸法→圧入力!$D$41</f>
        <v>150</v>
      </c>
      <c r="J39" s="99">
        <f>テーブル3[[#This Row],[半径方向応力nor]]*2*寸法→圧入力!E$25^2/(寸法→圧入力!E$25^2-寸法→圧入力!E$26^2)</f>
        <v>585.11426946401264</v>
      </c>
      <c r="K39" s="99">
        <f>テーブル3[[#This Row],[半径方向応力nor]]* (1+(寸法→圧入力!E$36/寸法→圧入力!E$35)^2)/((寸法→圧入力!E$36/寸法→圧入力!E$35)^2-1)</f>
        <v>222.12551910784765</v>
      </c>
      <c r="N39">
        <f t="shared" si="1"/>
        <v>115</v>
      </c>
      <c r="O39" s="177">
        <f>寸法→圧入力!F$25*(1+寸法→圧入力!D$31*10^-6*(テーブル4[[#This Row],[inner温度'[℃']]]-20)) - 寸法→圧入力!D$35*(1+寸法→圧入力!D$40*10^-6*(テーブル4[[#This Row],[inner温度'[℃']]]+O$3-20))</f>
        <v>9.9595304999994028E-2</v>
      </c>
      <c r="P39" s="177">
        <f>寸法→圧入力!F$25*(1+寸法→圧入力!D$31*10^-6*(テーブル4[[#This Row],[inner温度'[℃']]]-20)) - 寸法→圧入力!D$35*(1+寸法→圧入力!D$40*10^-6*(テーブル4[[#This Row],[inner温度'[℃']]]+P$3-20))</f>
        <v>9.0166304999989677E-2</v>
      </c>
      <c r="Q39" s="177">
        <f>寸法→圧入力!F$25*(1+寸法→圧入力!D$31*10^-6*(テーブル4[[#This Row],[inner温度'[℃']]]-20)) - 寸法→圧入力!D$35*(1+寸法→圧入力!D$40*10^-6*(テーブル4[[#This Row],[inner温度'[℃']]]+Q$3-20))</f>
        <v>8.0737304999999537E-2</v>
      </c>
      <c r="R39" s="177">
        <f>寸法→圧入力!F$25*(1+寸法→圧入力!D$31*10^-6*(テーブル4[[#This Row],[inner温度'[℃']]]-20)) - 寸法→圧入力!D$35*(1+寸法→圧入力!D$40*10^-6*(テーブル4[[#This Row],[inner温度'[℃']]]+R$3-20))</f>
        <v>7.1308305000002292E-2</v>
      </c>
      <c r="S39" s="177">
        <f>寸法→圧入力!F$25*(1+寸法→圧入力!D$31*10^-6*(テーブル4[[#This Row],[inner温度'[℃']]]-20)) - 寸法→圧入力!D$35*(1+寸法→圧入力!D$40*10^-6*(テーブル4[[#This Row],[inner温度'[℃']]]+S$3-20))</f>
        <v>6.1879304999997942E-2</v>
      </c>
      <c r="T39" s="177">
        <f>寸法→圧入力!F$25*(1+寸法→圧入力!D$31*10^-6*(テーブル4[[#This Row],[inner温度'[℃']]]-20)) - 寸法→圧入力!D$35*(1+寸法→圧入力!D$40*10^-6*(テーブル4[[#This Row],[inner温度'[℃']]]+T$3-20))</f>
        <v>5.2450304999993591E-2</v>
      </c>
      <c r="U39" s="177">
        <f>寸法→圧入力!F$25*(1+寸法→圧入力!D$31*10^-6*(テーブル4[[#This Row],[inner温度'[℃']]]-20)) - 寸法→圧入力!D$35*(1+寸法→圧入力!D$40*10^-6*(テーブル4[[#This Row],[inner温度'[℃']]]+U$3-20))</f>
        <v>4.3021304999996346E-2</v>
      </c>
      <c r="V39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35.327062936943044</v>
      </c>
      <c r="W39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31.982539051679474</v>
      </c>
      <c r="X39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28.638015166420956</v>
      </c>
      <c r="Y39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25.293491281159913</v>
      </c>
      <c r="Z39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21.94896739589635</v>
      </c>
      <c r="AA39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18.604443510632784</v>
      </c>
      <c r="AB39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15.259919625371742</v>
      </c>
      <c r="AC39" s="99">
        <f>テーブル4[[#This Row],[半径方向応力:Δ-30℃]]*2*寸法→圧入力!D$25^2/(寸法→圧入力!D$25^2-寸法→圧入力!F$26^2)</f>
        <v>180.42422337560288</v>
      </c>
      <c r="AD39" s="99">
        <f>テーブル4[[#This Row],[半径方向応力:Δ-20℃]]*2*寸法→圧入力!D$25^2/(寸法→圧入力!D$25^2-寸法→圧入力!F$26^2)</f>
        <v>163.34289607599322</v>
      </c>
      <c r="AE39" s="99">
        <f>テーブル4[[#This Row],[半径方向応力:Δ-10℃]]*2*寸法→圧入力!D$25^2/(寸法→圧入力!D$25^2-寸法→圧入力!F$26^2)</f>
        <v>146.26156877640938</v>
      </c>
      <c r="AF39" s="99">
        <f>テーブル4[[#This Row],[半径方向応力:Δ0℃]]*2*寸法→圧入力!D$25^2/(寸法→圧入力!D$25^2-寸法→圧入力!F$26^2)</f>
        <v>129.18024147681263</v>
      </c>
      <c r="AG39" s="99">
        <f>テーブル4[[#This Row],[半径方向応力:Δ+10℃]]*2*寸法→圧入力!D$25^2/(寸法→圧入力!D$25^2-寸法→圧入力!F$26^2)</f>
        <v>112.09891417720301</v>
      </c>
      <c r="AH39" s="99">
        <f>テーブル4[[#This Row],[半径方向応力:Δ+20℃]]*2*寸法→圧入力!D$25^2/(寸法→圧入力!D$25^2-寸法→圧入力!F$26^2)</f>
        <v>95.017586877593388</v>
      </c>
      <c r="AI39" s="99">
        <f>テーブル4[[#This Row],[半径方向応力:Δ+30℃]]*2*寸法→圧入力!D$25^2/(寸法→圧入力!D$25^2-寸法→圧入力!F$26^2)</f>
        <v>77.936259577996637</v>
      </c>
      <c r="AJ39" s="99">
        <f>寸法→圧入力!$D$32</f>
        <v>345</v>
      </c>
      <c r="AK39" s="99">
        <f>テーブル4[[#This Row],[半径方向応力:Δ-30℃]]* (1+(寸法→圧入力!D$36/寸法→圧入力!F$35)^2)/((寸法→圧入力!D$36/寸法→圧入力!F$35)^2-1)</f>
        <v>69.151709904155226</v>
      </c>
      <c r="AL39" s="99">
        <f>テーブル4[[#This Row],[半径方向応力:Δ-20℃]]* (1+(寸法→圧入力!D$36/寸法→圧入力!F$35)^2)/((寸法→圧入力!D$36/寸法→圧入力!F$35)^2-1)</f>
        <v>62.604900567243007</v>
      </c>
      <c r="AM39" s="99">
        <f>テーブル4[[#This Row],[半径方向応力:Δ-10℃]]* (1+(寸法→圧入力!D$36/寸法→圧入力!F$35)^2)/((寸法→圧入力!D$36/寸法→圧入力!F$35)^2-1)</f>
        <v>56.058091230340672</v>
      </c>
      <c r="AN39" s="99">
        <f>テーブル4[[#This Row],[半径方向応力:Δ0℃]]* (1+(寸法→圧入力!D$36/寸法→圧入力!F$35)^2)/((寸法→圧入力!D$36/寸法→圧入力!F$35)^2-1)</f>
        <v>49.511281893433392</v>
      </c>
      <c r="AO39" s="99">
        <f>テーブル4[[#This Row],[半径方向応力:Δ+10℃]]* (1+(寸法→圧入力!D$36/寸法→圧入力!F$35)^2)/((寸法→圧入力!D$36/寸法→圧入力!F$35)^2-1)</f>
        <v>42.96447255652118</v>
      </c>
      <c r="AP39" s="99">
        <f>テーブル4[[#This Row],[半径方向応力:Δ+20℃]]* (1+(寸法→圧入力!D$36/寸法→圧入力!F$35)^2)/((寸法→圧入力!D$36/寸法→圧入力!F$35)^2-1)</f>
        <v>36.417663219608961</v>
      </c>
      <c r="AQ39" s="99">
        <f>テーブル4[[#This Row],[半径方向応力:Δ+30℃]]* (1+(寸法→圧入力!D$36/寸法→圧入力!F$35)^2)/((寸法→圧入力!D$36/寸法→圧入力!F$35)^2-1)</f>
        <v>29.870853882701681</v>
      </c>
      <c r="AR39" s="99">
        <f>寸法→圧入力!$D$41</f>
        <v>150</v>
      </c>
    </row>
    <row r="40" spans="1:44">
      <c r="A40" s="177">
        <f t="shared" si="2"/>
        <v>0.34</v>
      </c>
      <c r="B40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117.63614336104047</v>
      </c>
      <c r="C40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119.1210084892576</v>
      </c>
      <c r="D40" s="99">
        <f>(A40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120.60007646506384</v>
      </c>
      <c r="E40" s="99">
        <f>テーブル3[[#This Row],[半径方向応力min]]*寸法→圧入力!D$48*寸法→圧入力!D$6/1000</f>
        <v>20.494482281100638</v>
      </c>
      <c r="F40" s="99">
        <f>テーブル3[[#This Row],[半径方向応力min]]*寸法→圧入力!E$48*寸法→圧入力!E$6/1000</f>
        <v>26.172536040871499</v>
      </c>
      <c r="G40" s="99">
        <f>テーブル3[[#This Row],[半径方向応力min]]*寸法→圧入力!F$48*寸法→圧入力!F$6/1000</f>
        <v>32.078784413427243</v>
      </c>
      <c r="H40" s="99">
        <f>寸法→圧入力!$D$32</f>
        <v>345</v>
      </c>
      <c r="I40" s="99">
        <f>寸法→圧入力!$D$41</f>
        <v>150</v>
      </c>
      <c r="J40" s="99">
        <f>テーブル3[[#This Row],[半径方向応力nor]]*2*寸法→圧入力!E$25^2/(寸法→圧入力!E$25^2-寸法→圧入力!E$26^2)</f>
        <v>602.84500490231596</v>
      </c>
      <c r="K40" s="99">
        <f>テーブル3[[#This Row],[半径方向応力nor]]* (1+(寸法→圧入力!E$36/寸法→圧入力!E$35)^2)/((寸法→圧入力!E$36/寸法→圧入力!E$35)^2-1)</f>
        <v>228.85659544444908</v>
      </c>
      <c r="N40">
        <f t="shared" si="1"/>
        <v>120</v>
      </c>
      <c r="O40" s="177">
        <f>寸法→圧入力!F$25*(1+寸法→圧入力!D$31*10^-6*(テーブル4[[#This Row],[inner温度'[℃']]]-20)) - 寸法→圧入力!D$35*(1+寸法→圧入力!D$40*10^-6*(テーブル4[[#This Row],[inner温度'[℃']]]+O$3-20))</f>
        <v>9.7558899999995674E-2</v>
      </c>
      <c r="P40" s="177">
        <f>寸法→圧入力!F$25*(1+寸法→圧入力!D$31*10^-6*(テーブル4[[#This Row],[inner温度'[℃']]]-20)) - 寸法→圧入力!D$35*(1+寸法→圧入力!D$40*10^-6*(テーブル4[[#This Row],[inner温度'[℃']]]+P$3-20))</f>
        <v>8.8129900000005534E-2</v>
      </c>
      <c r="Q40" s="177">
        <f>寸法→圧入力!F$25*(1+寸法→圧入力!D$31*10^-6*(テーブル4[[#This Row],[inner温度'[℃']]]-20)) - 寸法→圧入力!D$35*(1+寸法→圧入力!D$40*10^-6*(テーブル4[[#This Row],[inner温度'[℃']]]+Q$3-20))</f>
        <v>7.8700900000001184E-2</v>
      </c>
      <c r="R40" s="177">
        <f>寸法→圧入力!F$25*(1+寸法→圧入力!D$31*10^-6*(テーブル4[[#This Row],[inner温度'[℃']]]-20)) - 寸法→圧入力!D$35*(1+寸法→圧入力!D$40*10^-6*(テーブル4[[#This Row],[inner温度'[℃']]]+R$3-20))</f>
        <v>6.9271899999996833E-2</v>
      </c>
      <c r="S40" s="177">
        <f>寸法→圧入力!F$25*(1+寸法→圧入力!D$31*10^-6*(テーブル4[[#This Row],[inner温度'[℃']]]-20)) - 寸法→圧入力!D$35*(1+寸法→圧入力!D$40*10^-6*(テーブル4[[#This Row],[inner温度'[℃']]]+S$3-20))</f>
        <v>5.9842899999999588E-2</v>
      </c>
      <c r="T40" s="177">
        <f>寸法→圧入力!F$25*(1+寸法→圧入力!D$31*10^-6*(テーブル4[[#This Row],[inner温度'[℃']]]-20)) - 寸法→圧入力!D$35*(1+寸法→圧入力!D$40*10^-6*(テーブル4[[#This Row],[inner温度'[℃']]]+T$3-20))</f>
        <v>5.0413899999995238E-2</v>
      </c>
      <c r="U40" s="177">
        <f>寸法→圧入力!F$25*(1+寸法→圧入力!D$31*10^-6*(テーブル4[[#This Row],[inner温度'[℃']]]-20)) - 寸法→圧入力!D$35*(1+寸法→圧入力!D$40*10^-6*(テーブル4[[#This Row],[inner温度'[℃']]]+U$3-20))</f>
        <v>4.0984900000005098E-2</v>
      </c>
      <c r="V40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34.604737646608804</v>
      </c>
      <c r="W40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31.260213761350279</v>
      </c>
      <c r="X40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27.91568987608672</v>
      </c>
      <c r="Y40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24.571165990823157</v>
      </c>
      <c r="Z40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21.226642105562114</v>
      </c>
      <c r="AA40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17.882118220298551</v>
      </c>
      <c r="AB40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14.537594335040026</v>
      </c>
      <c r="AC40" s="99">
        <f>テーブル4[[#This Row],[半径方向応力:Δ-30℃]]*2*寸法→圧入力!D$25^2/(寸法→圧入力!D$25^2-寸法→圧入力!F$26^2)</f>
        <v>176.73512587644944</v>
      </c>
      <c r="AD40" s="99">
        <f>テーブル4[[#This Row],[半径方向応力:Δ-20℃]]*2*寸法→圧入力!D$25^2/(寸法→圧入力!D$25^2-寸法→圧入力!F$26^2)</f>
        <v>159.65379857686557</v>
      </c>
      <c r="AE40" s="99">
        <f>テーブル4[[#This Row],[半径方向応力:Δ-10℃]]*2*寸法→圧入力!D$25^2/(寸法→圧入力!D$25^2-寸法→圧入力!F$26^2)</f>
        <v>142.57247127725597</v>
      </c>
      <c r="AF40" s="99">
        <f>テーブル4[[#This Row],[半径方向応力:Δ0℃]]*2*寸法→圧入力!D$25^2/(寸法→圧入力!D$25^2-寸法→圧入力!F$26^2)</f>
        <v>125.49114397764636</v>
      </c>
      <c r="AG40" s="99">
        <f>テーブル4[[#This Row],[半径方向応力:Δ+10℃]]*2*寸法→圧入力!D$25^2/(寸法→圧入力!D$25^2-寸法→圧入力!F$26^2)</f>
        <v>108.40981667804962</v>
      </c>
      <c r="AH40" s="99">
        <f>テーブル4[[#This Row],[半径方向応力:Δ+20℃]]*2*寸法→圧入力!D$25^2/(寸法→圧入力!D$25^2-寸法→圧入力!F$26^2)</f>
        <v>91.328489378439983</v>
      </c>
      <c r="AI40" s="99">
        <f>テーブル4[[#This Row],[半径方向応力:Δ+30℃]]*2*寸法→圧入力!D$25^2/(寸法→圧入力!D$25^2-寸法→圧入力!F$26^2)</f>
        <v>74.247162078856107</v>
      </c>
      <c r="AJ40" s="99">
        <f>寸法→圧入力!$D$32</f>
        <v>345</v>
      </c>
      <c r="AK40" s="99">
        <f>テーブル4[[#This Row],[半径方向応力:Δ-30℃]]* (1+(寸法→圧入力!D$36/寸法→圧入力!F$35)^2)/((寸法→圧入力!D$36/寸法→圧入力!F$35)^2-1)</f>
        <v>67.737778918078462</v>
      </c>
      <c r="AL40" s="99">
        <f>テーブル4[[#This Row],[半径方向応力:Δ-20℃]]* (1+(寸法→圧入力!D$36/寸法→圧入力!F$35)^2)/((寸法→圧入力!D$36/寸法→圧入力!F$35)^2-1)</f>
        <v>61.190969581176105</v>
      </c>
      <c r="AM40" s="99">
        <f>テーブル4[[#This Row],[半径方向応力:Δ-10℃]]* (1+(寸法→圧入力!D$36/寸法→圧入力!F$35)^2)/((寸法→圧入力!D$36/寸法→圧入力!F$35)^2-1)</f>
        <v>54.644160244263901</v>
      </c>
      <c r="AN40" s="99">
        <f>テーブル4[[#This Row],[半径方向応力:Δ0℃]]* (1+(寸法→圧入力!D$36/寸法→圧入力!F$35)^2)/((寸法→圧入力!D$36/寸法→圧入力!F$35)^2-1)</f>
        <v>48.097350907351689</v>
      </c>
      <c r="AO40" s="99">
        <f>テーブル4[[#This Row],[半径方向応力:Δ+10℃]]* (1+(寸法→圧入力!D$36/寸法→圧入力!F$35)^2)/((寸法→圧入力!D$36/寸法→圧入力!F$35)^2-1)</f>
        <v>41.550541570444409</v>
      </c>
      <c r="AP40" s="99">
        <f>テーブル4[[#This Row],[半径方向応力:Δ+20℃]]* (1+(寸法→圧入力!D$36/寸法→圧入力!F$35)^2)/((寸法→圧入力!D$36/寸法→圧入力!F$35)^2-1)</f>
        <v>35.003732233532197</v>
      </c>
      <c r="AQ40" s="99">
        <f>テーブル4[[#This Row],[半径方向応力:Δ+30℃]]* (1+(寸法→圧入力!D$36/寸法→圧入力!F$35)^2)/((寸法→圧入力!D$36/寸法→圧入力!F$35)^2-1)</f>
        <v>28.456922896629852</v>
      </c>
      <c r="AR40" s="99">
        <f>寸法→圧入力!$D$41</f>
        <v>150</v>
      </c>
    </row>
    <row r="41" spans="1:44">
      <c r="A41" s="177">
        <f t="shared" si="2"/>
        <v>0.35000000000000003</v>
      </c>
      <c r="B41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121.09602993048284</v>
      </c>
      <c r="C41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122.62456756247107</v>
      </c>
      <c r="D41" s="99">
        <f>(A41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124.14713753756571</v>
      </c>
      <c r="E41" s="99">
        <f>テーブル3[[#This Row],[半径方向応力min]]*寸法→圧入力!D$48*寸法→圧入力!D$6/1000</f>
        <v>21.097261171721247</v>
      </c>
      <c r="F41" s="99">
        <f>テーブル3[[#This Row],[半径方向応力min]]*寸法→圧入力!E$48*寸法→圧入力!E$6/1000</f>
        <v>26.942316512661836</v>
      </c>
      <c r="G41" s="99">
        <f>テーブル3[[#This Row],[半径方向応力min]]*寸法→圧入力!F$48*寸法→圧入力!F$6/1000</f>
        <v>33.02227807264569</v>
      </c>
      <c r="H41" s="99">
        <f>寸法→圧入力!$D$32</f>
        <v>345</v>
      </c>
      <c r="I41" s="99">
        <f>寸法→圧入力!$D$41</f>
        <v>150</v>
      </c>
      <c r="J41" s="99">
        <f>テーブル3[[#This Row],[半径方向応力nor]]*2*寸法→圧入力!E$25^2/(寸法→圧入力!E$25^2-寸法→圧入力!E$26^2)</f>
        <v>620.5757403406194</v>
      </c>
      <c r="K41" s="99">
        <f>テーブル3[[#This Row],[半径方向応力nor]]* (1+(寸法→圧入力!E$36/寸法→圧入力!E$35)^2)/((寸法→圧入力!E$36/寸法→圧入力!E$35)^2-1)</f>
        <v>235.58767178105055</v>
      </c>
      <c r="N41">
        <f t="shared" si="1"/>
        <v>125</v>
      </c>
      <c r="O41" s="177">
        <f>寸法→圧入力!F$25*(1+寸法→圧入力!D$31*10^-6*(テーブル4[[#This Row],[inner温度'[℃']]]-20)) - 寸法→圧入力!D$35*(1+寸法→圧入力!D$40*10^-6*(テーブル4[[#This Row],[inner温度'[℃']]]+O$3-20))</f>
        <v>9.5522494999990215E-2</v>
      </c>
      <c r="P41" s="177">
        <f>寸法→圧入力!F$25*(1+寸法→圧入力!D$31*10^-6*(テーブル4[[#This Row],[inner温度'[℃']]]-20)) - 寸法→圧入力!D$35*(1+寸法→圧入力!D$40*10^-6*(テーブル4[[#This Row],[inner温度'[℃']]]+P$3-20))</f>
        <v>8.6093495000000075E-2</v>
      </c>
      <c r="Q41" s="177">
        <f>寸法→圧入力!F$25*(1+寸法→圧入力!D$31*10^-6*(テーブル4[[#This Row],[inner温度'[℃']]]-20)) - 寸法→圧入力!D$35*(1+寸法→圧入力!D$40*10^-6*(テーブル4[[#This Row],[inner温度'[℃']]]+Q$3-20))</f>
        <v>7.666449500000283E-2</v>
      </c>
      <c r="R41" s="177">
        <f>寸法→圧入力!F$25*(1+寸法→圧入力!D$31*10^-6*(テーブル4[[#This Row],[inner温度'[℃']]]-20)) - 寸法→圧入力!D$35*(1+寸法→圧入力!D$40*10^-6*(テーブル4[[#This Row],[inner温度'[℃']]]+R$3-20))</f>
        <v>6.723549499999848E-2</v>
      </c>
      <c r="S41" s="177">
        <f>寸法→圧入力!F$25*(1+寸法→圧入力!D$31*10^-6*(テーブル4[[#This Row],[inner温度'[℃']]]-20)) - 寸法→圧入力!D$35*(1+寸法→圧入力!D$40*10^-6*(テーブル4[[#This Row],[inner温度'[℃']]]+S$3-20))</f>
        <v>5.7806494999994129E-2</v>
      </c>
      <c r="T41" s="177">
        <f>寸法→圧入力!F$25*(1+寸法→圧入力!D$31*10^-6*(テーブル4[[#This Row],[inner温度'[℃']]]-20)) - 寸法→圧入力!D$35*(1+寸法→圧入力!D$40*10^-6*(テーブル4[[#This Row],[inner温度'[℃']]]+T$3-20))</f>
        <v>4.8377494999996884E-2</v>
      </c>
      <c r="U41" s="177">
        <f>寸法→圧入力!F$25*(1+寸法→圧入力!D$31*10^-6*(テーブル4[[#This Row],[inner温度'[℃']]]-20)) - 寸法→圧入力!D$35*(1+寸法→圧入力!D$40*10^-6*(テーブル4[[#This Row],[inner温度'[℃']]]+U$3-20))</f>
        <v>3.8948494999999639E-2</v>
      </c>
      <c r="V41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33.882412356272049</v>
      </c>
      <c r="W41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30.537888471013527</v>
      </c>
      <c r="X41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27.193364585752487</v>
      </c>
      <c r="Y41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23.848840700488921</v>
      </c>
      <c r="Z41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20.504316815225359</v>
      </c>
      <c r="AA41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17.159792929964318</v>
      </c>
      <c r="AB41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13.815269044703273</v>
      </c>
      <c r="AC41" s="99">
        <f>テーブル4[[#This Row],[半径方向応力:Δ-30℃]]*2*寸法→圧入力!D$25^2/(寸法→圧入力!D$25^2-寸法→圧入力!F$26^2)</f>
        <v>173.04602837728319</v>
      </c>
      <c r="AD41" s="99">
        <f>テーブル4[[#This Row],[半径方向応力:Δ-20℃]]*2*寸法→圧入力!D$25^2/(寸法→圧入力!D$25^2-寸法→圧入力!F$26^2)</f>
        <v>155.96470107769932</v>
      </c>
      <c r="AE41" s="99">
        <f>テーブル4[[#This Row],[半径方向応力:Δ-10℃]]*2*寸法→圧入力!D$25^2/(寸法→圧入力!D$25^2-寸法→圧入力!F$26^2)</f>
        <v>138.88337377810259</v>
      </c>
      <c r="AF41" s="99">
        <f>テーブル4[[#This Row],[半径方向応力:Δ0℃]]*2*寸法→圧入力!D$25^2/(寸法→圧入力!D$25^2-寸法→圧入力!F$26^2)</f>
        <v>121.80204647849295</v>
      </c>
      <c r="AG41" s="99">
        <f>テーブル4[[#This Row],[半径方向応力:Δ+10℃]]*2*寸法→圧入力!D$25^2/(寸法→圧入力!D$25^2-寸法→圧入力!F$26^2)</f>
        <v>104.72071917888334</v>
      </c>
      <c r="AH41" s="99">
        <f>テーブル4[[#This Row],[半径方向応力:Δ+20℃]]*2*寸法→圧入力!D$25^2/(寸法→圧入力!D$25^2-寸法→圧入力!F$26^2)</f>
        <v>87.639391879286606</v>
      </c>
      <c r="AI41" s="99">
        <f>テーブル4[[#This Row],[半径方向応力:Δ+30℃]]*2*寸法→圧入力!D$25^2/(寸法→圧入力!D$25^2-寸法→圧入力!F$26^2)</f>
        <v>70.558064579689855</v>
      </c>
      <c r="AJ41" s="99">
        <f>寸法→圧入力!$D$32</f>
        <v>345</v>
      </c>
      <c r="AK41" s="99">
        <f>テーブル4[[#This Row],[半径方向応力:Δ-30℃]]* (1+(寸法→圧入力!D$36/寸法→圧入力!F$35)^2)/((寸法→圧入力!D$36/寸法→圧入力!F$35)^2-1)</f>
        <v>66.323847931996752</v>
      </c>
      <c r="AL41" s="99">
        <f>テーブル4[[#This Row],[半径方向応力:Δ-20℃]]* (1+(寸法→圧入力!D$36/寸法→圧入力!F$35)^2)/((寸法→圧入力!D$36/寸法→圧入力!F$35)^2-1)</f>
        <v>59.777038595094417</v>
      </c>
      <c r="AM41" s="99">
        <f>テーブル4[[#This Row],[半径方向応力:Δ-10℃]]* (1+(寸法→圧入力!D$36/寸法→圧入力!F$35)^2)/((寸法→圧入力!D$36/寸法→圧入力!F$35)^2-1)</f>
        <v>53.230229258187144</v>
      </c>
      <c r="AN41" s="99">
        <f>テーブル4[[#This Row],[半径方向応力:Δ0℃]]* (1+(寸法→圧入力!D$36/寸法→圧入力!F$35)^2)/((寸法→圧入力!D$36/寸法→圧入力!F$35)^2-1)</f>
        <v>46.683419921274925</v>
      </c>
      <c r="AO41" s="99">
        <f>テーブル4[[#This Row],[半径方向応力:Δ+10℃]]* (1+(寸法→圧入力!D$36/寸法→圧入力!F$35)^2)/((寸法→圧入力!D$36/寸法→圧入力!F$35)^2-1)</f>
        <v>40.136610584362714</v>
      </c>
      <c r="AP41" s="99">
        <f>テーブル4[[#This Row],[半径方向応力:Δ+20℃]]* (1+(寸法→圧入力!D$36/寸法→圧入力!F$35)^2)/((寸法→圧入力!D$36/寸法→圧入力!F$35)^2-1)</f>
        <v>33.589801247455441</v>
      </c>
      <c r="AQ41" s="99">
        <f>テーブル4[[#This Row],[半径方向応力:Δ+30℃]]* (1+(寸法→圧入力!D$36/寸法→圧入力!F$35)^2)/((寸法→圧入力!D$36/寸法→圧入力!F$35)^2-1)</f>
        <v>27.04299191054816</v>
      </c>
      <c r="AR41" s="99">
        <f>寸法→圧入力!$D$41</f>
        <v>150</v>
      </c>
    </row>
    <row r="42" spans="1:44">
      <c r="A42" s="177">
        <f t="shared" si="2"/>
        <v>0.36</v>
      </c>
      <c r="B42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124.5559164999252</v>
      </c>
      <c r="C42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126.12812663568452</v>
      </c>
      <c r="D42" s="99">
        <f>(A42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127.69419861006759</v>
      </c>
      <c r="E42" s="99">
        <f>テーブル3[[#This Row],[半径方向応力min]]*寸法→圧入力!D$48*寸法→圧入力!D$6/1000</f>
        <v>21.700040062341852</v>
      </c>
      <c r="F42" s="99">
        <f>テーブル3[[#This Row],[半径方向応力min]]*寸法→圧入力!E$48*寸法→圧入力!E$6/1000</f>
        <v>27.712096984452174</v>
      </c>
      <c r="G42" s="99">
        <f>テーブル3[[#This Row],[半径方向応力min]]*寸法→圧入力!F$48*寸法→圧入力!F$6/1000</f>
        <v>33.965771731864145</v>
      </c>
      <c r="H42" s="99">
        <f>寸法→圧入力!$D$32</f>
        <v>345</v>
      </c>
      <c r="I42" s="99">
        <f>寸法→圧入力!$D$41</f>
        <v>150</v>
      </c>
      <c r="J42" s="99">
        <f>テーブル3[[#This Row],[半径方向応力nor]]*2*寸法→圧入力!E$25^2/(寸法→圧入力!E$25^2-寸法→圧入力!E$26^2)</f>
        <v>638.30647577892285</v>
      </c>
      <c r="K42" s="99">
        <f>テーブル3[[#This Row],[半径方向応力nor]]* (1+(寸法→圧入力!E$36/寸法→圧入力!E$35)^2)/((寸法→圧入力!E$36/寸法→圧入力!E$35)^2-1)</f>
        <v>242.31874811765195</v>
      </c>
      <c r="N42">
        <f t="shared" si="1"/>
        <v>130</v>
      </c>
      <c r="O42" s="177">
        <f>寸法→圧入力!F$25*(1+寸法→圧入力!D$31*10^-6*(テーブル4[[#This Row],[inner温度'[℃']]]-20)) - 寸法→圧入力!D$35*(1+寸法→圧入力!D$40*10^-6*(テーブル4[[#This Row],[inner温度'[℃']]]+O$3-20))</f>
        <v>9.3486090000006072E-2</v>
      </c>
      <c r="P42" s="177">
        <f>寸法→圧入力!F$25*(1+寸法→圧入力!D$31*10^-6*(テーブル4[[#This Row],[inner温度'[℃']]]-20)) - 寸法→圧入力!D$35*(1+寸法→圧入力!D$40*10^-6*(テーブル4[[#This Row],[inner温度'[℃']]]+P$3-20))</f>
        <v>8.4057090000001722E-2</v>
      </c>
      <c r="Q42" s="177">
        <f>寸法→圧入力!F$25*(1+寸法→圧入力!D$31*10^-6*(テーブル4[[#This Row],[inner温度'[℃']]]-20)) - 寸法→圧入力!D$35*(1+寸法→圧入力!D$40*10^-6*(テーブル4[[#This Row],[inner温度'[℃']]]+Q$3-20))</f>
        <v>7.4628089999997371E-2</v>
      </c>
      <c r="R42" s="177">
        <f>寸法→圧入力!F$25*(1+寸法→圧入力!D$31*10^-6*(テーブル4[[#This Row],[inner温度'[℃']]]-20)) - 寸法→圧入力!D$35*(1+寸法→圧入力!D$40*10^-6*(テーブル4[[#This Row],[inner温度'[℃']]]+R$3-20))</f>
        <v>6.5199090000000126E-2</v>
      </c>
      <c r="S42" s="177">
        <f>寸法→圧入力!F$25*(1+寸法→圧入力!D$31*10^-6*(テーブル4[[#This Row],[inner温度'[℃']]]-20)) - 寸法→圧入力!D$35*(1+寸法→圧入力!D$40*10^-6*(テーブル4[[#This Row],[inner温度'[℃']]]+S$3-20))</f>
        <v>5.5770089999995776E-2</v>
      </c>
      <c r="T42" s="177">
        <f>寸法→圧入力!F$25*(1+寸法→圧入力!D$31*10^-6*(テーブル4[[#This Row],[inner温度'[℃']]]-20)) - 寸法→圧入力!D$35*(1+寸法→圧入力!D$40*10^-6*(テーブル4[[#This Row],[inner温度'[℃']]]+T$3-20))</f>
        <v>4.6341090000005636E-2</v>
      </c>
      <c r="U42" s="177">
        <f>寸法→圧入力!F$25*(1+寸法→圧入力!D$31*10^-6*(テーブル4[[#This Row],[inner温度'[℃']]]-20)) - 寸法→圧入力!D$35*(1+寸法→圧入力!D$40*10^-6*(テーブル4[[#This Row],[inner温度'[℃']]]+U$3-20))</f>
        <v>3.6912090000001285E-2</v>
      </c>
      <c r="V42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33.160087065942854</v>
      </c>
      <c r="W42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29.815563180679295</v>
      </c>
      <c r="X42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26.471039295415732</v>
      </c>
      <c r="Y42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23.126515410154688</v>
      </c>
      <c r="Z42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19.781991524891126</v>
      </c>
      <c r="AA42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16.437467639632601</v>
      </c>
      <c r="AB42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13.092943754369038</v>
      </c>
      <c r="AC42" s="99">
        <f>テーブル4[[#This Row],[半径方向応力:Δ-30℃]]*2*寸法→圧入力!D$25^2/(寸法→圧入力!D$25^2-寸法→圧入力!F$26^2)</f>
        <v>169.35693087815554</v>
      </c>
      <c r="AD42" s="99">
        <f>テーブル4[[#This Row],[半径方向応力:Δ-20℃]]*2*寸法→圧入力!D$25^2/(寸法→圧入力!D$25^2-寸法→圧入力!F$26^2)</f>
        <v>152.27560357854594</v>
      </c>
      <c r="AE42" s="99">
        <f>テーブル4[[#This Row],[半径方向応力:Δ-10℃]]*2*寸法→圧入力!D$25^2/(寸法→圧入力!D$25^2-寸法→圧入力!F$26^2)</f>
        <v>135.19427627893631</v>
      </c>
      <c r="AF42" s="99">
        <f>テーブル4[[#This Row],[半径方向応力:Δ0℃]]*2*寸法→圧入力!D$25^2/(寸法→圧入力!D$25^2-寸法→圧入力!F$26^2)</f>
        <v>118.11294897933958</v>
      </c>
      <c r="AG42" s="99">
        <f>テーブル4[[#This Row],[半径方向応力:Δ+10℃]]*2*寸法→圧入力!D$25^2/(寸法→圧入力!D$25^2-寸法→圧入力!F$26^2)</f>
        <v>101.03162167972997</v>
      </c>
      <c r="AH42" s="99">
        <f>テーブル4[[#This Row],[半径方向応力:Δ+20℃]]*2*寸法→圧入力!D$25^2/(寸法→圧入力!D$25^2-寸法→圧入力!F$26^2)</f>
        <v>83.950294380146076</v>
      </c>
      <c r="AI42" s="99">
        <f>テーブル4[[#This Row],[半径方向応力:Δ+30℃]]*2*寸法→圧入力!D$25^2/(寸法→圧入力!D$25^2-寸法→圧入力!F$26^2)</f>
        <v>66.86896708053645</v>
      </c>
      <c r="AJ42" s="99">
        <f>寸法→圧入力!$D$32</f>
        <v>345</v>
      </c>
      <c r="AK42" s="99">
        <f>テーブル4[[#This Row],[半径方向応力:Δ-30℃]]* (1+(寸法→圧入力!D$36/寸法→圧入力!F$35)^2)/((寸法→圧入力!D$36/寸法→圧入力!F$35)^2-1)</f>
        <v>64.909916945929865</v>
      </c>
      <c r="AL42" s="99">
        <f>テーブル4[[#This Row],[半径方向応力:Δ-20℃]]* (1+(寸法→圧入力!D$36/寸法→圧入力!F$35)^2)/((寸法→圧入力!D$36/寸法→圧入力!F$35)^2-1)</f>
        <v>58.363107609017661</v>
      </c>
      <c r="AM42" s="99">
        <f>テーブル4[[#This Row],[半径方向応力:Δ-10℃]]* (1+(寸法→圧入力!D$36/寸法→圧入力!F$35)^2)/((寸法→圧入力!D$36/寸法→圧入力!F$35)^2-1)</f>
        <v>51.816298272105449</v>
      </c>
      <c r="AN42" s="99">
        <f>テーブル4[[#This Row],[半径方向応力:Δ0℃]]* (1+(寸法→圧入力!D$36/寸法→圧入力!F$35)^2)/((寸法→圧入力!D$36/寸法→圧入力!F$35)^2-1)</f>
        <v>45.269488935198169</v>
      </c>
      <c r="AO42" s="99">
        <f>テーブル4[[#This Row],[半径方向応力:Δ+10℃]]* (1+(寸法→圧入力!D$36/寸法→圧入力!F$35)^2)/((寸法→圧入力!D$36/寸法→圧入力!F$35)^2-1)</f>
        <v>38.722679598285964</v>
      </c>
      <c r="AP42" s="99">
        <f>テーブル4[[#This Row],[半径方向応力:Δ+20℃]]* (1+(寸法→圧入力!D$36/寸法→圧入力!F$35)^2)/((寸法→圧入力!D$36/寸法→圧入力!F$35)^2-1)</f>
        <v>32.175870261383608</v>
      </c>
      <c r="AQ42" s="99">
        <f>テーブル4[[#This Row],[半径方向応力:Δ+30℃]]* (1+(寸法→圧入力!D$36/寸法→圧入力!F$35)^2)/((寸法→圧入力!D$36/寸法→圧入力!F$35)^2-1)</f>
        <v>25.629060924471396</v>
      </c>
      <c r="AR42" s="99">
        <f>寸法→圧入力!$D$41</f>
        <v>150</v>
      </c>
    </row>
    <row r="43" spans="1:44">
      <c r="A43" s="177">
        <f t="shared" si="2"/>
        <v>0.37</v>
      </c>
      <c r="B43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128.01580306936756</v>
      </c>
      <c r="C43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129.63168570889798</v>
      </c>
      <c r="D43" s="99">
        <f>(A43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131.24125968256948</v>
      </c>
      <c r="E43" s="99">
        <f>テーブル3[[#This Row],[半径方向応力min]]*寸法→圧入力!D$48*寸法→圧入力!D$6/1000</f>
        <v>22.302818952962458</v>
      </c>
      <c r="F43" s="99">
        <f>テーブル3[[#This Row],[半径方向応力min]]*寸法→圧入力!E$48*寸法→圧入力!E$6/1000</f>
        <v>28.481877456242515</v>
      </c>
      <c r="G43" s="99">
        <f>テーブル3[[#This Row],[半径方向応力min]]*寸法→圧入力!F$48*寸法→圧入力!F$6/1000</f>
        <v>34.909265391082592</v>
      </c>
      <c r="H43" s="99">
        <f>寸法→圧入力!$D$32</f>
        <v>345</v>
      </c>
      <c r="I43" s="99">
        <f>寸法→圧入力!$D$41</f>
        <v>150</v>
      </c>
      <c r="J43" s="99">
        <f>テーブル3[[#This Row],[半径方向応力nor]]*2*寸法→圧入力!E$25^2/(寸法→圧入力!E$25^2-寸法→圧入力!E$26^2)</f>
        <v>656.03721121722617</v>
      </c>
      <c r="K43" s="99">
        <f>テーブル3[[#This Row],[半径方向応力nor]]* (1+(寸法→圧入力!E$36/寸法→圧入力!E$35)^2)/((寸法→圧入力!E$36/寸法→圧入力!E$35)^2-1)</f>
        <v>249.04982445425338</v>
      </c>
      <c r="N43">
        <f t="shared" si="1"/>
        <v>135</v>
      </c>
      <c r="O43" s="177">
        <f>寸法→圧入力!F$25*(1+寸法→圧入力!D$31*10^-6*(テーブル4[[#This Row],[inner温度'[℃']]]-20)) - 寸法→圧入力!D$35*(1+寸法→圧入力!D$40*10^-6*(テーブル4[[#This Row],[inner温度'[℃']]]+O$3-20))</f>
        <v>9.1449685000007719E-2</v>
      </c>
      <c r="P43" s="177">
        <f>寸法→圧入力!F$25*(1+寸法→圧入力!D$31*10^-6*(テーブル4[[#This Row],[inner温度'[℃']]]-20)) - 寸法→圧入力!D$35*(1+寸法→圧入力!D$40*10^-6*(テーブル4[[#This Row],[inner温度'[℃']]]+P$3-20))</f>
        <v>8.2020685000010474E-2</v>
      </c>
      <c r="Q43" s="177">
        <f>寸法→圧入力!F$25*(1+寸法→圧入力!D$31*10^-6*(テーブル4[[#This Row],[inner温度'[℃']]]-20)) - 寸法→圧入力!D$35*(1+寸法→圧入力!D$40*10^-6*(テーブル4[[#This Row],[inner温度'[℃']]]+Q$3-20))</f>
        <v>7.2591685000006123E-2</v>
      </c>
      <c r="R43" s="177">
        <f>寸法→圧入力!F$25*(1+寸法→圧入力!D$31*10^-6*(テーブル4[[#This Row],[inner温度'[℃']]]-20)) - 寸法→圧入力!D$35*(1+寸法→圧入力!D$40*10^-6*(テーブル4[[#This Row],[inner温度'[℃']]]+R$3-20))</f>
        <v>6.3162685000001773E-2</v>
      </c>
      <c r="S43" s="177">
        <f>寸法→圧入力!F$25*(1+寸法→圧入力!D$31*10^-6*(テーブル4[[#This Row],[inner温度'[℃']]]-20)) - 寸法→圧入力!D$35*(1+寸法→圧入力!D$40*10^-6*(テーブル4[[#This Row],[inner温度'[℃']]]+S$3-20))</f>
        <v>5.3733685000004527E-2</v>
      </c>
      <c r="T43" s="177">
        <f>寸法→圧入力!F$25*(1+寸法→圧入力!D$31*10^-6*(テーブル4[[#This Row],[inner温度'[℃']]]-20)) - 寸法→圧入力!D$35*(1+寸法→圧入力!D$40*10^-6*(テーブル4[[#This Row],[inner温度'[℃']]]+T$3-20))</f>
        <v>4.4304685000007282E-2</v>
      </c>
      <c r="U43" s="177">
        <f>寸法→圧入力!F$25*(1+寸法→圧入力!D$31*10^-6*(テーブル4[[#This Row],[inner温度'[℃']]]-20)) - 寸法→圧入力!D$35*(1+寸法→圧入力!D$40*10^-6*(テーブル4[[#This Row],[inner温度'[℃']]]+U$3-20))</f>
        <v>3.4875685000010037E-2</v>
      </c>
      <c r="V43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32.437761775608621</v>
      </c>
      <c r="W43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29.093237890347581</v>
      </c>
      <c r="X43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25.748714005084015</v>
      </c>
      <c r="Y43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22.404190119820452</v>
      </c>
      <c r="Z43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19.059666234559412</v>
      </c>
      <c r="AA43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15.715142349298366</v>
      </c>
      <c r="AB43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12.370618464037324</v>
      </c>
      <c r="AC43" s="99">
        <f>テーブル4[[#This Row],[半径方向応力:Δ-30℃]]*2*寸法→圧入力!D$25^2/(寸法→圧入力!D$25^2-寸法→圧入力!F$26^2)</f>
        <v>165.66783337900216</v>
      </c>
      <c r="AD43" s="99">
        <f>テーブル4[[#This Row],[半径方向応力:Δ-20℃]]*2*寸法→圧入力!D$25^2/(寸法→圧入力!D$25^2-寸法→圧入力!F$26^2)</f>
        <v>148.58650607940541</v>
      </c>
      <c r="AE43" s="99">
        <f>テーブル4[[#This Row],[半径方向応力:Δ-10℃]]*2*寸法→圧入力!D$25^2/(寸法→圧入力!D$25^2-寸法→圧入力!F$26^2)</f>
        <v>131.50517877979578</v>
      </c>
      <c r="AF43" s="99">
        <f>テーブル4[[#This Row],[半径方向応力:Δ0℃]]*2*寸法→圧入力!D$25^2/(寸法→圧入力!D$25^2-寸法→圧入力!F$26^2)</f>
        <v>114.42385148018617</v>
      </c>
      <c r="AG43" s="99">
        <f>テーブル4[[#This Row],[半径方向応力:Δ+10℃]]*2*寸法→圧入力!D$25^2/(寸法→圧入力!D$25^2-寸法→圧入力!F$26^2)</f>
        <v>97.342524180589436</v>
      </c>
      <c r="AH43" s="99">
        <f>テーブル4[[#This Row],[半径方向応力:Δ+20℃]]*2*寸法→圧入力!D$25^2/(寸法→圧入力!D$25^2-寸法→圧入力!F$26^2)</f>
        <v>80.261196880992685</v>
      </c>
      <c r="AI43" s="99">
        <f>テーブル4[[#This Row],[半径方向応力:Δ+30℃]]*2*寸法→圧入力!D$25^2/(寸法→圧入力!D$25^2-寸法→圧入力!F$26^2)</f>
        <v>63.179869581395934</v>
      </c>
      <c r="AJ43" s="99">
        <f>寸法→圧入力!$D$32</f>
        <v>345</v>
      </c>
      <c r="AK43" s="99">
        <f>テーブル4[[#This Row],[半径方向応力:Δ-30℃]]* (1+(寸法→圧入力!D$36/寸法→圧入力!F$35)^2)/((寸法→圧入力!D$36/寸法→圧入力!F$35)^2-1)</f>
        <v>63.495985959853101</v>
      </c>
      <c r="AL43" s="99">
        <f>テーブル4[[#This Row],[半径方向応力:Δ-20℃]]* (1+(寸法→圧入力!D$36/寸法→圧入力!F$35)^2)/((寸法→圧入力!D$36/寸法→圧入力!F$35)^2-1)</f>
        <v>56.949176622945828</v>
      </c>
      <c r="AM43" s="99">
        <f>テーブル4[[#This Row],[半径方向応力:Δ-10℃]]* (1+(寸法→圧入力!D$36/寸法→圧入力!F$35)^2)/((寸法→圧入力!D$36/寸法→圧入力!F$35)^2-1)</f>
        <v>50.402367286033609</v>
      </c>
      <c r="AN43" s="99">
        <f>テーブル4[[#This Row],[半径方向応力:Δ0℃]]* (1+(寸法→圧入力!D$36/寸法→圧入力!F$35)^2)/((寸法→圧入力!D$36/寸法→圧入力!F$35)^2-1)</f>
        <v>43.855557949121405</v>
      </c>
      <c r="AO43" s="99">
        <f>テーブル4[[#This Row],[半径方向応力:Δ+10℃]]* (1+(寸法→圧入力!D$36/寸法→圧入力!F$35)^2)/((寸法→圧入力!D$36/寸法→圧入力!F$35)^2-1)</f>
        <v>37.308748612214131</v>
      </c>
      <c r="AP43" s="99">
        <f>テーブル4[[#This Row],[半径方向応力:Δ+20℃]]* (1+(寸法→圧入力!D$36/寸法→圧入力!F$35)^2)/((寸法→圧入力!D$36/寸法→圧入力!F$35)^2-1)</f>
        <v>30.761939275306847</v>
      </c>
      <c r="AQ43" s="99">
        <f>テーブル4[[#This Row],[半径方向応力:Δ+30℃]]* (1+(寸法→圧入力!D$36/寸法→圧入力!F$35)^2)/((寸法→圧入力!D$36/寸法→圧入力!F$35)^2-1)</f>
        <v>24.215129938399571</v>
      </c>
      <c r="AR43" s="99">
        <f>寸法→圧入力!$D$41</f>
        <v>150</v>
      </c>
    </row>
    <row r="44" spans="1:44">
      <c r="A44" s="177">
        <f t="shared" si="2"/>
        <v>0.38</v>
      </c>
      <c r="B44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131.47568963880994</v>
      </c>
      <c r="C44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133.13524478211144</v>
      </c>
      <c r="D44" s="99">
        <f>(A44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134.78832075507137</v>
      </c>
      <c r="E44" s="99">
        <f>テーブル3[[#This Row],[半径方向応力min]]*寸法→圧入力!D$48*寸法→圧入力!D$6/1000</f>
        <v>22.905597843583067</v>
      </c>
      <c r="F44" s="99">
        <f>テーブル3[[#This Row],[半径方向応力min]]*寸法→圧入力!E$48*寸法→圧入力!E$6/1000</f>
        <v>29.251657928032849</v>
      </c>
      <c r="G44" s="99">
        <f>テーブル3[[#This Row],[半径方向応力min]]*寸法→圧入力!F$48*寸法→圧入力!F$6/1000</f>
        <v>35.852759050301039</v>
      </c>
      <c r="H44" s="99">
        <f>寸法→圧入力!$D$32</f>
        <v>345</v>
      </c>
      <c r="I44" s="99">
        <f>寸法→圧入力!$D$41</f>
        <v>150</v>
      </c>
      <c r="J44" s="99">
        <f>テーブル3[[#This Row],[半径方向応力nor]]*2*寸法→圧入力!E$25^2/(寸法→圧入力!E$25^2-寸法→圧入力!E$26^2)</f>
        <v>673.76794665552961</v>
      </c>
      <c r="K44" s="99">
        <f>テーブル3[[#This Row],[半径方向応力nor]]* (1+(寸法→圧入力!E$36/寸法→圧入力!E$35)^2)/((寸法→圧入力!E$36/寸法→圧入力!E$35)^2-1)</f>
        <v>255.78090079085487</v>
      </c>
      <c r="N44">
        <f t="shared" si="1"/>
        <v>140</v>
      </c>
      <c r="O44" s="177">
        <f>寸法→圧入力!F$25*(1+寸法→圧入力!D$31*10^-6*(テーブル4[[#This Row],[inner温度'[℃']]]-20)) - 寸法→圧入力!D$35*(1+寸法→圧入力!D$40*10^-6*(テーブル4[[#This Row],[inner温度'[℃']]]+O$3-20))</f>
        <v>8.941328000000226E-2</v>
      </c>
      <c r="P44" s="177">
        <f>寸法→圧入力!F$25*(1+寸法→圧入力!D$31*10^-6*(テーブル4[[#This Row],[inner温度'[℃']]]-20)) - 寸法→圧入力!D$35*(1+寸法→圧入力!D$40*10^-6*(テーブル4[[#This Row],[inner温度'[℃']]]+P$3-20))</f>
        <v>7.9984279999997909E-2</v>
      </c>
      <c r="Q44" s="177">
        <f>寸法→圧入力!F$25*(1+寸法→圧入力!D$31*10^-6*(テーブル4[[#This Row],[inner温度'[℃']]]-20)) - 寸法→圧入力!D$35*(1+寸法→圧入力!D$40*10^-6*(テーブル4[[#This Row],[inner温度'[℃']]]+Q$3-20))</f>
        <v>7.0555280000000664E-2</v>
      </c>
      <c r="R44" s="177">
        <f>寸法→圧入力!F$25*(1+寸法→圧入力!D$31*10^-6*(テーブル4[[#This Row],[inner温度'[℃']]]-20)) - 寸法→圧入力!D$35*(1+寸法→圧入力!D$40*10^-6*(テーブル4[[#This Row],[inner温度'[℃']]]+R$3-20))</f>
        <v>6.1126279999996314E-2</v>
      </c>
      <c r="S44" s="177">
        <f>寸法→圧入力!F$25*(1+寸法→圧入力!D$31*10^-6*(テーブル4[[#This Row],[inner温度'[℃']]]-20)) - 寸法→圧入力!D$35*(1+寸法→圧入力!D$40*10^-6*(テーブル4[[#This Row],[inner温度'[℃']]]+S$3-20))</f>
        <v>5.1697280000006174E-2</v>
      </c>
      <c r="T44" s="177">
        <f>寸法→圧入力!F$25*(1+寸法→圧入力!D$31*10^-6*(テーブル4[[#This Row],[inner温度'[℃']]]-20)) - 寸法→圧入力!D$35*(1+寸法→圧入力!D$40*10^-6*(テーブル4[[#This Row],[inner温度'[℃']]]+T$3-20))</f>
        <v>4.2268280000001823E-2</v>
      </c>
      <c r="U44" s="177">
        <f>寸法→圧入力!F$25*(1+寸法→圧入力!D$31*10^-6*(テーブル4[[#This Row],[inner温度'[℃']]]-20)) - 寸法→圧入力!D$35*(1+寸法→圧入力!D$40*10^-6*(テーブル4[[#This Row],[inner温度'[℃']]]+U$3-20))</f>
        <v>3.2839279999997473E-2</v>
      </c>
      <c r="V44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31.715436485271869</v>
      </c>
      <c r="W44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28.370912600008303</v>
      </c>
      <c r="X44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25.026388714747263</v>
      </c>
      <c r="Y44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21.681864829483697</v>
      </c>
      <c r="Z44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18.337340944225176</v>
      </c>
      <c r="AA44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14.992817058961613</v>
      </c>
      <c r="AB44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11.648293173698049</v>
      </c>
      <c r="AC44" s="99">
        <f>テーブル4[[#This Row],[半径方向応力:Δ-30℃]]*2*寸法→圧入力!D$25^2/(寸法→圧入力!D$25^2-寸法→圧入力!F$26^2)</f>
        <v>161.97873587983591</v>
      </c>
      <c r="AD44" s="99">
        <f>テーブル4[[#This Row],[半径方向応力:Δ-20℃]]*2*寸法→圧入力!D$25^2/(寸法→圧入力!D$25^2-寸法→圧入力!F$26^2)</f>
        <v>144.89740858022626</v>
      </c>
      <c r="AE44" s="99">
        <f>テーブル4[[#This Row],[半径方向応力:Δ-10℃]]*2*寸法→圧入力!D$25^2/(寸法→圧入力!D$25^2-寸法→圧入力!F$26^2)</f>
        <v>127.81608128062953</v>
      </c>
      <c r="AF44" s="99">
        <f>テーブル4[[#This Row],[半径方向応力:Δ0℃]]*2*寸法→圧入力!D$25^2/(寸法→圧入力!D$25^2-寸法→圧入力!F$26^2)</f>
        <v>110.73475398101989</v>
      </c>
      <c r="AG44" s="99">
        <f>テーブル4[[#This Row],[半径方向応力:Δ+10℃]]*2*寸法→圧入力!D$25^2/(寸法→圧入力!D$25^2-寸法→圧入力!F$26^2)</f>
        <v>93.653426681436031</v>
      </c>
      <c r="AH44" s="99">
        <f>テーブル4[[#This Row],[半径方向応力:Δ+20℃]]*2*寸法→圧入力!D$25^2/(寸法→圧入力!D$25^2-寸法→圧入力!F$26^2)</f>
        <v>76.572099381826419</v>
      </c>
      <c r="AI44" s="99">
        <f>テーブル4[[#This Row],[半径方向応力:Δ+30℃]]*2*寸法→圧入力!D$25^2/(寸法→圧入力!D$25^2-寸法→圧入力!F$26^2)</f>
        <v>59.490772082216793</v>
      </c>
      <c r="AJ44" s="99">
        <f>寸法→圧入力!$D$32</f>
        <v>345</v>
      </c>
      <c r="AK44" s="99">
        <f>テーブル4[[#This Row],[半径方向応力:Δ-30℃]]* (1+(寸法→圧入力!D$36/寸法→圧入力!F$35)^2)/((寸法→圧入力!D$36/寸法→圧入力!F$35)^2-1)</f>
        <v>62.082054973771413</v>
      </c>
      <c r="AL44" s="99">
        <f>テーブル4[[#This Row],[半径方向応力:Δ-20℃]]* (1+(寸法→圧入力!D$36/寸法→圧入力!F$35)^2)/((寸法→圧入力!D$36/寸法→圧入力!F$35)^2-1)</f>
        <v>55.535245636859202</v>
      </c>
      <c r="AM44" s="99">
        <f>テーブル4[[#This Row],[半径方向応力:Δ-10℃]]* (1+(寸法→圧入力!D$36/寸法→圧入力!F$35)^2)/((寸法→圧入力!D$36/寸法→圧入力!F$35)^2-1)</f>
        <v>48.988436299951928</v>
      </c>
      <c r="AN44" s="99">
        <f>テーブル4[[#This Row],[半径方向応力:Δ0℃]]* (1+(寸法→圧入力!D$36/寸法→圧入力!F$35)^2)/((寸法→圧入力!D$36/寸法→圧入力!F$35)^2-1)</f>
        <v>42.44162696303971</v>
      </c>
      <c r="AO44" s="99">
        <f>テーブル4[[#This Row],[半径方向応力:Δ+10℃]]* (1+(寸法→圧入力!D$36/寸法→圧入力!F$35)^2)/((寸法→圧入力!D$36/寸法→圧入力!F$35)^2-1)</f>
        <v>35.894817626137367</v>
      </c>
      <c r="AP44" s="99">
        <f>テーブル4[[#This Row],[半径方向応力:Δ+20℃]]* (1+(寸法→圧入力!D$36/寸法→圧入力!F$35)^2)/((寸法→圧入力!D$36/寸法→圧入力!F$35)^2-1)</f>
        <v>29.348008289225156</v>
      </c>
      <c r="AQ44" s="99">
        <f>テーブル4[[#This Row],[半径方向応力:Δ+30℃]]* (1+(寸法→圧入力!D$36/寸法→圧入力!F$35)^2)/((寸法→圧入力!D$36/寸法→圧入力!F$35)^2-1)</f>
        <v>22.801198952312941</v>
      </c>
      <c r="AR44" s="99">
        <f>寸法→圧入力!$D$41</f>
        <v>150</v>
      </c>
    </row>
    <row r="45" spans="1:44">
      <c r="A45" s="177">
        <f t="shared" si="2"/>
        <v>0.39</v>
      </c>
      <c r="B45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134.93557620825229</v>
      </c>
      <c r="C45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136.63880385532488</v>
      </c>
      <c r="D45" s="99">
        <f>(A45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138.3353818275732</v>
      </c>
      <c r="E45" s="99">
        <f>テーブル3[[#This Row],[半径方向応力min]]*寸法→圧入力!D$48*寸法→圧入力!D$6/1000</f>
        <v>23.508376734203669</v>
      </c>
      <c r="F45" s="99">
        <f>テーブル3[[#This Row],[半径方向応力min]]*寸法→圧入力!E$48*寸法→圧入力!E$6/1000</f>
        <v>30.021438399823186</v>
      </c>
      <c r="G45" s="99">
        <f>テーブル3[[#This Row],[半径方向応力min]]*寸法→圧入力!F$48*寸法→圧入力!F$6/1000</f>
        <v>36.796252709519479</v>
      </c>
      <c r="H45" s="99">
        <f>寸法→圧入力!$D$32</f>
        <v>345</v>
      </c>
      <c r="I45" s="99">
        <f>寸法→圧入力!$D$41</f>
        <v>150</v>
      </c>
      <c r="J45" s="99">
        <f>テーブル3[[#This Row],[半径方向応力nor]]*2*寸法→圧入力!E$25^2/(寸法→圧入力!E$25^2-寸法→圧入力!E$26^2)</f>
        <v>691.49868209383283</v>
      </c>
      <c r="K45" s="99">
        <f>テーブル3[[#This Row],[半径方向応力nor]]* (1+(寸法→圧入力!E$36/寸法→圧入力!E$35)^2)/((寸法→圧入力!E$36/寸法→圧入力!E$35)^2-1)</f>
        <v>262.5119771274563</v>
      </c>
      <c r="N45">
        <f t="shared" si="1"/>
        <v>145</v>
      </c>
      <c r="O45" s="177">
        <f>寸法→圧入力!F$25*(1+寸法→圧入力!D$31*10^-6*(テーブル4[[#This Row],[inner温度'[℃']]]-20)) - 寸法→圧入力!D$35*(1+寸法→圧入力!D$40*10^-6*(テーブル4[[#This Row],[inner温度'[℃']]]+O$3-20))</f>
        <v>8.7376875000011012E-2</v>
      </c>
      <c r="P45" s="177">
        <f>寸法→圧入力!F$25*(1+寸法→圧入力!D$31*10^-6*(テーブル4[[#This Row],[inner温度'[℃']]]-20)) - 寸法→圧入力!D$35*(1+寸法→圧入力!D$40*10^-6*(テーブル4[[#This Row],[inner温度'[℃']]]+P$3-20))</f>
        <v>7.7947875000006661E-2</v>
      </c>
      <c r="Q45" s="177">
        <f>寸法→圧入力!F$25*(1+寸法→圧入力!D$31*10^-6*(テーブル4[[#This Row],[inner温度'[℃']]]-20)) - 寸法→圧入力!D$35*(1+寸法→圧入力!D$40*10^-6*(テーブル4[[#This Row],[inner温度'[℃']]]+Q$3-20))</f>
        <v>6.8518875000002311E-2</v>
      </c>
      <c r="R45" s="177">
        <f>寸法→圧入力!F$25*(1+寸法→圧入力!D$31*10^-6*(テーブル4[[#This Row],[inner温度'[℃']]]-20)) - 寸法→圧入力!D$35*(1+寸法→圧入力!D$40*10^-6*(テーブル4[[#This Row],[inner温度'[℃']]]+R$3-20))</f>
        <v>5.9089875000005065E-2</v>
      </c>
      <c r="S45" s="177">
        <f>寸法→圧入力!F$25*(1+寸法→圧入力!D$31*10^-6*(テーブル4[[#This Row],[inner温度'[℃']]]-20)) - 寸法→圧入力!D$35*(1+寸法→圧入力!D$40*10^-6*(テーブル4[[#This Row],[inner温度'[℃']]]+S$3-20))</f>
        <v>4.966087500000782E-2</v>
      </c>
      <c r="T45" s="177">
        <f>寸法→圧入力!F$25*(1+寸法→圧入力!D$31*10^-6*(テーブル4[[#This Row],[inner温度'[℃']]]-20)) - 寸法→圧入力!D$35*(1+寸法→圧入力!D$40*10^-6*(テーブル4[[#This Row],[inner温度'[℃']]]+T$3-20))</f>
        <v>4.0231875000010575E-2</v>
      </c>
      <c r="U45" s="177">
        <f>寸法→圧入力!F$25*(1+寸法→圧入力!D$31*10^-6*(テーブル4[[#This Row],[inner温度'[℃']]]-20)) - 寸法→圧入力!D$35*(1+寸法→圧入力!D$40*10^-6*(テーブル4[[#This Row],[inner温度'[℃']]]+U$3-20))</f>
        <v>3.0802875000006225E-2</v>
      </c>
      <c r="V45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30.993111194940155</v>
      </c>
      <c r="W45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27.648587309676589</v>
      </c>
      <c r="X45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24.304063424413027</v>
      </c>
      <c r="Y45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20.959539539151983</v>
      </c>
      <c r="Z45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17.615015653890939</v>
      </c>
      <c r="AA45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14.270491768629897</v>
      </c>
      <c r="AB45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10.925967883366335</v>
      </c>
      <c r="AC45" s="99">
        <f>テーブル4[[#This Row],[半径方向応力:Δ-30℃]]*2*寸法→圧入力!D$25^2/(寸法→圧入力!D$25^2-寸法→圧入力!F$26^2)</f>
        <v>158.28963838069538</v>
      </c>
      <c r="AD45" s="99">
        <f>テーブル4[[#This Row],[半径方向応力:Δ-20℃]]*2*寸法→圧入力!D$25^2/(寸法→圧入力!D$25^2-寸法→圧入力!F$26^2)</f>
        <v>141.20831108108575</v>
      </c>
      <c r="AE45" s="99">
        <f>テーブル4[[#This Row],[半径方向応力:Δ-10℃]]*2*寸法→圧入力!D$25^2/(寸法→圧入力!D$25^2-寸法→圧入力!F$26^2)</f>
        <v>124.12698378147613</v>
      </c>
      <c r="AF45" s="99">
        <f>テーブル4[[#This Row],[半径方向応力:Δ0℃]]*2*寸法→圧入力!D$25^2/(寸法→圧入力!D$25^2-寸法→圧入力!F$26^2)</f>
        <v>107.04565648187939</v>
      </c>
      <c r="AG45" s="99">
        <f>テーブル4[[#This Row],[半径方向応力:Δ+10℃]]*2*寸法→圧入力!D$25^2/(寸法→圧入力!D$25^2-寸法→圧入力!F$26^2)</f>
        <v>89.96432918228264</v>
      </c>
      <c r="AH45" s="99">
        <f>テーブル4[[#This Row],[半径方向応力:Δ+20℃]]*2*寸法→圧入力!D$25^2/(寸法→圧入力!D$25^2-寸法→圧入力!F$26^2)</f>
        <v>72.883001882685889</v>
      </c>
      <c r="AI45" s="99">
        <f>テーブル4[[#This Row],[半径方向応力:Δ+30℃]]*2*寸法→圧入力!D$25^2/(寸法→圧入力!D$25^2-寸法→圧入力!F$26^2)</f>
        <v>55.801674583076277</v>
      </c>
      <c r="AJ45" s="99">
        <f>寸法→圧入力!$D$32</f>
        <v>345</v>
      </c>
      <c r="AK45" s="99">
        <f>テーブル4[[#This Row],[半径方向応力:Δ-30℃]]* (1+(寸法→圧入力!D$36/寸法→圧入力!F$35)^2)/((寸法→圧入力!D$36/寸法→圧入力!F$35)^2-1)</f>
        <v>60.668123987699595</v>
      </c>
      <c r="AL45" s="99">
        <f>テーブル4[[#This Row],[半径方向応力:Δ-20℃]]* (1+(寸法→圧入力!D$36/寸法→圧入力!F$35)^2)/((寸法→圧入力!D$36/寸法→圧入力!F$35)^2-1)</f>
        <v>54.121314650787376</v>
      </c>
      <c r="AM45" s="99">
        <f>テーブル4[[#This Row],[半径方向応力:Δ-10℃]]* (1+(寸法→圧入力!D$36/寸法→圧入力!F$35)^2)/((寸法→圧入力!D$36/寸法→圧入力!F$35)^2-1)</f>
        <v>47.574505313875164</v>
      </c>
      <c r="AN45" s="99">
        <f>テーブル4[[#This Row],[半径方向応力:Δ0℃]]* (1+(寸法→圧入力!D$36/寸法→圧入力!F$35)^2)/((寸法→圧入力!D$36/寸法→圧入力!F$35)^2-1)</f>
        <v>41.027695976967884</v>
      </c>
      <c r="AO45" s="99">
        <f>テーブル4[[#This Row],[半径方向応力:Δ+10℃]]* (1+(寸法→圧入力!D$36/寸法→圧入力!F$35)^2)/((寸法→圧入力!D$36/寸法→圧入力!F$35)^2-1)</f>
        <v>34.480886640060604</v>
      </c>
      <c r="AP45" s="99">
        <f>テーブル4[[#This Row],[半径方向応力:Δ+20℃]]* (1+(寸法→圧入力!D$36/寸法→圧入力!F$35)^2)/((寸法→圧入力!D$36/寸法→圧入力!F$35)^2-1)</f>
        <v>27.934077303153327</v>
      </c>
      <c r="AQ45" s="99">
        <f>テーブル4[[#This Row],[半径方向応力:Δ+30℃]]* (1+(寸法→圧入力!D$36/寸法→圧入力!F$35)^2)/((寸法→圧入力!D$36/寸法→圧入力!F$35)^2-1)</f>
        <v>21.387267966241115</v>
      </c>
      <c r="AR45" s="99">
        <f>寸法→圧入力!$D$41</f>
        <v>150</v>
      </c>
    </row>
    <row r="46" spans="1:44">
      <c r="A46" s="177">
        <f t="shared" si="2"/>
        <v>0.4</v>
      </c>
      <c r="B46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138.39546277769466</v>
      </c>
      <c r="C46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140.14236292853835</v>
      </c>
      <c r="D46" s="99">
        <f>(A46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141.88244290007509</v>
      </c>
      <c r="E46" s="99">
        <f>テーブル3[[#This Row],[半径方向応力min]]*寸法→圧入力!D$48*寸法→圧入力!D$6/1000</f>
        <v>24.111155624824278</v>
      </c>
      <c r="F46" s="99">
        <f>テーブル3[[#This Row],[半径方向応力min]]*寸法→圧入力!E$48*寸法→圧入力!E$6/1000</f>
        <v>30.791218871613523</v>
      </c>
      <c r="G46" s="99">
        <f>テーブル3[[#This Row],[半径方向応力min]]*寸法→圧入力!F$48*寸法→圧入力!F$6/1000</f>
        <v>37.739746368737933</v>
      </c>
      <c r="H46" s="99">
        <f>寸法→圧入力!$D$32</f>
        <v>345</v>
      </c>
      <c r="I46" s="99">
        <f>寸法→圧入力!$D$41</f>
        <v>150</v>
      </c>
      <c r="J46" s="99">
        <f>テーブル3[[#This Row],[半径方向応力nor]]*2*寸法→圧入力!E$25^2/(寸法→圧入力!E$25^2-寸法→圧入力!E$26^2)</f>
        <v>709.22941753213638</v>
      </c>
      <c r="K46" s="99">
        <f>テーブル3[[#This Row],[半径方向応力nor]]* (1+(寸法→圧入力!E$36/寸法→圧入力!E$35)^2)/((寸法→圧入力!E$36/寸法→圧入力!E$35)^2-1)</f>
        <v>269.24305346405771</v>
      </c>
      <c r="N46">
        <f t="shared" si="1"/>
        <v>150</v>
      </c>
      <c r="O46" s="177">
        <f>寸法→圧入力!F$25*(1+寸法→圧入力!D$31*10^-6*(テーブル4[[#This Row],[inner温度'[℃']]]-20)) - 寸法→圧入力!D$35*(1+寸法→圧入力!D$40*10^-6*(テーブル4[[#This Row],[inner温度'[℃']]]+O$3-20))</f>
        <v>8.5340469999998447E-2</v>
      </c>
      <c r="P46" s="177">
        <f>寸法→圧入力!F$25*(1+寸法→圧入力!D$31*10^-6*(テーブル4[[#This Row],[inner温度'[℃']]]-20)) - 寸法→圧入力!D$35*(1+寸法→圧入力!D$40*10^-6*(テーブル4[[#This Row],[inner温度'[℃']]]+P$3-20))</f>
        <v>7.5911470000001202E-2</v>
      </c>
      <c r="Q46" s="177">
        <f>寸法→圧入力!F$25*(1+寸法→圧入力!D$31*10^-6*(テーブル4[[#This Row],[inner温度'[℃']]]-20)) - 寸法→圧入力!D$35*(1+寸法→圧入力!D$40*10^-6*(テーブル4[[#This Row],[inner温度'[℃']]]+Q$3-20))</f>
        <v>6.6482469999996852E-2</v>
      </c>
      <c r="R46" s="177">
        <f>寸法→圧入力!F$25*(1+寸法→圧入力!D$31*10^-6*(テーブル4[[#This Row],[inner温度'[℃']]]-20)) - 寸法→圧入力!D$35*(1+寸法→圧入力!D$40*10^-6*(テーブル4[[#This Row],[inner温度'[℃']]]+R$3-20))</f>
        <v>5.7053470000006712E-2</v>
      </c>
      <c r="S46" s="177">
        <f>寸法→圧入力!F$25*(1+寸法→圧入力!D$31*10^-6*(テーブル4[[#This Row],[inner温度'[℃']]]-20)) - 寸法→圧入力!D$35*(1+寸法→圧入力!D$40*10^-6*(テーブル4[[#This Row],[inner温度'[℃']]]+S$3-20))</f>
        <v>4.7624470000002361E-2</v>
      </c>
      <c r="T46" s="177">
        <f>寸法→圧入力!F$25*(1+寸法→圧入力!D$31*10^-6*(テーブル4[[#This Row],[inner温度'[℃']]]-20)) - 寸法→圧入力!D$35*(1+寸法→圧入力!D$40*10^-6*(テーブル4[[#This Row],[inner温度'[℃']]]+T$3-20))</f>
        <v>3.8195469999998011E-2</v>
      </c>
      <c r="U46" s="177">
        <f>寸法→圧入力!F$25*(1+寸法→圧入力!D$31*10^-6*(テーブル4[[#This Row],[inner温度'[℃']]]-20)) - 寸法→圧入力!D$35*(1+寸法→圧入力!D$40*10^-6*(テーブル4[[#This Row],[inner温度'[℃']]]+U$3-20))</f>
        <v>2.8766470000000766E-2</v>
      </c>
      <c r="V46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30.270785904600878</v>
      </c>
      <c r="W46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26.926262019339838</v>
      </c>
      <c r="X46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23.581738134076272</v>
      </c>
      <c r="Y46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20.23721424881775</v>
      </c>
      <c r="Z46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16.892690363554188</v>
      </c>
      <c r="AA46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13.548166478290623</v>
      </c>
      <c r="AB46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10.20364259302958</v>
      </c>
      <c r="AC46" s="99">
        <f>テーブル4[[#This Row],[半径方向応力:Δ-30℃]]*2*寸法→圧入力!D$25^2/(寸法→圧入力!D$25^2-寸法→圧入力!F$26^2)</f>
        <v>154.60054088151622</v>
      </c>
      <c r="AD46" s="99">
        <f>テーブル4[[#This Row],[半径方向応力:Δ-20℃]]*2*寸法→圧入力!D$25^2/(寸法→圧入力!D$25^2-寸法→圧入力!F$26^2)</f>
        <v>137.5192135819195</v>
      </c>
      <c r="AE46" s="99">
        <f>テーブル4[[#This Row],[半径方向応力:Δ-10℃]]*2*寸法→圧入力!D$25^2/(寸法→圧入力!D$25^2-寸法→圧入力!F$26^2)</f>
        <v>120.43788628230986</v>
      </c>
      <c r="AF46" s="99">
        <f>テーブル4[[#This Row],[半径方向応力:Δ0℃]]*2*寸法→圧入力!D$25^2/(寸法→圧入力!D$25^2-寸法→圧入力!F$26^2)</f>
        <v>103.35655898272599</v>
      </c>
      <c r="AG46" s="99">
        <f>テーブル4[[#This Row],[半径方向応力:Δ+10℃]]*2*寸法→圧入力!D$25^2/(寸法→圧入力!D$25^2-寸法→圧入力!F$26^2)</f>
        <v>86.275231683116374</v>
      </c>
      <c r="AH46" s="99">
        <f>テーブル4[[#This Row],[半径方向応力:Δ+20℃]]*2*寸法→圧入力!D$25^2/(寸法→圧入力!D$25^2-寸法→圧入力!F$26^2)</f>
        <v>69.193904383506762</v>
      </c>
      <c r="AI46" s="99">
        <f>テーブル4[[#This Row],[半径方向応力:Δ+30℃]]*2*寸法→圧入力!D$25^2/(寸法→圧入力!D$25^2-寸法→圧入力!F$26^2)</f>
        <v>52.112577083910011</v>
      </c>
      <c r="AJ46" s="99">
        <f>寸法→圧入力!$D$32</f>
        <v>345</v>
      </c>
      <c r="AK46" s="99">
        <f>テーブル4[[#This Row],[半径方向応力:Δ-30℃]]* (1+(寸法→圧入力!D$36/寸法→圧入力!F$35)^2)/((寸法→圧入力!D$36/寸法→圧入力!F$35)^2-1)</f>
        <v>59.254193001612954</v>
      </c>
      <c r="AL46" s="99">
        <f>テーブル4[[#This Row],[半径方向応力:Δ-20℃]]* (1+(寸法→圧入力!D$36/寸法→圧入力!F$35)^2)/((寸法→圧入力!D$36/寸法→圧入力!F$35)^2-1)</f>
        <v>52.707383664705681</v>
      </c>
      <c r="AM46" s="99">
        <f>テーブル4[[#This Row],[半径方向応力:Δ-10℃]]* (1+(寸法→圧入力!D$36/寸法→圧入力!F$35)^2)/((寸法→圧入力!D$36/寸法→圧入力!F$35)^2-1)</f>
        <v>46.160574327793462</v>
      </c>
      <c r="AN46" s="99">
        <f>テーブル4[[#This Row],[半径方向応力:Δ0℃]]* (1+(寸法→圧入力!D$36/寸法→圧入力!F$35)^2)/((寸法→圧入力!D$36/寸法→圧入力!F$35)^2-1)</f>
        <v>39.61376499089112</v>
      </c>
      <c r="AO46" s="99">
        <f>テーブル4[[#This Row],[半径方向応力:Δ+10℃]]* (1+(寸法→圧入力!D$36/寸法→圧入力!F$35)^2)/((寸法→圧入力!D$36/寸法→圧入力!F$35)^2-1)</f>
        <v>33.066955653978908</v>
      </c>
      <c r="AP46" s="99">
        <f>テーブル4[[#This Row],[半径方向応力:Δ+20℃]]* (1+(寸法→圧入力!D$36/寸法→圧入力!F$35)^2)/((寸法→圧入力!D$36/寸法→圧入力!F$35)^2-1)</f>
        <v>26.5201463170667</v>
      </c>
      <c r="AQ46" s="99">
        <f>テーブル4[[#This Row],[半径方向応力:Δ+30℃]]* (1+(寸法→圧入力!D$36/寸法→圧入力!F$35)^2)/((寸法→圧入力!D$36/寸法→圧入力!F$35)^2-1)</f>
        <v>19.97333698015942</v>
      </c>
      <c r="AR46" s="99">
        <f>寸法→圧入力!$D$41</f>
        <v>150</v>
      </c>
    </row>
    <row r="47" spans="1:44">
      <c r="A47" s="177">
        <f t="shared" si="2"/>
        <v>0.41000000000000003</v>
      </c>
      <c r="B47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141.85534934713704</v>
      </c>
      <c r="C47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143.64592200175181</v>
      </c>
      <c r="D47" s="99">
        <f>(A47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145.42950397257698</v>
      </c>
      <c r="E47" s="99">
        <f>テーブル3[[#This Row],[半径方向応力min]]*寸法→圧入力!D$48*寸法→圧入力!D$6/1000</f>
        <v>24.71393451544489</v>
      </c>
      <c r="F47" s="99">
        <f>テーブル3[[#This Row],[半径方向応力min]]*寸法→圧入力!E$48*寸法→圧入力!E$6/1000</f>
        <v>31.560999343403868</v>
      </c>
      <c r="G47" s="99">
        <f>テーブル3[[#This Row],[半径方向応力min]]*寸法→圧入力!F$48*寸法→圧入力!F$6/1000</f>
        <v>38.68324002795638</v>
      </c>
      <c r="H47" s="99">
        <f>寸法→圧入力!$D$32</f>
        <v>345</v>
      </c>
      <c r="I47" s="99">
        <f>寸法→圧入力!$D$41</f>
        <v>150</v>
      </c>
      <c r="J47" s="99">
        <f>テーブル3[[#This Row],[半径方向応力nor]]*2*寸法→圧入力!E$25^2/(寸法→圧入力!E$25^2-寸法→圧入力!E$26^2)</f>
        <v>726.96015297043982</v>
      </c>
      <c r="K47" s="99">
        <f>テーブル3[[#This Row],[半径方向応力nor]]* (1+(寸法→圧入力!E$36/寸法→圧入力!E$35)^2)/((寸法→圧入力!E$36/寸法→圧入力!E$35)^2-1)</f>
        <v>275.97412980065917</v>
      </c>
      <c r="N47">
        <f t="shared" si="1"/>
        <v>155</v>
      </c>
      <c r="O47" s="177">
        <f>寸法→圧入力!F$25*(1+寸法→圧入力!D$31*10^-6*(テーブル4[[#This Row],[inner温度'[℃']]]-20)) - 寸法→圧入力!D$35*(1+寸法→圧入力!D$40*10^-6*(テーブル4[[#This Row],[inner温度'[℃']]]+O$3-20))</f>
        <v>8.3304065000000094E-2</v>
      </c>
      <c r="P47" s="177">
        <f>寸法→圧入力!F$25*(1+寸法→圧入力!D$31*10^-6*(テーブル4[[#This Row],[inner温度'[℃']]]-20)) - 寸法→圧入力!D$35*(1+寸法→圧入力!D$40*10^-6*(テーブル4[[#This Row],[inner温度'[℃']]]+P$3-20))</f>
        <v>7.3875064999995743E-2</v>
      </c>
      <c r="Q47" s="177">
        <f>寸法→圧入力!F$25*(1+寸法→圧入力!D$31*10^-6*(テーブル4[[#This Row],[inner温度'[℃']]]-20)) - 寸法→圧入力!D$35*(1+寸法→圧入力!D$40*10^-6*(テーブル4[[#This Row],[inner温度'[℃']]]+Q$3-20))</f>
        <v>6.4446064999998498E-2</v>
      </c>
      <c r="R47" s="177">
        <f>寸法→圧入力!F$25*(1+寸法→圧入力!D$31*10^-6*(テーブル4[[#This Row],[inner温度'[℃']]]-20)) - 寸法→圧入力!D$35*(1+寸法→圧入力!D$40*10^-6*(テーブル4[[#This Row],[inner温度'[℃']]]+R$3-20))</f>
        <v>5.5017065000001253E-2</v>
      </c>
      <c r="S47" s="177">
        <f>寸法→圧入力!F$25*(1+寸法→圧入力!D$31*10^-6*(テーブル4[[#This Row],[inner温度'[℃']]]-20)) - 寸法→圧入力!D$35*(1+寸法→圧入力!D$40*10^-6*(テーブル4[[#This Row],[inner温度'[℃']]]+S$3-20))</f>
        <v>4.5588065000004008E-2</v>
      </c>
      <c r="T47" s="177">
        <f>寸法→圧入力!F$25*(1+寸法→圧入力!D$31*10^-6*(テーブル4[[#This Row],[inner温度'[℃']]]-20)) - 寸法→圧入力!D$35*(1+寸法→圧入力!D$40*10^-6*(テーブル4[[#This Row],[inner温度'[℃']]]+T$3-20))</f>
        <v>3.6159064999999657E-2</v>
      </c>
      <c r="U47" s="177">
        <f>寸法→圧入力!F$25*(1+寸法→圧入力!D$31*10^-6*(テーブル4[[#This Row],[inner温度'[℃']]]-20)) - 寸法→圧入力!D$35*(1+寸法→圧入力!D$40*10^-6*(テーブル4[[#This Row],[inner温度'[℃']]]+U$3-20))</f>
        <v>2.6730064999995307E-2</v>
      </c>
      <c r="V47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29.548460614266645</v>
      </c>
      <c r="W47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26.203936729003079</v>
      </c>
      <c r="X47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22.859412843742039</v>
      </c>
      <c r="Y47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19.514888958480995</v>
      </c>
      <c r="Z47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16.170365073219951</v>
      </c>
      <c r="AA47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12.825841187956389</v>
      </c>
      <c r="AB47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9.4813173026928261</v>
      </c>
      <c r="AC47" s="99">
        <f>テーブル4[[#This Row],[半径方向応力:Δ-30℃]]*2*寸法→圧入力!D$25^2/(寸法→圧入力!D$25^2-寸法→圧入力!F$26^2)</f>
        <v>150.91144338236285</v>
      </c>
      <c r="AD47" s="99">
        <f>テーブル4[[#This Row],[半径方向応力:Δ-20℃]]*2*寸法→圧入力!D$25^2/(寸法→圧入力!D$25^2-寸法→圧入力!F$26^2)</f>
        <v>133.83011608275319</v>
      </c>
      <c r="AE47" s="99">
        <f>テーブル4[[#This Row],[半径方向応力:Δ-10℃]]*2*寸法→圧入力!D$25^2/(寸法→圧入力!D$25^2-寸法→圧入力!F$26^2)</f>
        <v>116.74878878315647</v>
      </c>
      <c r="AF47" s="99">
        <f>テーブル4[[#This Row],[半径方向応力:Δ0℃]]*2*寸法→圧入力!D$25^2/(寸法→圧入力!D$25^2-寸法→圧入力!F$26^2)</f>
        <v>99.667461483559734</v>
      </c>
      <c r="AG47" s="99">
        <f>テーブル4[[#This Row],[半径方向応力:Δ+10℃]]*2*寸法→圧入力!D$25^2/(寸法→圧入力!D$25^2-寸法→圧入力!F$26^2)</f>
        <v>82.586134183962983</v>
      </c>
      <c r="AH47" s="99">
        <f>テーブル4[[#This Row],[半径方向応力:Δ+20℃]]*2*寸法→圧入力!D$25^2/(寸法→圧入力!D$25^2-寸法→圧入力!F$26^2)</f>
        <v>65.504806884353357</v>
      </c>
      <c r="AI47" s="99">
        <f>テーブル4[[#This Row],[半径方向応力:Δ+30℃]]*2*寸法→圧入力!D$25^2/(寸法→圧入力!D$25^2-寸法→圧入力!F$26^2)</f>
        <v>48.423479584743752</v>
      </c>
      <c r="AJ47" s="99">
        <f>寸法→圧入力!$D$32</f>
        <v>345</v>
      </c>
      <c r="AK47" s="99">
        <f>テーブル4[[#This Row],[半径方向応力:Δ-30℃]]* (1+(寸法→圧入力!D$36/寸法→圧入力!F$35)^2)/((寸法→圧入力!D$36/寸法→圧入力!F$35)^2-1)</f>
        <v>57.840262015536197</v>
      </c>
      <c r="AL47" s="99">
        <f>テーブル4[[#This Row],[半径方向応力:Δ-20℃]]* (1+(寸法→圧入力!D$36/寸法→圧入力!F$35)^2)/((寸法→圧入力!D$36/寸法→圧入力!F$35)^2-1)</f>
        <v>51.293452678623986</v>
      </c>
      <c r="AM47" s="99">
        <f>テーブル4[[#This Row],[半径方向応力:Δ-10℃]]* (1+(寸法→圧入力!D$36/寸法→圧入力!F$35)^2)/((寸法→圧入力!D$36/寸法→圧入力!F$35)^2-1)</f>
        <v>44.746643341716712</v>
      </c>
      <c r="AN47" s="99">
        <f>テーブル4[[#This Row],[半径方向応力:Δ0℃]]* (1+(寸法→圧入力!D$36/寸法→圧入力!F$35)^2)/((寸法→圧入力!D$36/寸法→圧入力!F$35)^2-1)</f>
        <v>38.199834004809425</v>
      </c>
      <c r="AO47" s="99">
        <f>テーブル4[[#This Row],[半径方向応力:Δ+10℃]]* (1+(寸法→圧入力!D$36/寸法→圧入力!F$35)^2)/((寸法→圧入力!D$36/寸法→圧入力!F$35)^2-1)</f>
        <v>31.653024667902145</v>
      </c>
      <c r="AP47" s="99">
        <f>テーブル4[[#This Row],[半径方向応力:Δ+20℃]]* (1+(寸法→圧入力!D$36/寸法→圧入力!F$35)^2)/((寸法→圧入力!D$36/寸法→圧入力!F$35)^2-1)</f>
        <v>25.106215330989937</v>
      </c>
      <c r="AQ47" s="99">
        <f>テーブル4[[#This Row],[半径方向応力:Δ+30℃]]* (1+(寸法→圧入力!D$36/寸法→圧入力!F$35)^2)/((寸法→圧入力!D$36/寸法→圧入力!F$35)^2-1)</f>
        <v>18.559405994077729</v>
      </c>
      <c r="AR47" s="99">
        <f>寸法→圧入力!$D$41</f>
        <v>150</v>
      </c>
    </row>
    <row r="48" spans="1:44">
      <c r="A48" s="177">
        <f t="shared" si="2"/>
        <v>0.42</v>
      </c>
      <c r="B48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145.31523591657938</v>
      </c>
      <c r="C48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147.14948107496525</v>
      </c>
      <c r="D48" s="99">
        <f>(A48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148.97656504507884</v>
      </c>
      <c r="E48" s="99">
        <f>テーブル3[[#This Row],[半径方向応力min]]*寸法→圧入力!D$48*寸法→圧入力!D$6/1000</f>
        <v>25.316713406065489</v>
      </c>
      <c r="F48" s="99">
        <f>テーブル3[[#This Row],[半径方向応力min]]*寸法→圧入力!E$48*寸法→圧入力!E$6/1000</f>
        <v>32.330779815194198</v>
      </c>
      <c r="G48" s="99">
        <f>テーブル3[[#This Row],[半径方向応力min]]*寸法→圧入力!F$48*寸法→圧入力!F$6/1000</f>
        <v>39.62673368717482</v>
      </c>
      <c r="H48" s="99">
        <f>寸法→圧入力!$D$32</f>
        <v>345</v>
      </c>
      <c r="I48" s="99">
        <f>寸法→圧入力!$D$41</f>
        <v>150</v>
      </c>
      <c r="J48" s="99">
        <f>テーブル3[[#This Row],[半径方向応力nor]]*2*寸法→圧入力!E$25^2/(寸法→圧入力!E$25^2-寸法→圧入力!E$26^2)</f>
        <v>744.69088840874304</v>
      </c>
      <c r="K48" s="99">
        <f>テーブル3[[#This Row],[半径方向応力nor]]* (1+(寸法→圧入力!E$36/寸法→圧入力!E$35)^2)/((寸法→圧入力!E$36/寸法→圧入力!E$35)^2-1)</f>
        <v>282.70520613726057</v>
      </c>
      <c r="N48">
        <f t="shared" si="1"/>
        <v>160</v>
      </c>
      <c r="O48" s="177">
        <f>寸法→圧入力!F$25*(1+寸法→圧入力!D$31*10^-6*(テーブル4[[#This Row],[inner温度'[℃']]]-20)) - 寸法→圧入力!D$35*(1+寸法→圧入力!D$40*10^-6*(テーブル4[[#This Row],[inner温度'[℃']]]+O$3-20))</f>
        <v>8.126766000000174E-2</v>
      </c>
      <c r="P48" s="177">
        <f>寸法→圧入力!F$25*(1+寸法→圧入力!D$31*10^-6*(テーブル4[[#This Row],[inner温度'[℃']]]-20)) - 寸法→圧入力!D$35*(1+寸法→圧入力!D$40*10^-6*(テーブル4[[#This Row],[inner温度'[℃']]]+P$3-20))</f>
        <v>7.183865999999739E-2</v>
      </c>
      <c r="Q48" s="177">
        <f>寸法→圧入力!F$25*(1+寸法→圧入力!D$31*10^-6*(テーブル4[[#This Row],[inner温度'[℃']]]-20)) - 寸法→圧入力!D$35*(1+寸法→圧入力!D$40*10^-6*(テーブル4[[#This Row],[inner温度'[℃']]]+Q$3-20))</f>
        <v>6.240966000000725E-2</v>
      </c>
      <c r="R48" s="177">
        <f>寸法→圧入力!F$25*(1+寸法→圧入力!D$31*10^-6*(テーブル4[[#This Row],[inner温度'[℃']]]-20)) - 寸法→圧入力!D$35*(1+寸法→圧入力!D$40*10^-6*(テーブル4[[#This Row],[inner温度'[℃']]]+R$3-20))</f>
        <v>5.2980660000002899E-2</v>
      </c>
      <c r="S48" s="177">
        <f>寸法→圧入力!F$25*(1+寸法→圧入力!D$31*10^-6*(テーブル4[[#This Row],[inner温度'[℃']]]-20)) - 寸法→圧入力!D$35*(1+寸法→圧入力!D$40*10^-6*(テーブル4[[#This Row],[inner温度'[℃']]]+S$3-20))</f>
        <v>4.3551659999998549E-2</v>
      </c>
      <c r="T48" s="177">
        <f>寸法→圧入力!F$25*(1+寸法→圧入力!D$31*10^-6*(テーブル4[[#This Row],[inner温度'[℃']]]-20)) - 寸法→圧入力!D$35*(1+寸法→圧入力!D$40*10^-6*(テーブル4[[#This Row],[inner温度'[℃']]]+T$3-20))</f>
        <v>3.4122660000001304E-2</v>
      </c>
      <c r="U48" s="177">
        <f>寸法→圧入力!F$25*(1+寸法→圧入力!D$31*10^-6*(テーブル4[[#This Row],[inner温度'[℃']]]-20)) - 寸法→圧入力!D$35*(1+寸法→圧入力!D$40*10^-6*(テーブル4[[#This Row],[inner温度'[℃']]]+U$3-20))</f>
        <v>2.4693659999996953E-2</v>
      </c>
      <c r="V48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28.826135323932409</v>
      </c>
      <c r="W48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25.481611438668846</v>
      </c>
      <c r="X48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22.137087553410325</v>
      </c>
      <c r="Y48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18.792563668146759</v>
      </c>
      <c r="Z48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15.448039782883196</v>
      </c>
      <c r="AA48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12.103515897622154</v>
      </c>
      <c r="AB48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8.7589920123585898</v>
      </c>
      <c r="AC48" s="99">
        <f>テーブル4[[#This Row],[半径方向応力:Δ-30℃]]*2*寸法→圧入力!D$25^2/(寸法→圧入力!D$25^2-寸法→圧入力!F$26^2)</f>
        <v>147.22234588320944</v>
      </c>
      <c r="AD48" s="99">
        <f>テーブル4[[#This Row],[半径方向応力:Δ-20℃]]*2*寸法→圧入力!D$25^2/(寸法→圧入力!D$25^2-寸法→圧入力!F$26^2)</f>
        <v>130.14101858359982</v>
      </c>
      <c r="AE48" s="99">
        <f>テーブル4[[#This Row],[半径方向応力:Δ-10℃]]*2*寸法→圧入力!D$25^2/(寸法→圧入力!D$25^2-寸法→圧入力!F$26^2)</f>
        <v>113.05969128401597</v>
      </c>
      <c r="AF48" s="99">
        <f>テーブル4[[#This Row],[半径方向応力:Δ0℃]]*2*寸法→圧入力!D$25^2/(寸法→圧入力!D$25^2-寸法→圧入力!F$26^2)</f>
        <v>95.978363984406329</v>
      </c>
      <c r="AG48" s="99">
        <f>テーブル4[[#This Row],[半径方向応力:Δ+10℃]]*2*寸法→圧入力!D$25^2/(寸法→圧入力!D$25^2-寸法→圧入力!F$26^2)</f>
        <v>78.897036684796717</v>
      </c>
      <c r="AH48" s="99">
        <f>テーブル4[[#This Row],[半径方向応力:Δ+20℃]]*2*寸法→圧入力!D$25^2/(寸法→圧入力!D$25^2-寸法→圧入力!F$26^2)</f>
        <v>61.815709385199966</v>
      </c>
      <c r="AI48" s="99">
        <f>テーブル4[[#This Row],[半径方向応力:Δ+30℃]]*2*寸法→圧入力!D$25^2/(寸法→圧入力!D$25^2-寸法→圧入力!F$26^2)</f>
        <v>44.734382085590347</v>
      </c>
      <c r="AJ48" s="99">
        <f>寸法→圧入力!$D$32</f>
        <v>345</v>
      </c>
      <c r="AK48" s="99">
        <f>テーブル4[[#This Row],[半径方向応力:Δ-30℃]]* (1+(寸法→圧入力!D$36/寸法→圧入力!F$35)^2)/((寸法→圧入力!D$36/寸法→圧入力!F$35)^2-1)</f>
        <v>56.42633102945944</v>
      </c>
      <c r="AL48" s="99">
        <f>テーブル4[[#This Row],[半径方向応力:Δ-20℃]]* (1+(寸法→圧入力!D$36/寸法→圧入力!F$35)^2)/((寸法→圧入力!D$36/寸法→圧入力!F$35)^2-1)</f>
        <v>49.879521692547222</v>
      </c>
      <c r="AM48" s="99">
        <f>テーブル4[[#This Row],[半径方向応力:Δ-10℃]]* (1+(寸法→圧入力!D$36/寸法→圧入力!F$35)^2)/((寸法→圧入力!D$36/寸法→圧入力!F$35)^2-1)</f>
        <v>43.33271235564488</v>
      </c>
      <c r="AN48" s="99">
        <f>テーブル4[[#This Row],[半径方向応力:Δ0℃]]* (1+(寸法→圧入力!D$36/寸法→圧入力!F$35)^2)/((寸法→圧入力!D$36/寸法→圧入力!F$35)^2-1)</f>
        <v>36.785903018732668</v>
      </c>
      <c r="AO48" s="99">
        <f>テーブル4[[#This Row],[半径方向応力:Δ+10℃]]* (1+(寸法→圧入力!D$36/寸法→圧入力!F$35)^2)/((寸法→圧入力!D$36/寸法→圧入力!F$35)^2-1)</f>
        <v>30.239093681820453</v>
      </c>
      <c r="AP48" s="99">
        <f>テーブル4[[#This Row],[半径方向応力:Δ+20℃]]* (1+(寸法→圧入力!D$36/寸法→圧入力!F$35)^2)/((寸法→圧入力!D$36/寸法→圧入力!F$35)^2-1)</f>
        <v>23.692284344913176</v>
      </c>
      <c r="AQ48" s="99">
        <f>テーブル4[[#This Row],[半径方向応力:Δ+30℃]]* (1+(寸法→圧入力!D$36/寸法→圧入力!F$35)^2)/((寸法→圧入力!D$36/寸法→圧入力!F$35)^2-1)</f>
        <v>17.145475008000961</v>
      </c>
      <c r="AR48" s="99">
        <f>寸法→圧入力!$D$41</f>
        <v>150</v>
      </c>
    </row>
    <row r="49" spans="1:44">
      <c r="A49" s="177">
        <f t="shared" si="2"/>
        <v>0.43</v>
      </c>
      <c r="B49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148.77512248602176</v>
      </c>
      <c r="C49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150.65304014817872</v>
      </c>
      <c r="D49" s="99">
        <f>(A49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152.5236261175807</v>
      </c>
      <c r="E49" s="99">
        <f>テーブル3[[#This Row],[半径方向応力min]]*寸法→圧入力!D$48*寸法→圧入力!D$6/1000</f>
        <v>25.919492296686098</v>
      </c>
      <c r="F49" s="99">
        <f>テーブル3[[#This Row],[半径方向応力min]]*寸法→圧入力!E$48*寸法→圧入力!E$6/1000</f>
        <v>33.100560286984539</v>
      </c>
      <c r="G49" s="99">
        <f>テーブル3[[#This Row],[半径方向応力min]]*寸法→圧入力!F$48*寸法→圧入力!F$6/1000</f>
        <v>40.570227346393274</v>
      </c>
      <c r="H49" s="99">
        <f>寸法→圧入力!$D$32</f>
        <v>345</v>
      </c>
      <c r="I49" s="99">
        <f>寸法→圧入力!$D$41</f>
        <v>150</v>
      </c>
      <c r="J49" s="99">
        <f>テーブル3[[#This Row],[半径方向応力nor]]*2*寸法→圧入力!E$25^2/(寸法→圧入力!E$25^2-寸法→圧入力!E$26^2)</f>
        <v>762.42162384704659</v>
      </c>
      <c r="K49" s="99">
        <f>テーブル3[[#This Row],[半径方向応力nor]]* (1+(寸法→圧入力!E$36/寸法→圧入力!E$35)^2)/((寸法→圧入力!E$36/寸法→圧入力!E$35)^2-1)</f>
        <v>289.43628247386204</v>
      </c>
      <c r="N49">
        <f t="shared" si="1"/>
        <v>165</v>
      </c>
      <c r="O49" s="177">
        <f>寸法→圧入力!F$25*(1+寸法→圧入力!D$31*10^-6*(テーブル4[[#This Row],[inner温度'[℃']]]-20)) - 寸法→圧入力!D$35*(1+寸法→圧入力!D$40*10^-6*(テーブル4[[#This Row],[inner温度'[℃']]]+O$3-20))</f>
        <v>7.9231254999996281E-2</v>
      </c>
      <c r="P49" s="177">
        <f>寸法→圧入力!F$25*(1+寸法→圧入力!D$31*10^-6*(テーブル4[[#This Row],[inner温度'[℃']]]-20)) - 寸法→圧入力!D$35*(1+寸法→圧入力!D$40*10^-6*(テーブル4[[#This Row],[inner温度'[℃']]]+P$3-20))</f>
        <v>6.9802254999999036E-2</v>
      </c>
      <c r="Q49" s="177">
        <f>寸法→圧入力!F$25*(1+寸法→圧入力!D$31*10^-6*(テーブル4[[#This Row],[inner温度'[℃']]]-20)) - 寸法→圧入力!D$35*(1+寸法→圧入力!D$40*10^-6*(テーブル4[[#This Row],[inner温度'[℃']]]+Q$3-20))</f>
        <v>6.0373255000001791E-2</v>
      </c>
      <c r="R49" s="177">
        <f>寸法→圧入力!F$25*(1+寸法→圧入力!D$31*10^-6*(テーブル4[[#This Row],[inner温度'[℃']]]-20)) - 寸法→圧入力!D$35*(1+寸法→圧入力!D$40*10^-6*(テーブル4[[#This Row],[inner温度'[℃']]]+R$3-20))</f>
        <v>5.0944255000004546E-2</v>
      </c>
      <c r="S49" s="177">
        <f>寸法→圧入力!F$25*(1+寸法→圧入力!D$31*10^-6*(テーブル4[[#This Row],[inner温度'[℃']]]-20)) - 寸法→圧入力!D$35*(1+寸法→圧入力!D$40*10^-6*(テーブル4[[#This Row],[inner温度'[℃']]]+S$3-20))</f>
        <v>4.1515255000000195E-2</v>
      </c>
      <c r="T49" s="177">
        <f>寸法→圧入力!F$25*(1+寸法→圧入力!D$31*10^-6*(テーブル4[[#This Row],[inner温度'[℃']]]-20)) - 寸法→圧入力!D$35*(1+寸法→圧入力!D$40*10^-6*(テーブル4[[#This Row],[inner温度'[℃']]]+T$3-20))</f>
        <v>3.2086254999995845E-2</v>
      </c>
      <c r="U49" s="177">
        <f>寸法→圧入力!F$25*(1+寸法→圧入力!D$31*10^-6*(テーブル4[[#This Row],[inner温度'[℃']]]-20)) - 寸法→圧入力!D$35*(1+寸法→圧入力!D$40*10^-6*(テーブル4[[#This Row],[inner温度'[℃']]]+U$3-20))</f>
        <v>2.2657254999998599E-2</v>
      </c>
      <c r="V49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28.103810033595654</v>
      </c>
      <c r="W49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24.759286148334613</v>
      </c>
      <c r="X49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21.41476226307357</v>
      </c>
      <c r="Y49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18.070238377812526</v>
      </c>
      <c r="Z49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14.725714492548962</v>
      </c>
      <c r="AA49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11.381190607285399</v>
      </c>
      <c r="AB49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8.0366667220243553</v>
      </c>
      <c r="AC49" s="99">
        <f>テーブル4[[#This Row],[半径方向応力:Δ-30℃]]*2*寸法→圧入力!D$25^2/(寸法→圧入力!D$25^2-寸法→圧入力!F$26^2)</f>
        <v>143.53324838404319</v>
      </c>
      <c r="AD49" s="99">
        <f>テーブル4[[#This Row],[半径方向応力:Δ-20℃]]*2*寸法→圧入力!D$25^2/(寸法→圧入力!D$25^2-寸法→圧入力!F$26^2)</f>
        <v>126.45192108444644</v>
      </c>
      <c r="AE49" s="99">
        <f>テーブル4[[#This Row],[半径方向応力:Δ-10℃]]*2*寸法→圧入力!D$25^2/(寸法→圧入力!D$25^2-寸法→圧入力!F$26^2)</f>
        <v>109.37059378484969</v>
      </c>
      <c r="AF49" s="99">
        <f>テーブル4[[#This Row],[半径方向応力:Δ0℃]]*2*寸法→圧入力!D$25^2/(寸法→圧入力!D$25^2-寸法→圧入力!F$26^2)</f>
        <v>92.289266485252938</v>
      </c>
      <c r="AG49" s="99">
        <f>テーブル4[[#This Row],[半径方向応力:Δ+10℃]]*2*寸法→圧入力!D$25^2/(寸法→圧入力!D$25^2-寸法→圧入力!F$26^2)</f>
        <v>75.207939185643312</v>
      </c>
      <c r="AH49" s="99">
        <f>テーブル4[[#This Row],[半径方向応力:Δ+20℃]]*2*寸法→圧入力!D$25^2/(寸法→圧入力!D$25^2-寸法→圧入力!F$26^2)</f>
        <v>58.126611886033707</v>
      </c>
      <c r="AI49" s="99">
        <f>テーブル4[[#This Row],[半径方向応力:Δ+30℃]]*2*寸法→圧入力!D$25^2/(寸法→圧入力!D$25^2-寸法→圧入力!F$26^2)</f>
        <v>41.045284586436956</v>
      </c>
      <c r="AJ49" s="99">
        <f>寸法→圧入力!$D$32</f>
        <v>345</v>
      </c>
      <c r="AK49" s="99">
        <f>テーブル4[[#This Row],[半径方向応力:Δ-30℃]]* (1+(寸法→圧入力!D$36/寸法→圧入力!F$35)^2)/((寸法→圧入力!D$36/寸法→圧入力!F$35)^2-1)</f>
        <v>55.012400043377738</v>
      </c>
      <c r="AL49" s="99">
        <f>テーブル4[[#This Row],[半径方向応力:Δ-20℃]]* (1+(寸法→圧入力!D$36/寸法→圧入力!F$35)^2)/((寸法→圧入力!D$36/寸法→圧入力!F$35)^2-1)</f>
        <v>48.465590706470465</v>
      </c>
      <c r="AM49" s="99">
        <f>テーブル4[[#This Row],[半径方向応力:Δ-10℃]]* (1+(寸法→圧入力!D$36/寸法→圧入力!F$35)^2)/((寸法→圧入力!D$36/寸法→圧入力!F$35)^2-1)</f>
        <v>41.918781369563185</v>
      </c>
      <c r="AN49" s="99">
        <f>テーブル4[[#This Row],[半径方向応力:Δ0℃]]* (1+(寸法→圧入力!D$36/寸法→圧入力!F$35)^2)/((寸法→圧入力!D$36/寸法→圧入力!F$35)^2-1)</f>
        <v>35.371972032655904</v>
      </c>
      <c r="AO49" s="99">
        <f>テーブル4[[#This Row],[半径方向応力:Δ+10℃]]* (1+(寸法→圧入力!D$36/寸法→圧入力!F$35)^2)/((寸法→圧入力!D$36/寸法→圧入力!F$35)^2-1)</f>
        <v>28.825162695743693</v>
      </c>
      <c r="AP49" s="99">
        <f>テーブル4[[#This Row],[半径方向応力:Δ+20℃]]* (1+(寸法→圧入力!D$36/寸法→圧入力!F$35)^2)/((寸法→圧入力!D$36/寸法→圧入力!F$35)^2-1)</f>
        <v>22.278353358831481</v>
      </c>
      <c r="AQ49" s="99">
        <f>テーブル4[[#This Row],[半径方向応力:Δ+30℃]]* (1+(寸法→圧入力!D$36/寸法→圧入力!F$35)^2)/((寸法→圧入力!D$36/寸法→圧入力!F$35)^2-1)</f>
        <v>15.731544021924201</v>
      </c>
      <c r="AR49" s="99">
        <f>寸法→圧入力!$D$41</f>
        <v>150</v>
      </c>
    </row>
    <row r="50" spans="1:44">
      <c r="A50" s="177">
        <f t="shared" si="2"/>
        <v>0.44</v>
      </c>
      <c r="B50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152.23500905546413</v>
      </c>
      <c r="C50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154.15659922139218</v>
      </c>
      <c r="D50" s="99">
        <f>(A50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156.07068719008259</v>
      </c>
      <c r="E50" s="99">
        <f>テーブル3[[#This Row],[半径方向応力min]]*寸法→圧入力!D$48*寸法→圧入力!D$6/1000</f>
        <v>26.522271187306707</v>
      </c>
      <c r="F50" s="99">
        <f>テーブル3[[#This Row],[半径方向応力min]]*寸法→圧入力!E$48*寸法→圧入力!E$6/1000</f>
        <v>33.87034075877488</v>
      </c>
      <c r="G50" s="99">
        <f>テーブル3[[#This Row],[半径方向応力min]]*寸法→圧入力!F$48*寸法→圧入力!F$6/1000</f>
        <v>41.513721005611728</v>
      </c>
      <c r="H50" s="99">
        <f>寸法→圧入力!$D$32</f>
        <v>345</v>
      </c>
      <c r="I50" s="99">
        <f>寸法→圧入力!$D$41</f>
        <v>150</v>
      </c>
      <c r="J50" s="99">
        <f>テーブル3[[#This Row],[半径方向応力nor]]*2*寸法→圧入力!E$25^2/(寸法→圧入力!E$25^2-寸法→圧入力!E$26^2)</f>
        <v>780.15235928535003</v>
      </c>
      <c r="K50" s="99">
        <f>テーブル3[[#This Row],[半径方向応力nor]]* (1+(寸法→圧入力!E$36/寸法→圧入力!E$35)^2)/((寸法→圧入力!E$36/寸法→圧入力!E$35)^2-1)</f>
        <v>296.16735881046355</v>
      </c>
      <c r="N50">
        <f t="shared" si="1"/>
        <v>170</v>
      </c>
      <c r="O50" s="177">
        <f>寸法→圧入力!F$25*(1+寸法→圧入力!D$31*10^-6*(テーブル4[[#This Row],[inner温度'[℃']]]-20)) - 寸法→圧入力!D$35*(1+寸法→圧入力!D$40*10^-6*(テーブル4[[#This Row],[inner温度'[℃']]]+O$3-20))</f>
        <v>7.7194849999990822E-2</v>
      </c>
      <c r="P50" s="177">
        <f>寸法→圧入力!F$25*(1+寸法→圧入力!D$31*10^-6*(テーブル4[[#This Row],[inner温度'[℃']]]-20)) - 寸法→圧入力!D$35*(1+寸法→圧入力!D$40*10^-6*(テーブル4[[#This Row],[inner温度'[℃']]]+P$3-20))</f>
        <v>6.7765850000000682E-2</v>
      </c>
      <c r="Q50" s="177">
        <f>寸法→圧入力!F$25*(1+寸法→圧入力!D$31*10^-6*(テーブル4[[#This Row],[inner温度'[℃']]]-20)) - 寸法→圧入力!D$35*(1+寸法→圧入力!D$40*10^-6*(テーブル4[[#This Row],[inner温度'[℃']]]+Q$3-20))</f>
        <v>5.8336849999996332E-2</v>
      </c>
      <c r="R50" s="177">
        <f>寸法→圧入力!F$25*(1+寸法→圧入力!D$31*10^-6*(テーブル4[[#This Row],[inner温度'[℃']]]-20)) - 寸法→圧入力!D$35*(1+寸法→圧入力!D$40*10^-6*(テーブル4[[#This Row],[inner温度'[℃']]]+R$3-20))</f>
        <v>4.8907849999991981E-2</v>
      </c>
      <c r="S50" s="177">
        <f>寸法→圧入力!F$25*(1+寸法→圧入力!D$31*10^-6*(テーブル4[[#This Row],[inner温度'[℃']]]-20)) - 寸法→圧入力!D$35*(1+寸法→圧入力!D$40*10^-6*(テーブル4[[#This Row],[inner温度'[℃']]]+S$3-20))</f>
        <v>3.9478849999994736E-2</v>
      </c>
      <c r="T50" s="177">
        <f>寸法→圧入力!F$25*(1+寸法→圧入力!D$31*10^-6*(テーブル4[[#This Row],[inner温度'[℃']]]-20)) - 寸法→圧入力!D$35*(1+寸法→圧入力!D$40*10^-6*(テーブル4[[#This Row],[inner温度'[℃']]]+T$3-20))</f>
        <v>3.0049849999990386E-2</v>
      </c>
      <c r="U50" s="177">
        <f>寸法→圧入力!F$25*(1+寸法→圧入力!D$31*10^-6*(テーブル4[[#This Row],[inner温度'[℃']]]-20)) - 寸法→圧入力!D$35*(1+寸法→圧入力!D$40*10^-6*(テーブル4[[#This Row],[inner温度'[℃']]]+U$3-20))</f>
        <v>2.0620850000000246E-2</v>
      </c>
      <c r="V50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27.381484743258902</v>
      </c>
      <c r="W50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24.036960858000377</v>
      </c>
      <c r="X50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20.692436972736814</v>
      </c>
      <c r="Y50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17.347913087473252</v>
      </c>
      <c r="Z50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14.003389202212206</v>
      </c>
      <c r="AA50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10.658865316948644</v>
      </c>
      <c r="AB50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7.3143414316901207</v>
      </c>
      <c r="AC50" s="99">
        <f>テーブル4[[#This Row],[半径方向応力:Δ-30℃]]*2*寸法→圧入力!D$25^2/(寸法→圧入力!D$25^2-寸法→圧入力!F$26^2)</f>
        <v>139.84415088487691</v>
      </c>
      <c r="AD50" s="99">
        <f>テーブル4[[#This Row],[半径方向応力:Δ-20℃]]*2*寸法→圧入力!D$25^2/(寸法→圧入力!D$25^2-寸法→圧入力!F$26^2)</f>
        <v>122.76282358529303</v>
      </c>
      <c r="AE50" s="99">
        <f>テーブル4[[#This Row],[半径方向応力:Δ-10℃]]*2*寸法→圧入力!D$25^2/(寸法→圧入力!D$25^2-寸法→圧入力!F$26^2)</f>
        <v>105.68149628568342</v>
      </c>
      <c r="AF50" s="99">
        <f>テーブル4[[#This Row],[半径方向応力:Δ0℃]]*2*寸法→圧入力!D$25^2/(寸法→圧入力!D$25^2-寸法→圧入力!F$26^2)</f>
        <v>88.600168986073811</v>
      </c>
      <c r="AG50" s="99">
        <f>テーブル4[[#This Row],[半径方向応力:Δ+10℃]]*2*寸法→圧入力!D$25^2/(寸法→圧入力!D$25^2-寸法→圧入力!F$26^2)</f>
        <v>71.518841686477046</v>
      </c>
      <c r="AH50" s="99">
        <f>テーブル4[[#This Row],[半径方向応力:Δ+20℃]]*2*寸法→圧入力!D$25^2/(寸法→圧入力!D$25^2-寸法→圧入力!F$26^2)</f>
        <v>54.437514386867434</v>
      </c>
      <c r="AI50" s="99">
        <f>テーブル4[[#This Row],[半径方向応力:Δ+30℃]]*2*寸法→圧入力!D$25^2/(寸法→圧入力!D$25^2-寸法→圧入力!F$26^2)</f>
        <v>37.356187087283558</v>
      </c>
      <c r="AJ50" s="99">
        <f>寸法→圧入力!$D$32</f>
        <v>345</v>
      </c>
      <c r="AK50" s="99">
        <f>テーブル4[[#This Row],[半径方向応力:Δ-30℃]]* (1+(寸法→圧入力!D$36/寸法→圧入力!F$35)^2)/((寸法→圧入力!D$36/寸法→圧入力!F$35)^2-1)</f>
        <v>53.59846905729605</v>
      </c>
      <c r="AL50" s="99">
        <f>テーブル4[[#This Row],[半径方向応力:Δ-20℃]]* (1+(寸法→圧入力!D$36/寸法→圧入力!F$35)^2)/((寸法→圧入力!D$36/寸法→圧入力!F$35)^2-1)</f>
        <v>47.051659720393701</v>
      </c>
      <c r="AM50" s="99">
        <f>テーブル4[[#This Row],[半径方向応力:Δ-10℃]]* (1+(寸法→圧入力!D$36/寸法→圧入力!F$35)^2)/((寸法→圧入力!D$36/寸法→圧入力!F$35)^2-1)</f>
        <v>40.504850383481489</v>
      </c>
      <c r="AN50" s="99">
        <f>テーブル4[[#This Row],[半径方向応力:Δ0℃]]* (1+(寸法→圧入力!D$36/寸法→圧入力!F$35)^2)/((寸法→圧入力!D$36/寸法→圧入力!F$35)^2-1)</f>
        <v>33.958041046569278</v>
      </c>
      <c r="AO50" s="99">
        <f>テーブル4[[#This Row],[半径方向応力:Δ+10℃]]* (1+(寸法→圧入力!D$36/寸法→圧入力!F$35)^2)/((寸法→圧入力!D$36/寸法→圧入力!F$35)^2-1)</f>
        <v>27.411231709661998</v>
      </c>
      <c r="AP50" s="99">
        <f>テーブル4[[#This Row],[半径方向応力:Δ+20℃]]* (1+(寸法→圧入力!D$36/寸法→圧入力!F$35)^2)/((寸法→圧入力!D$36/寸法→圧入力!F$35)^2-1)</f>
        <v>20.864422372749786</v>
      </c>
      <c r="AQ50" s="99">
        <f>テーブル4[[#This Row],[半径方向応力:Δ+30℃]]* (1+(寸法→圧入力!D$36/寸法→圧入力!F$35)^2)/((寸法→圧入力!D$36/寸法→圧入力!F$35)^2-1)</f>
        <v>14.317613035847438</v>
      </c>
      <c r="AR50" s="99">
        <f>寸法→圧入力!$D$41</f>
        <v>150</v>
      </c>
    </row>
    <row r="51" spans="1:44">
      <c r="A51" s="177">
        <f t="shared" si="2"/>
        <v>0.45</v>
      </c>
      <c r="B51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155.69489562490651</v>
      </c>
      <c r="C51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157.66015829460565</v>
      </c>
      <c r="D51" s="99">
        <f>(A51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159.61774826258448</v>
      </c>
      <c r="E51" s="99">
        <f>テーブル3[[#This Row],[半径方向応力min]]*寸法→圧入力!D$48*寸法→圧入力!D$6/1000</f>
        <v>27.125050077927316</v>
      </c>
      <c r="F51" s="99">
        <f>テーブル3[[#This Row],[半径方向応力min]]*寸法→圧入力!E$48*寸法→圧入力!E$6/1000</f>
        <v>34.640121230565221</v>
      </c>
      <c r="G51" s="99">
        <f>テーブル3[[#This Row],[半径方向応力min]]*寸法→圧入力!F$48*寸法→圧入力!F$6/1000</f>
        <v>42.457214664830175</v>
      </c>
      <c r="H51" s="99">
        <f>寸法→圧入力!$D$32</f>
        <v>345</v>
      </c>
      <c r="I51" s="99">
        <f>寸法→圧入力!$D$41</f>
        <v>150</v>
      </c>
      <c r="J51" s="99">
        <f>テーブル3[[#This Row],[半径方向応力nor]]*2*寸法→圧入力!E$25^2/(寸法→圧入力!E$25^2-寸法→圧入力!E$26^2)</f>
        <v>797.88309472365336</v>
      </c>
      <c r="K51" s="99">
        <f>テーブル3[[#This Row],[半径方向応力nor]]* (1+(寸法→圧入力!E$36/寸法→圧入力!E$35)^2)/((寸法→圧入力!E$36/寸法→圧入力!E$35)^2-1)</f>
        <v>302.89843514706496</v>
      </c>
      <c r="N51">
        <f t="shared" si="1"/>
        <v>175</v>
      </c>
      <c r="O51" s="177">
        <f>寸法→圧入力!F$25*(1+寸法→圧入力!D$31*10^-6*(テーブル4[[#This Row],[inner温度'[℃']]]-20)) - 寸法→圧入力!D$35*(1+寸法→圧入力!D$40*10^-6*(テーブル4[[#This Row],[inner温度'[℃']]]+O$3-20))</f>
        <v>7.5158444999999574E-2</v>
      </c>
      <c r="P51" s="177">
        <f>寸法→圧入力!F$25*(1+寸法→圧入力!D$31*10^-6*(テーブル4[[#This Row],[inner温度'[℃']]]-20)) - 寸法→圧入力!D$35*(1+寸法→圧入力!D$40*10^-6*(テーブル4[[#This Row],[inner温度'[℃']]]+P$3-20))</f>
        <v>6.5729445000002329E-2</v>
      </c>
      <c r="Q51" s="177">
        <f>寸法→圧入力!F$25*(1+寸法→圧入力!D$31*10^-6*(テーブル4[[#This Row],[inner温度'[℃']]]-20)) - 寸法→圧入力!D$35*(1+寸法→圧入力!D$40*10^-6*(テーブル4[[#This Row],[inner温度'[℃']]]+Q$3-20))</f>
        <v>5.6300445000005084E-2</v>
      </c>
      <c r="R51" s="177">
        <f>寸法→圧入力!F$25*(1+寸法→圧入力!D$31*10^-6*(テーブル4[[#This Row],[inner温度'[℃']]]-20)) - 寸法→圧入力!D$35*(1+寸法→圧入力!D$40*10^-6*(テーブル4[[#This Row],[inner温度'[℃']]]+R$3-20))</f>
        <v>4.6871445000000733E-2</v>
      </c>
      <c r="S51" s="177">
        <f>寸法→圧入力!F$25*(1+寸法→圧入力!D$31*10^-6*(テーブル4[[#This Row],[inner温度'[℃']]]-20)) - 寸法→圧入力!D$35*(1+寸法→圧入力!D$40*10^-6*(テーブル4[[#This Row],[inner温度'[℃']]]+S$3-20))</f>
        <v>3.7442444999996383E-2</v>
      </c>
      <c r="T51" s="177">
        <f>寸法→圧入力!F$25*(1+寸法→圧入力!D$31*10^-6*(テーブル4[[#This Row],[inner温度'[℃']]]-20)) - 寸法→圧入力!D$35*(1+寸法→圧入力!D$40*10^-6*(テーブル4[[#This Row],[inner温度'[℃']]]+T$3-20))</f>
        <v>2.8013444999999138E-2</v>
      </c>
      <c r="U51" s="177">
        <f>寸法→圧入力!F$25*(1+寸法→圧入力!D$31*10^-6*(テーブル4[[#This Row],[inner温度'[℃']]]-20)) - 寸法→圧入力!D$35*(1+寸法→圧入力!D$40*10^-6*(テーブル4[[#This Row],[inner温度'[℃']]]+U$3-20))</f>
        <v>1.8584445000001892E-2</v>
      </c>
      <c r="V51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26.659159452927188</v>
      </c>
      <c r="W51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23.314635567666141</v>
      </c>
      <c r="X51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19.970111682405101</v>
      </c>
      <c r="Y51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16.625587797141534</v>
      </c>
      <c r="Z51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13.281063911877974</v>
      </c>
      <c r="AA51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9.9365400266169299</v>
      </c>
      <c r="AB51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6.5920161413558871</v>
      </c>
      <c r="AC51" s="99">
        <f>テーブル4[[#This Row],[半径方向応力:Δ-30℃]]*2*寸法→圧入力!D$25^2/(寸法→圧入力!D$25^2-寸法→圧入力!F$26^2)</f>
        <v>136.15505338573641</v>
      </c>
      <c r="AD51" s="99">
        <f>テーブル4[[#This Row],[半径方向応力:Δ-20℃]]*2*寸法→圧入力!D$25^2/(寸法→圧入力!D$25^2-寸法→圧入力!F$26^2)</f>
        <v>119.07372608613964</v>
      </c>
      <c r="AE51" s="99">
        <f>テーブル4[[#This Row],[半径方向応力:Δ-10℃]]*2*寸法→圧入力!D$25^2/(寸法→圧入力!D$25^2-寸法→圧入力!F$26^2)</f>
        <v>101.99239878654289</v>
      </c>
      <c r="AF51" s="99">
        <f>テーブル4[[#This Row],[半径方向応力:Δ0℃]]*2*寸法→圧入力!D$25^2/(寸法→圧入力!D$25^2-寸法→圧入力!F$26^2)</f>
        <v>84.911071486933267</v>
      </c>
      <c r="AG51" s="99">
        <f>テーブル4[[#This Row],[半径方向応力:Δ+10℃]]*2*寸法→圧入力!D$25^2/(寸法→圧入力!D$25^2-寸法→圧入力!F$26^2)</f>
        <v>67.829744187323655</v>
      </c>
      <c r="AH51" s="99">
        <f>テーブル4[[#This Row],[半径方向応力:Δ+20℃]]*2*寸法→圧入力!D$25^2/(寸法→圧入力!D$25^2-寸法→圧入力!F$26^2)</f>
        <v>50.748416887726911</v>
      </c>
      <c r="AI51" s="99">
        <f>テーブル4[[#This Row],[半径方向応力:Δ+30℃]]*2*寸法→圧入力!D$25^2/(寸法→圧入力!D$25^2-寸法→圧入力!F$26^2)</f>
        <v>33.667089588130167</v>
      </c>
      <c r="AJ51" s="99">
        <f>寸法→圧入力!$D$32</f>
        <v>345</v>
      </c>
      <c r="AK51" s="99">
        <f>テーブル4[[#This Row],[半径方向応力:Δ-30℃]]* (1+(寸法→圧入力!D$36/寸法→圧入力!F$35)^2)/((寸法→圧入力!D$36/寸法→圧入力!F$35)^2-1)</f>
        <v>52.184538071224225</v>
      </c>
      <c r="AL51" s="99">
        <f>テーブル4[[#This Row],[半径方向応力:Δ-20℃]]* (1+(寸法→圧入力!D$36/寸法→圧入力!F$35)^2)/((寸法→圧入力!D$36/寸法→圧入力!F$35)^2-1)</f>
        <v>45.637728734316937</v>
      </c>
      <c r="AM51" s="99">
        <f>テーブル4[[#This Row],[半径方向応力:Δ-10℃]]* (1+(寸法→圧入力!D$36/寸法→圧入力!F$35)^2)/((寸法→圧入力!D$36/寸法→圧入力!F$35)^2-1)</f>
        <v>39.090919397409664</v>
      </c>
      <c r="AN51" s="99">
        <f>テーブル4[[#This Row],[半径方向応力:Δ0℃]]* (1+(寸法→圧入力!D$36/寸法→圧入力!F$35)^2)/((寸法→圧入力!D$36/寸法→圧入力!F$35)^2-1)</f>
        <v>32.544110060497445</v>
      </c>
      <c r="AO51" s="99">
        <f>テーブル4[[#This Row],[半径方向応力:Δ+10℃]]* (1+(寸法→圧入力!D$36/寸法→圧入力!F$35)^2)/((寸法→圧入力!D$36/寸法→圧入力!F$35)^2-1)</f>
        <v>25.997300723585237</v>
      </c>
      <c r="AP51" s="99">
        <f>テーブル4[[#This Row],[半径方向応力:Δ+20℃]]* (1+(寸法→圧入力!D$36/寸法→圧入力!F$35)^2)/((寸法→圧入力!D$36/寸法→圧入力!F$35)^2-1)</f>
        <v>19.450491386677957</v>
      </c>
      <c r="AQ51" s="99">
        <f>テーブル4[[#This Row],[半径方向応力:Δ+30℃]]* (1+(寸法→圧入力!D$36/寸法→圧入力!F$35)^2)/((寸法→圧入力!D$36/寸法→圧入力!F$35)^2-1)</f>
        <v>12.90368204977068</v>
      </c>
      <c r="AR51" s="99">
        <f>寸法→圧入力!$D$41</f>
        <v>150</v>
      </c>
    </row>
    <row r="52" spans="1:44">
      <c r="A52" s="177">
        <f t="shared" si="2"/>
        <v>0.46</v>
      </c>
      <c r="B52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159.15478219434888</v>
      </c>
      <c r="C52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161.16371736781912</v>
      </c>
      <c r="D52" s="99">
        <f>(A52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163.16480933508637</v>
      </c>
      <c r="E52" s="99">
        <f>テーブル3[[#This Row],[半径方向応力min]]*寸法→圧入力!D$48*寸法→圧入力!D$6/1000</f>
        <v>27.727828968547925</v>
      </c>
      <c r="F52" s="99">
        <f>テーブル3[[#This Row],[半径方向応力min]]*寸法→圧入力!E$48*寸法→圧入力!E$6/1000</f>
        <v>35.409901702355555</v>
      </c>
      <c r="G52" s="99">
        <f>テーブル3[[#This Row],[半径方向応力min]]*寸法→圧入力!F$48*寸法→圧入力!F$6/1000</f>
        <v>43.40070832404863</v>
      </c>
      <c r="H52" s="99">
        <f>寸法→圧入力!$D$32</f>
        <v>345</v>
      </c>
      <c r="I52" s="99">
        <f>寸法→圧入力!$D$41</f>
        <v>150</v>
      </c>
      <c r="J52" s="99">
        <f>テーブル3[[#This Row],[半径方向応力nor]]*2*寸法→圧入力!E$25^2/(寸法→圧入力!E$25^2-寸法→圧入力!E$26^2)</f>
        <v>815.61383016195691</v>
      </c>
      <c r="K52" s="99">
        <f>テーブル3[[#This Row],[半径方向応力nor]]* (1+(寸法→圧入力!E$36/寸法→圧入力!E$35)^2)/((寸法→圧入力!E$36/寸法→圧入力!E$35)^2-1)</f>
        <v>309.62951148366642</v>
      </c>
      <c r="N52">
        <f t="shared" si="1"/>
        <v>180</v>
      </c>
      <c r="O52" s="177">
        <f>寸法→圧入力!F$25*(1+寸法→圧入力!D$31*10^-6*(テーブル4[[#This Row],[inner温度'[℃']]]-20)) - 寸法→圧入力!D$35*(1+寸法→圧入力!D$40*10^-6*(テーブル4[[#This Row],[inner温度'[℃']]]+O$3-20))</f>
        <v>7.3122040000001221E-2</v>
      </c>
      <c r="P52" s="177">
        <f>寸法→圧入力!F$25*(1+寸法→圧入力!D$31*10^-6*(テーブル4[[#This Row],[inner温度'[℃']]]-20)) - 寸法→圧入力!D$35*(1+寸法→圧入力!D$40*10^-6*(テーブル4[[#This Row],[inner温度'[℃']]]+P$3-20))</f>
        <v>6.369303999999687E-2</v>
      </c>
      <c r="Q52" s="177">
        <f>寸法→圧入力!F$25*(1+寸法→圧入力!D$31*10^-6*(テーブル4[[#This Row],[inner温度'[℃']]]-20)) - 寸法→圧入力!D$35*(1+寸法→圧入力!D$40*10^-6*(テーブル4[[#This Row],[inner温度'[℃']]]+Q$3-20))</f>
        <v>5.4264039999992519E-2</v>
      </c>
      <c r="R52" s="177">
        <f>寸法→圧入力!F$25*(1+寸法→圧入力!D$31*10^-6*(テーブル4[[#This Row],[inner温度'[℃']]]-20)) - 寸法→圧入力!D$35*(1+寸法→圧入力!D$40*10^-6*(テーブル4[[#This Row],[inner温度'[℃']]]+R$3-20))</f>
        <v>4.4835039999995274E-2</v>
      </c>
      <c r="S52" s="177">
        <f>寸法→圧入力!F$25*(1+寸法→圧入力!D$31*10^-6*(テーブル4[[#This Row],[inner温度'[℃']]]-20)) - 寸法→圧入力!D$35*(1+寸法→圧入力!D$40*10^-6*(テーブル4[[#This Row],[inner温度'[℃']]]+S$3-20))</f>
        <v>3.5406039999990924E-2</v>
      </c>
      <c r="T52" s="177">
        <f>寸法→圧入力!F$25*(1+寸法→圧入力!D$31*10^-6*(テーブル4[[#This Row],[inner温度'[℃']]]-20)) - 寸法→圧入力!D$35*(1+寸法→圧入力!D$40*10^-6*(テーブル4[[#This Row],[inner温度'[℃']]]+T$3-20))</f>
        <v>2.5977040000000784E-2</v>
      </c>
      <c r="U52" s="177">
        <f>寸法→圧入力!F$25*(1+寸法→圧入力!D$31*10^-6*(テーブル4[[#This Row],[inner温度'[℃']]]-20)) - 寸法→圧入力!D$35*(1+寸法→圧入力!D$40*10^-6*(テーブル4[[#This Row],[inner温度'[℃']]]+U$3-20))</f>
        <v>1.6548039999996433E-2</v>
      </c>
      <c r="V52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25.936834162592948</v>
      </c>
      <c r="W52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22.592310277329389</v>
      </c>
      <c r="X52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19.247786392065823</v>
      </c>
      <c r="Y52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15.903262506804781</v>
      </c>
      <c r="Z52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12.558738621541218</v>
      </c>
      <c r="AA52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9.2142147362826954</v>
      </c>
      <c r="AB52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5.8696908510191319</v>
      </c>
      <c r="AC52" s="99">
        <f>テーブル4[[#This Row],[半径方向応力:Δ-30℃]]*2*寸法→圧入力!D$25^2/(寸法→圧入力!D$25^2-寸法→圧入力!F$26^2)</f>
        <v>132.46595588658298</v>
      </c>
      <c r="AD52" s="99">
        <f>テーブル4[[#This Row],[半径方向応力:Δ-20℃]]*2*寸法→圧入力!D$25^2/(寸法→圧入力!D$25^2-寸法→圧入力!F$26^2)</f>
        <v>115.38462858697338</v>
      </c>
      <c r="AE52" s="99">
        <f>テーブル4[[#This Row],[半径方向応力:Δ-10℃]]*2*寸法→圧入力!D$25^2/(寸法→圧入力!D$25^2-寸法→圧入力!F$26^2)</f>
        <v>98.303301287363752</v>
      </c>
      <c r="AF52" s="99">
        <f>テーブル4[[#This Row],[半径方向応力:Δ0℃]]*2*寸法→圧入力!D$25^2/(寸法→圧入力!D$25^2-寸法→圧入力!F$26^2)</f>
        <v>81.221973987767015</v>
      </c>
      <c r="AG52" s="99">
        <f>テーブル4[[#This Row],[半径方向応力:Δ+10℃]]*2*寸法→圧入力!D$25^2/(寸法→圧入力!D$25^2-寸法→圧入力!F$26^2)</f>
        <v>64.140646688157389</v>
      </c>
      <c r="AH52" s="99">
        <f>テーブル4[[#This Row],[半径方向応力:Δ+20℃]]*2*寸法→圧入力!D$25^2/(寸法→圧入力!D$25^2-寸法→圧入力!F$26^2)</f>
        <v>47.05931938857352</v>
      </c>
      <c r="AI52" s="99">
        <f>テーブル4[[#This Row],[半径方向応力:Δ+30℃]]*2*寸法→圧入力!D$25^2/(寸法→圧入力!D$25^2-寸法→圧入力!F$26^2)</f>
        <v>29.977992088963902</v>
      </c>
      <c r="AJ52" s="99">
        <f>寸法→圧入力!$D$32</f>
        <v>345</v>
      </c>
      <c r="AK52" s="99">
        <f>テーブル4[[#This Row],[半径方向応力:Δ-30℃]]* (1+(寸法→圧入力!D$36/寸法→圧入力!F$35)^2)/((寸法→圧入力!D$36/寸法→圧入力!F$35)^2-1)</f>
        <v>50.770607085147446</v>
      </c>
      <c r="AL52" s="99">
        <f>テーブル4[[#This Row],[半径方向応力:Δ-20℃]]* (1+(寸法→圧入力!D$36/寸法→圧入力!F$35)^2)/((寸法→圧入力!D$36/寸法→圧入力!F$35)^2-1)</f>
        <v>44.223797748235249</v>
      </c>
      <c r="AM52" s="99">
        <f>テーブル4[[#This Row],[半径方向応力:Δ-10℃]]* (1+(寸法→圧入力!D$36/寸法→圧入力!F$35)^2)/((寸法→圧入力!D$36/寸法→圧入力!F$35)^2-1)</f>
        <v>37.67698841132303</v>
      </c>
      <c r="AN52" s="99">
        <f>テーブル4[[#This Row],[半径方向応力:Δ0℃]]* (1+(寸法→圧入力!D$36/寸法→圧入力!F$35)^2)/((寸法→圧入力!D$36/寸法→圧入力!F$35)^2-1)</f>
        <v>31.13017907441575</v>
      </c>
      <c r="AO52" s="99">
        <f>テーブル4[[#This Row],[半径方向応力:Δ+10℃]]* (1+(寸法→圧入力!D$36/寸法→圧入力!F$35)^2)/((寸法→圧入力!D$36/寸法→圧入力!F$35)^2-1)</f>
        <v>24.583369737503542</v>
      </c>
      <c r="AP52" s="99">
        <f>テーブル4[[#This Row],[半径方向応力:Δ+20℃]]* (1+(寸法→圧入力!D$36/寸法→圧入力!F$35)^2)/((寸法→圧入力!D$36/寸法→圧入力!F$35)^2-1)</f>
        <v>18.036560400601196</v>
      </c>
      <c r="AQ52" s="99">
        <f>テーブル4[[#This Row],[半径方向応力:Δ+30℃]]* (1+(寸法→圧入力!D$36/寸法→圧入力!F$35)^2)/((寸法→圧入力!D$36/寸法→圧入力!F$35)^2-1)</f>
        <v>11.489751063688983</v>
      </c>
      <c r="AR52" s="99">
        <f>寸法→圧入力!$D$41</f>
        <v>150</v>
      </c>
    </row>
    <row r="53" spans="1:44">
      <c r="A53" s="177">
        <f t="shared" si="2"/>
        <v>0.47000000000000003</v>
      </c>
      <c r="B53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162.61466876379123</v>
      </c>
      <c r="C53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164.66727644103258</v>
      </c>
      <c r="D53" s="99">
        <f>(A53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166.71187040758826</v>
      </c>
      <c r="E53" s="99">
        <f>テーブル3[[#This Row],[半径方向応力min]]*寸法→圧入力!D$48*寸法→圧入力!D$6/1000</f>
        <v>28.330607859168531</v>
      </c>
      <c r="F53" s="99">
        <f>テーブル3[[#This Row],[半径方向応力min]]*寸法→圧入力!E$48*寸法→圧入力!E$6/1000</f>
        <v>36.179682174145888</v>
      </c>
      <c r="G53" s="99">
        <f>テーブル3[[#This Row],[半径方向応力min]]*寸法→圧入力!F$48*寸法→圧入力!F$6/1000</f>
        <v>44.34420198326707</v>
      </c>
      <c r="H53" s="99">
        <f>寸法→圧入力!$D$32</f>
        <v>345</v>
      </c>
      <c r="I53" s="99">
        <f>寸法→圧入力!$D$41</f>
        <v>150</v>
      </c>
      <c r="J53" s="99">
        <f>テーブル3[[#This Row],[半径方向応力nor]]*2*寸法→圧入力!E$25^2/(寸法→圧入力!E$25^2-寸法→圧入力!E$26^2)</f>
        <v>833.34456560026035</v>
      </c>
      <c r="K53" s="99">
        <f>テーブル3[[#This Row],[半径方向応力nor]]* (1+(寸法→圧入力!E$36/寸法→圧入力!E$35)^2)/((寸法→圧入力!E$36/寸法→圧入力!E$35)^2-1)</f>
        <v>316.36058782026788</v>
      </c>
      <c r="N53">
        <f t="shared" si="1"/>
        <v>185</v>
      </c>
      <c r="O53" s="177">
        <f>寸法→圧入力!F$25*(1+寸法→圧入力!D$31*10^-6*(テーブル4[[#This Row],[inner温度'[℃']]]-20)) - 寸法→圧入力!D$35*(1+寸法→圧入力!D$40*10^-6*(テーブル4[[#This Row],[inner温度'[℃']]]+O$3-20))</f>
        <v>7.1085635000002867E-2</v>
      </c>
      <c r="P53" s="177">
        <f>寸法→圧入力!F$25*(1+寸法→圧入力!D$31*10^-6*(テーブル4[[#This Row],[inner温度'[℃']]]-20)) - 寸法→圧入力!D$35*(1+寸法→圧入力!D$40*10^-6*(テーブル4[[#This Row],[inner温度'[℃']]]+P$3-20))</f>
        <v>6.1656635000005622E-2</v>
      </c>
      <c r="Q53" s="177">
        <f>寸法→圧入力!F$25*(1+寸法→圧入力!D$31*10^-6*(テーブル4[[#This Row],[inner温度'[℃']]]-20)) - 寸法→圧入力!D$35*(1+寸法→圧入力!D$40*10^-6*(テーブル4[[#This Row],[inner温度'[℃']]]+Q$3-20))</f>
        <v>5.2227635000001271E-2</v>
      </c>
      <c r="R53" s="177">
        <f>寸法→圧入力!F$25*(1+寸法→圧入力!D$31*10^-6*(テーブル4[[#This Row],[inner温度'[℃']]]-20)) - 寸法→圧入力!D$35*(1+寸法→圧入力!D$40*10^-6*(テーブル4[[#This Row],[inner温度'[℃']]]+R$3-20))</f>
        <v>4.2798634999996921E-2</v>
      </c>
      <c r="S53" s="177">
        <f>寸法→圧入力!F$25*(1+寸法→圧入力!D$31*10^-6*(テーブル4[[#This Row],[inner温度'[℃']]]-20)) - 寸法→圧入力!D$35*(1+寸法→圧入力!D$40*10^-6*(テーブル4[[#This Row],[inner温度'[℃']]]+S$3-20))</f>
        <v>3.3369634999999676E-2</v>
      </c>
      <c r="T53" s="177">
        <f>寸法→圧入力!F$25*(1+寸法→圧入力!D$31*10^-6*(テーブル4[[#This Row],[inner温度'[℃']]]-20)) - 寸法→圧入力!D$35*(1+寸法→圧入力!D$40*10^-6*(テーブル4[[#This Row],[inner温度'[℃']]]+T$3-20))</f>
        <v>2.394063500000243E-2</v>
      </c>
      <c r="U53" s="177">
        <f>寸法→圧入力!F$25*(1+寸法→圧入力!D$31*10^-6*(テーブル4[[#This Row],[inner温度'[℃']]]-20)) - 寸法→圧入力!D$35*(1+寸法→圧入力!D$40*10^-6*(テーブル4[[#This Row],[inner温度'[℃']]]+U$3-20))</f>
        <v>1.4511635000005185E-2</v>
      </c>
      <c r="V53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25.214508872258715</v>
      </c>
      <c r="W53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21.869984986997675</v>
      </c>
      <c r="X53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18.525461101734109</v>
      </c>
      <c r="Y53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15.180937216470547</v>
      </c>
      <c r="Z53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11.836413331209505</v>
      </c>
      <c r="AA53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8.4918894459484608</v>
      </c>
      <c r="AB53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5.147365560687418</v>
      </c>
      <c r="AC53" s="99">
        <f>テーブル4[[#This Row],[半径方向応力:Δ-30℃]]*2*寸法→圧入力!D$25^2/(寸法→圧入力!D$25^2-寸法→圧入力!F$26^2)</f>
        <v>128.7768583874296</v>
      </c>
      <c r="AD53" s="99">
        <f>テーブル4[[#This Row],[半径方向応力:Δ-20℃]]*2*寸法→圧入力!D$25^2/(寸法→圧入力!D$25^2-寸法→圧入力!F$26^2)</f>
        <v>111.69553108783286</v>
      </c>
      <c r="AE53" s="99">
        <f>テーブル4[[#This Row],[半径方向応力:Δ-10℃]]*2*寸法→圧入力!D$25^2/(寸法→圧入力!D$25^2-寸法→圧入力!F$26^2)</f>
        <v>94.614203788223236</v>
      </c>
      <c r="AF53" s="99">
        <f>テーブル4[[#This Row],[半径方向応力:Δ0℃]]*2*寸法→圧入力!D$25^2/(寸法→圧入力!D$25^2-寸法→圧入力!F$26^2)</f>
        <v>77.532876488613624</v>
      </c>
      <c r="AG53" s="99">
        <f>テーブル4[[#This Row],[半径方向応力:Δ+10℃]]*2*寸法→圧入力!D$25^2/(寸法→圧入力!D$25^2-寸法→圧入力!F$26^2)</f>
        <v>60.45154918901688</v>
      </c>
      <c r="AH53" s="99">
        <f>テーブル4[[#This Row],[半径方向応力:Δ+20℃]]*2*寸法→圧入力!D$25^2/(寸法→圧入力!D$25^2-寸法→圧入力!F$26^2)</f>
        <v>43.370221889420122</v>
      </c>
      <c r="AI53" s="99">
        <f>テーブル4[[#This Row],[半径方向応力:Δ+30℃]]*2*寸法→圧入力!D$25^2/(寸法→圧入力!D$25^2-寸法→圧入力!F$26^2)</f>
        <v>26.288894589823379</v>
      </c>
      <c r="AJ53" s="99">
        <f>寸法→圧入力!$D$32</f>
        <v>345</v>
      </c>
      <c r="AK53" s="99">
        <f>テーブル4[[#This Row],[半径方向応力:Δ-30℃]]* (1+(寸法→圧入力!D$36/寸法→圧入力!F$35)^2)/((寸法→圧入力!D$36/寸法→圧入力!F$35)^2-1)</f>
        <v>49.356676099070697</v>
      </c>
      <c r="AL53" s="99">
        <f>テーブル4[[#This Row],[半径方向応力:Δ-20℃]]* (1+(寸法→圧入力!D$36/寸法→圧入力!F$35)^2)/((寸法→圧入力!D$36/寸法→圧入力!F$35)^2-1)</f>
        <v>42.809866762163423</v>
      </c>
      <c r="AM53" s="99">
        <f>テーブル4[[#This Row],[半径方向応力:Δ-10℃]]* (1+(寸法→圧入力!D$36/寸法→圧入力!F$35)^2)/((寸法→圧入力!D$36/寸法→圧入力!F$35)^2-1)</f>
        <v>36.263057425251205</v>
      </c>
      <c r="AN53" s="99">
        <f>テーブル4[[#This Row],[半径方向応力:Δ0℃]]* (1+(寸法→圧入力!D$36/寸法→圧入力!F$35)^2)/((寸法→圧入力!D$36/寸法→圧入力!F$35)^2-1)</f>
        <v>29.716248088338993</v>
      </c>
      <c r="AO53" s="99">
        <f>テーブル4[[#This Row],[半径方向応力:Δ+10℃]]* (1+(寸法→圧入力!D$36/寸法→圧入力!F$35)^2)/((寸法→圧入力!D$36/寸法→圧入力!F$35)^2-1)</f>
        <v>23.169438751431716</v>
      </c>
      <c r="AP53" s="99">
        <f>テーブル4[[#This Row],[半径方向応力:Δ+20℃]]* (1+(寸法→圧入力!D$36/寸法→圧入力!F$35)^2)/((寸法→圧入力!D$36/寸法→圧入力!F$35)^2-1)</f>
        <v>16.622629414524436</v>
      </c>
      <c r="AQ53" s="99">
        <f>テーブル4[[#This Row],[半径方向応力:Δ+30℃]]* (1+(寸法→圧入力!D$36/寸法→圧入力!F$35)^2)/((寸法→圧入力!D$36/寸法→圧入力!F$35)^2-1)</f>
        <v>10.075820077617157</v>
      </c>
      <c r="AR53" s="99">
        <f>寸法→圧入力!$D$41</f>
        <v>150</v>
      </c>
    </row>
    <row r="54" spans="1:44">
      <c r="A54" s="177">
        <f t="shared" si="2"/>
        <v>0.48</v>
      </c>
      <c r="B54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166.07455533323358</v>
      </c>
      <c r="C54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168.17083551424602</v>
      </c>
      <c r="D54" s="99">
        <f>(A54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170.2589314800901</v>
      </c>
      <c r="E54" s="99">
        <f>テーブル3[[#This Row],[半径方向応力min]]*寸法→圧入力!D$48*寸法→圧入力!D$6/1000</f>
        <v>28.933386749789129</v>
      </c>
      <c r="F54" s="99">
        <f>テーブル3[[#This Row],[半径方向応力min]]*寸法→圧入力!E$48*寸法→圧入力!E$6/1000</f>
        <v>36.949462645936229</v>
      </c>
      <c r="G54" s="99">
        <f>テーブル3[[#This Row],[半径方向応力min]]*寸法→圧入力!F$48*寸法→圧入力!F$6/1000</f>
        <v>45.287695642485517</v>
      </c>
      <c r="H54" s="99">
        <f>寸法→圧入力!$D$32</f>
        <v>345</v>
      </c>
      <c r="I54" s="99">
        <f>寸法→圧入力!$D$41</f>
        <v>150</v>
      </c>
      <c r="J54" s="99">
        <f>テーブル3[[#This Row],[半径方向応力nor]]*2*寸法→圧入力!E$25^2/(寸法→圧入力!E$25^2-寸法→圧入力!E$26^2)</f>
        <v>851.07530103856357</v>
      </c>
      <c r="K54" s="99">
        <f>テーブル3[[#This Row],[半径方向応力nor]]* (1+(寸法→圧入力!E$36/寸法→圧入力!E$35)^2)/((寸法→圧入力!E$36/寸法→圧入力!E$35)^2-1)</f>
        <v>323.09166415686929</v>
      </c>
      <c r="N54">
        <f t="shared" si="1"/>
        <v>190</v>
      </c>
      <c r="O54" s="177">
        <f>寸法→圧入力!F$25*(1+寸法→圧入力!D$31*10^-6*(テーブル4[[#This Row],[inner温度'[℃']]]-20)) - 寸法→圧入力!D$35*(1+寸法→圧入力!D$40*10^-6*(テーブル4[[#This Row],[inner温度'[℃']]]+O$3-20))</f>
        <v>6.9049230000004513E-2</v>
      </c>
      <c r="P54" s="177">
        <f>寸法→圧入力!F$25*(1+寸法→圧入力!D$31*10^-6*(テーブル4[[#This Row],[inner温度'[℃']]]-20)) - 寸法→圧入力!D$35*(1+寸法→圧入力!D$40*10^-6*(テーブル4[[#This Row],[inner温度'[℃']]]+P$3-20))</f>
        <v>5.9620230000000163E-2</v>
      </c>
      <c r="Q54" s="177">
        <f>寸法→圧入力!F$25*(1+寸法→圧入力!D$31*10^-6*(テーブル4[[#This Row],[inner温度'[℃']]]-20)) - 寸法→圧入力!D$35*(1+寸法→圧入力!D$40*10^-6*(テーブル4[[#This Row],[inner温度'[℃']]]+Q$3-20))</f>
        <v>5.0191230000002918E-2</v>
      </c>
      <c r="R54" s="177">
        <f>寸法→圧入力!F$25*(1+寸法→圧入力!D$31*10^-6*(テーブル4[[#This Row],[inner温度'[℃']]]-20)) - 寸法→圧入力!D$35*(1+寸法→圧入力!D$40*10^-6*(テーブル4[[#This Row],[inner温度'[℃']]]+R$3-20))</f>
        <v>4.0762229999998567E-2</v>
      </c>
      <c r="S54" s="177">
        <f>寸法→圧入力!F$25*(1+寸法→圧入力!D$31*10^-6*(テーブル4[[#This Row],[inner温度'[℃']]]-20)) - 寸法→圧入力!D$35*(1+寸法→圧入力!D$40*10^-6*(テーブル4[[#This Row],[inner温度'[℃']]]+S$3-20))</f>
        <v>3.1333230000008427E-2</v>
      </c>
      <c r="T54" s="177">
        <f>寸法→圧入力!F$25*(1+寸法→圧入力!D$31*10^-6*(テーブル4[[#This Row],[inner温度'[℃']]]-20)) - 寸法→圧入力!D$35*(1+寸法→圧入力!D$40*10^-6*(テーブル4[[#This Row],[inner温度'[℃']]]+T$3-20))</f>
        <v>2.1904230000004077E-2</v>
      </c>
      <c r="U54" s="177">
        <f>寸法→圧入力!F$25*(1+寸法→圧入力!D$31*10^-6*(テーブル4[[#This Row],[inner温度'[℃']]]-20)) - 寸法→圧入力!D$35*(1+寸法→圧入力!D$40*10^-6*(テーブル4[[#This Row],[inner温度'[℃']]]+U$3-20))</f>
        <v>1.2475229999999726E-2</v>
      </c>
      <c r="V54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24.492183581924483</v>
      </c>
      <c r="W54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21.147659696660916</v>
      </c>
      <c r="X54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17.803135811399876</v>
      </c>
      <c r="Y54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14.458611926136312</v>
      </c>
      <c r="Z54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11.114088040877791</v>
      </c>
      <c r="AA54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7.7695641556142254</v>
      </c>
      <c r="AB54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4.4250402703506628</v>
      </c>
      <c r="AC54" s="99">
        <f>テーブル4[[#This Row],[半径方向応力:Δ-30℃]]*2*寸法→圧入力!D$25^2/(寸法→圧入力!D$25^2-寸法→圧入力!F$26^2)</f>
        <v>125.08776088827622</v>
      </c>
      <c r="AD54" s="99">
        <f>テーブル4[[#This Row],[半径方向応力:Δ-20℃]]*2*寸法→圧入力!D$25^2/(寸法→圧入力!D$25^2-寸法→圧入力!F$26^2)</f>
        <v>108.00643358866657</v>
      </c>
      <c r="AE54" s="99">
        <f>テーブル4[[#This Row],[半径方向応力:Δ-10℃]]*2*寸法→圧入力!D$25^2/(寸法→圧入力!D$25^2-寸法→圧入力!F$26^2)</f>
        <v>90.925106289069845</v>
      </c>
      <c r="AF54" s="99">
        <f>テーブル4[[#This Row],[半径方向応力:Δ0℃]]*2*寸法→圧入力!D$25^2/(寸法→圧入力!D$25^2-寸法→圧入力!F$26^2)</f>
        <v>73.843778989460219</v>
      </c>
      <c r="AG54" s="99">
        <f>テーブル4[[#This Row],[半径方向応力:Δ+10℃]]*2*寸法→圧入力!D$25^2/(寸法→圧入力!D$25^2-寸法→圧入力!F$26^2)</f>
        <v>56.762451689876357</v>
      </c>
      <c r="AH54" s="99">
        <f>テーブル4[[#This Row],[半径方向応力:Δ+20℃]]*2*寸法→圧入力!D$25^2/(寸法→圧入力!D$25^2-寸法→圧入力!F$26^2)</f>
        <v>39.681124390266724</v>
      </c>
      <c r="AI54" s="99">
        <f>テーブル4[[#This Row],[半径方向応力:Δ+30℃]]*2*寸法→圧入力!D$25^2/(寸法→圧入力!D$25^2-寸法→圧入力!F$26^2)</f>
        <v>22.599797090657116</v>
      </c>
      <c r="AJ54" s="99">
        <f>寸法→圧入力!$D$32</f>
        <v>345</v>
      </c>
      <c r="AK54" s="99">
        <f>テーブル4[[#This Row],[半径方向応力:Δ-30℃]]* (1+(寸法→圧入力!D$36/寸法→圧入力!F$35)^2)/((寸法→圧入力!D$36/寸法→圧入力!F$35)^2-1)</f>
        <v>47.94274511299394</v>
      </c>
      <c r="AL54" s="99">
        <f>テーブル4[[#This Row],[半径方向応力:Δ-20℃]]* (1+(寸法→圧入力!D$36/寸法→圧入力!F$35)^2)/((寸法→圧入力!D$36/寸法→圧入力!F$35)^2-1)</f>
        <v>41.395935776081721</v>
      </c>
      <c r="AM54" s="99">
        <f>テーブル4[[#This Row],[半径方向応力:Δ-10℃]]* (1+(寸法→圧入力!D$36/寸法→圧入力!F$35)^2)/((寸法→圧入力!D$36/寸法→圧入力!F$35)^2-1)</f>
        <v>34.849126439174448</v>
      </c>
      <c r="AN54" s="99">
        <f>テーブル4[[#This Row],[半径方向応力:Δ0℃]]* (1+(寸法→圧入力!D$36/寸法→圧入力!F$35)^2)/((寸法→圧入力!D$36/寸法→圧入力!F$35)^2-1)</f>
        <v>28.302317102262229</v>
      </c>
      <c r="AO54" s="99">
        <f>テーブル4[[#This Row],[半径方向応力:Δ+10℃]]* (1+(寸法→圧入力!D$36/寸法→圧入力!F$35)^2)/((寸法→圧入力!D$36/寸法→圧入力!F$35)^2-1)</f>
        <v>21.755507765359891</v>
      </c>
      <c r="AP54" s="99">
        <f>テーブル4[[#This Row],[半径方向応力:Δ+20℃]]* (1+(寸法→圧入力!D$36/寸法→圧入力!F$35)^2)/((寸法→圧入力!D$36/寸法→圧入力!F$35)^2-1)</f>
        <v>15.208698428447672</v>
      </c>
      <c r="AQ54" s="99">
        <f>テーブル4[[#This Row],[半径方向応力:Δ+30℃]]* (1+(寸法→圧入力!D$36/寸法→圧入力!F$35)^2)/((寸法→圧入力!D$36/寸法→圧入力!F$35)^2-1)</f>
        <v>8.6618890915354623</v>
      </c>
      <c r="AR54" s="99">
        <f>寸法→圧入力!$D$41</f>
        <v>150</v>
      </c>
    </row>
    <row r="55" spans="1:44">
      <c r="A55" s="177">
        <f t="shared" si="2"/>
        <v>0.49</v>
      </c>
      <c r="B55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169.53444190267595</v>
      </c>
      <c r="C55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171.67439458745949</v>
      </c>
      <c r="D55" s="99">
        <f>(A55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173.80599255259199</v>
      </c>
      <c r="E55" s="99">
        <f>テーブル3[[#This Row],[半径方向応力min]]*寸法→圧入力!D$48*寸法→圧入力!D$6/1000</f>
        <v>29.536165640409738</v>
      </c>
      <c r="F55" s="99">
        <f>テーブル3[[#This Row],[半径方向応力min]]*寸法→圧入力!E$48*寸法→圧入力!E$6/1000</f>
        <v>37.71924311772657</v>
      </c>
      <c r="G55" s="99">
        <f>テーブル3[[#This Row],[半径方向応力min]]*寸法→圧入力!F$48*寸法→圧入力!F$6/1000</f>
        <v>46.231189301703964</v>
      </c>
      <c r="H55" s="99">
        <f>寸法→圧入力!$D$32</f>
        <v>345</v>
      </c>
      <c r="I55" s="99">
        <f>寸法→圧入力!$D$41</f>
        <v>150</v>
      </c>
      <c r="J55" s="99">
        <f>テーブル3[[#This Row],[半径方向応力nor]]*2*寸法→圧入力!E$25^2/(寸法→圧入力!E$25^2-寸法→圧入力!E$26^2)</f>
        <v>868.80603647686712</v>
      </c>
      <c r="K55" s="99">
        <f>テーブル3[[#This Row],[半径方向応力nor]]* (1+(寸法→圧入力!E$36/寸法→圧入力!E$35)^2)/((寸法→圧入力!E$36/寸法→圧入力!E$35)^2-1)</f>
        <v>329.82274049347075</v>
      </c>
      <c r="N55">
        <f t="shared" si="1"/>
        <v>195</v>
      </c>
      <c r="O55" s="177">
        <f>寸法→圧入力!F$25*(1+寸法→圧入力!D$31*10^-6*(テーブル4[[#This Row],[inner温度'[℃']]]-20)) - 寸法→圧入力!D$35*(1+寸法→圧入力!D$40*10^-6*(テーブル4[[#This Row],[inner温度'[℃']]]+O$3-20))</f>
        <v>6.701282500000616E-2</v>
      </c>
      <c r="P55" s="177">
        <f>寸法→圧入力!F$25*(1+寸法→圧入力!D$31*10^-6*(テーブル4[[#This Row],[inner温度'[℃']]]-20)) - 寸法→圧入力!D$35*(1+寸法→圧入力!D$40*10^-6*(テーブル4[[#This Row],[inner温度'[℃']]]+P$3-20))</f>
        <v>5.7583825000001809E-2</v>
      </c>
      <c r="Q55" s="177">
        <f>寸法→圧入力!F$25*(1+寸法→圧入力!D$31*10^-6*(テーブル4[[#This Row],[inner温度'[℃']]]-20)) - 寸法→圧入力!D$35*(1+寸法→圧入力!D$40*10^-6*(テーブル4[[#This Row],[inner温度'[℃']]]+Q$3-20))</f>
        <v>4.8154824999997459E-2</v>
      </c>
      <c r="R55" s="177">
        <f>寸法→圧入力!F$25*(1+寸法→圧入力!D$31*10^-6*(テーブル4[[#This Row],[inner温度'[℃']]]-20)) - 寸法→圧入力!D$35*(1+寸法→圧入力!D$40*10^-6*(テーブル4[[#This Row],[inner温度'[℃']]]+R$3-20))</f>
        <v>3.8725825000000214E-2</v>
      </c>
      <c r="S55" s="177">
        <f>寸法→圧入力!F$25*(1+寸法→圧入力!D$31*10^-6*(テーブル4[[#This Row],[inner温度'[℃']]]-20)) - 寸法→圧入力!D$35*(1+寸法→圧入力!D$40*10^-6*(テーブル4[[#This Row],[inner温度'[℃']]]+S$3-20))</f>
        <v>2.9296825000002968E-2</v>
      </c>
      <c r="T55" s="177">
        <f>寸法→圧入力!F$25*(1+寸法→圧入力!D$31*10^-6*(テーブル4[[#This Row],[inner温度'[℃']]]-20)) - 寸法→圧入力!D$35*(1+寸法→圧入力!D$40*10^-6*(テーブル4[[#This Row],[inner温度'[℃']]]+T$3-20))</f>
        <v>1.9867825000005723E-2</v>
      </c>
      <c r="U55" s="177">
        <f>寸法→圧入力!F$25*(1+寸法→圧入力!D$31*10^-6*(テーブル4[[#This Row],[inner温度'[℃']]]-20)) - 寸法→圧入力!D$35*(1+寸法→圧入力!D$40*10^-6*(テーブル4[[#This Row],[inner温度'[℃']]]+U$3-20))</f>
        <v>1.0438825000001373E-2</v>
      </c>
      <c r="V55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23.76985829159025</v>
      </c>
      <c r="W55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20.425334406326684</v>
      </c>
      <c r="X55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17.080810521063121</v>
      </c>
      <c r="Y55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13.736286635802077</v>
      </c>
      <c r="Z55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10.391762750541035</v>
      </c>
      <c r="AA55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7.0472388652799909</v>
      </c>
      <c r="AB55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3.7027149800164283</v>
      </c>
      <c r="AC55" s="99">
        <f>テーブル4[[#This Row],[半径方向応力:Δ-30℃]]*2*寸法→圧入力!D$25^2/(寸法→圧入力!D$25^2-寸法→圧入力!F$26^2)</f>
        <v>121.39866338912283</v>
      </c>
      <c r="AD55" s="99">
        <f>テーブル4[[#This Row],[半径方向応力:Δ-20℃]]*2*寸法→圧入力!D$25^2/(寸法→圧入力!D$25^2-寸法→圧入力!F$26^2)</f>
        <v>104.31733608951319</v>
      </c>
      <c r="AE55" s="99">
        <f>テーブル4[[#This Row],[半径方向応力:Δ-10℃]]*2*寸法→圧入力!D$25^2/(寸法→圧入力!D$25^2-寸法→圧入力!F$26^2)</f>
        <v>87.236008789903579</v>
      </c>
      <c r="AF55" s="99">
        <f>テーブル4[[#This Row],[半径方向応力:Δ0℃]]*2*寸法→圧入力!D$25^2/(寸法→圧入力!D$25^2-寸法→圧入力!F$26^2)</f>
        <v>70.154681490306828</v>
      </c>
      <c r="AG55" s="99">
        <f>テーブル4[[#This Row],[半径方向応力:Δ+10℃]]*2*寸法→圧入力!D$25^2/(寸法→圧入力!D$25^2-寸法→圧入力!F$26^2)</f>
        <v>53.073354190710091</v>
      </c>
      <c r="AH55" s="99">
        <f>テーブル4[[#This Row],[半径方向応力:Δ+20℃]]*2*寸法→圧入力!D$25^2/(寸法→圧入力!D$25^2-寸法→圧入力!F$26^2)</f>
        <v>35.992026891113333</v>
      </c>
      <c r="AI55" s="99">
        <f>テーブル4[[#This Row],[半径方向応力:Δ+30℃]]*2*寸法→圧入力!D$25^2/(寸法→圧入力!D$25^2-寸法→圧入力!F$26^2)</f>
        <v>18.910699591503718</v>
      </c>
      <c r="AJ55" s="99">
        <f>寸法→圧入力!$D$32</f>
        <v>345</v>
      </c>
      <c r="AK55" s="99">
        <f>テーブル4[[#This Row],[半径方向応力:Δ-30℃]]* (1+(寸法→圧入力!D$36/寸法→圧入力!F$35)^2)/((寸法→圧入力!D$36/寸法→圧入力!F$35)^2-1)</f>
        <v>46.528814126917176</v>
      </c>
      <c r="AL55" s="99">
        <f>テーブル4[[#This Row],[半径方向応力:Δ-20℃]]* (1+(寸法→圧入力!D$36/寸法→圧入力!F$35)^2)/((寸法→圧入力!D$36/寸法→圧入力!F$35)^2-1)</f>
        <v>39.982004790004957</v>
      </c>
      <c r="AM55" s="99">
        <f>テーブル4[[#This Row],[半径方向応力:Δ-10℃]]* (1+(寸法→圧入力!D$36/寸法→圧入力!F$35)^2)/((寸法→圧入力!D$36/寸法→圧入力!F$35)^2-1)</f>
        <v>33.435195453092746</v>
      </c>
      <c r="AN55" s="99">
        <f>テーブル4[[#This Row],[半径方向応力:Δ0℃]]* (1+(寸法→圧入力!D$36/寸法→圧入力!F$35)^2)/((寸法→圧入力!D$36/寸法→圧入力!F$35)^2-1)</f>
        <v>26.888386116185469</v>
      </c>
      <c r="AO55" s="99">
        <f>テーブル4[[#This Row],[半径方向応力:Δ+10℃]]* (1+(寸法→圧入力!D$36/寸法→圧入力!F$35)^2)/((寸法→圧入力!D$36/寸法→圧入力!F$35)^2-1)</f>
        <v>20.341576779278192</v>
      </c>
      <c r="AP55" s="99">
        <f>テーブル4[[#This Row],[半径方向応力:Δ+20℃]]* (1+(寸法→圧入力!D$36/寸法→圧入力!F$35)^2)/((寸法→圧入力!D$36/寸法→圧入力!F$35)^2-1)</f>
        <v>13.79476744237091</v>
      </c>
      <c r="AQ55" s="99">
        <f>テーブル4[[#This Row],[半径方向応力:Δ+30℃]]* (1+(寸法→圧入力!D$36/寸法→圧入力!F$35)^2)/((寸法→圧入力!D$36/寸法→圧入力!F$35)^2-1)</f>
        <v>7.2479581054587001</v>
      </c>
      <c r="AR55" s="99">
        <f>寸法→圧入力!$D$41</f>
        <v>150</v>
      </c>
    </row>
    <row r="56" spans="1:44">
      <c r="A56" s="177">
        <f t="shared" si="2"/>
        <v>0.5</v>
      </c>
      <c r="B56" s="99">
        <f>(テーブル3[[#This Row],[締め代]]/寸法→圧入力!$D$4)*(1/((寸法→圧入力!$D$4^2+寸法→圧入力!F$26^2)/(寸法→圧入力!$D$4^2-寸法→圧入力!F$26^2)*(1/寸法→圧入力!$D$38)+(寸法→圧入力!D$36^2+寸法→圧入力!$D$4^2)/(寸法→圧入力!D$36^2-寸法→圧入力!$D$4^2)*(1/寸法→圧入力!$D$29)-(寸法→圧入力!$D$39/寸法→圧入力!$D$38)+(寸法→圧入力!$D$30/寸法→圧入力!$D$29)))</f>
        <v>172.99432847211833</v>
      </c>
      <c r="C56" s="99">
        <f>(テーブル3[[#This Row],[締め代]]/寸法→圧入力!$D$4)*(1/((寸法→圧入力!$D$4^2+寸法→圧入力!E$26^2)/(寸法→圧入力!$D$4^2-寸法→圧入力!E$26^2)*(1/寸法→圧入力!$D$38)+(寸法→圧入力!E$36^2+寸法→圧入力!$D$4^2)/(寸法→圧入力!E$36^2-寸法→圧入力!$D$4^2)*(1/寸法→圧入力!$D$29)-(寸法→圧入力!$D$39/寸法→圧入力!$D$38)+(寸法→圧入力!$D$30/寸法→圧入力!$D$29)))</f>
        <v>175.17795366067296</v>
      </c>
      <c r="D56" s="99">
        <f>(A56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177.35305362509388</v>
      </c>
      <c r="E56" s="99">
        <f>テーブル3[[#This Row],[半径方向応力min]]*寸法→圧入力!D$48*寸法→圧入力!D$6/1000</f>
        <v>30.138944531030351</v>
      </c>
      <c r="F56" s="99">
        <f>テーブル3[[#This Row],[半径方向応力min]]*寸法→圧入力!E$48*寸法→圧入力!E$6/1000</f>
        <v>38.489023589516911</v>
      </c>
      <c r="G56" s="99">
        <f>テーブル3[[#This Row],[半径方向応力min]]*寸法→圧入力!F$48*寸法→圧入力!F$6/1000</f>
        <v>47.174682960922418</v>
      </c>
      <c r="H56" s="99">
        <f>寸法→圧入力!$D$32</f>
        <v>345</v>
      </c>
      <c r="I56" s="99">
        <f>寸法→圧入力!$D$41</f>
        <v>150</v>
      </c>
      <c r="J56" s="99">
        <f>テーブル3[[#This Row],[半径方向応力nor]]*2*寸法→圧入力!E$25^2/(寸法→圧入力!E$25^2-寸法→圧入力!E$26^2)</f>
        <v>886.53677191517056</v>
      </c>
      <c r="K56" s="99">
        <f>テーブル3[[#This Row],[半径方向応力nor]]* (1+(寸法→圧入力!E$36/寸法→圧入力!E$35)^2)/((寸法→圧入力!E$36/寸法→圧入力!E$35)^2-1)</f>
        <v>336.55381683007221</v>
      </c>
      <c r="N56">
        <f t="shared" si="1"/>
        <v>200</v>
      </c>
      <c r="O56" s="177">
        <f>寸法→圧入力!F$25*(1+寸法→圧入力!D$31*10^-6*(テーブル4[[#This Row],[inner温度'[℃']]]-20)) - 寸法→圧入力!D$35*(1+寸法→圧入力!D$40*10^-6*(テーブル4[[#This Row],[inner温度'[℃']]]+O$3-20))</f>
        <v>6.4976420000000701E-2</v>
      </c>
      <c r="P56" s="177">
        <f>寸法→圧入力!F$25*(1+寸法→圧入力!D$31*10^-6*(テーブル4[[#This Row],[inner温度'[℃']]]-20)) - 寸法→圧入力!D$35*(1+寸法→圧入力!D$40*10^-6*(テーブル4[[#This Row],[inner温度'[℃']]]+P$3-20))</f>
        <v>5.5547420000003456E-2</v>
      </c>
      <c r="Q56" s="177">
        <f>寸法→圧入力!F$25*(1+寸法→圧入力!D$31*10^-6*(テーブル4[[#This Row],[inner温度'[℃']]]-20)) - 寸法→圧入力!D$35*(1+寸法→圧入力!D$40*10^-6*(テーブル4[[#This Row],[inner温度'[℃']]]+Q$3-20))</f>
        <v>4.6118419999999105E-2</v>
      </c>
      <c r="R56" s="177">
        <f>寸法→圧入力!F$25*(1+寸法→圧入力!D$31*10^-6*(テーブル4[[#This Row],[inner温度'[℃']]]-20)) - 寸法→圧入力!D$35*(1+寸法→圧入力!D$40*10^-6*(テーブル4[[#This Row],[inner温度'[℃']]]+R$3-20))</f>
        <v>3.6689420000008965E-2</v>
      </c>
      <c r="S56" s="177">
        <f>寸法→圧入力!F$25*(1+寸法→圧入力!D$31*10^-6*(テーブル4[[#This Row],[inner温度'[℃']]]-20)) - 寸法→圧入力!D$35*(1+寸法→圧入力!D$40*10^-6*(テーブル4[[#This Row],[inner温度'[℃']]]+S$3-20))</f>
        <v>2.7260420000004615E-2</v>
      </c>
      <c r="T56" s="177">
        <f>寸法→圧入力!F$25*(1+寸法→圧入力!D$31*10^-6*(テーブル4[[#This Row],[inner温度'[℃']]]-20)) - 寸法→圧入力!D$35*(1+寸法→圧入力!D$40*10^-6*(テーブル4[[#This Row],[inner温度'[℃']]]+T$3-20))</f>
        <v>1.7831420000000264E-2</v>
      </c>
      <c r="U56" s="177">
        <f>寸法→圧入力!F$25*(1+寸法→圧入力!D$31*10^-6*(テーブル4[[#This Row],[inner温度'[℃']]]-20)) - 寸法→圧入力!D$35*(1+寸法→圧入力!D$40*10^-6*(テーブル4[[#This Row],[inner温度'[℃']]]+U$3-20))</f>
        <v>8.4024200000030191E-3</v>
      </c>
      <c r="V56" s="99">
        <f>(テーブル4[[#This Row],[締め代：Δ-30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23.047533001253491</v>
      </c>
      <c r="W56" s="99">
        <f>(テーブル4[[#This Row],[締め代：Δ-20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19.703009115992451</v>
      </c>
      <c r="X56" s="99">
        <f>(テーブル4[[#This Row],[締め代：Δ-10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16.358485230728885</v>
      </c>
      <c r="Y56" s="99">
        <f>(テーブル4[[#This Row],[締め代：Δ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13.013961345470364</v>
      </c>
      <c r="Z56" s="99">
        <f>(テーブル4[[#This Row],[締め代：Δ+10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9.6694374602067992</v>
      </c>
      <c r="AA56" s="99">
        <f>(テーブル4[[#This Row],[締め代：Δ+20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6.3249135749432366</v>
      </c>
      <c r="AB56" s="99">
        <f>(テーブル4[[#This Row],[締め代：Δ+30℃]]/寸法→圧入力!$D$4)*(1/((寸法→圧入力!$D$4^2+寸法→圧入力!D$26^2)/(寸法→圧入力!$D$4^2-寸法→圧入力!D$26^2)*(1/寸法→圧入力!$D$38)+(寸法→圧入力!F$36^2+寸法→圧入力!$D$4^2)/(寸法→圧入力!F$36^2-寸法→圧入力!$D$4^2)*(1/寸法→圧入力!$D$29)-(寸法→圧入力!$D$39/寸法→圧入力!$D$38)+(寸法→圧入力!$D$30/寸法→圧入力!$D$29)))</f>
        <v>2.9803896896821938</v>
      </c>
      <c r="AC56" s="99">
        <f>テーブル4[[#This Row],[半径方向応力:Δ-30℃]]*2*寸法→圧入力!D$25^2/(寸法→圧入力!D$25^2-寸法→圧入力!F$26^2)</f>
        <v>117.70956588995655</v>
      </c>
      <c r="AD56" s="99">
        <f>テーブル4[[#This Row],[半径方向応力:Δ-20℃]]*2*寸法→圧入力!D$25^2/(寸法→圧入力!D$25^2-寸法→圧入力!F$26^2)</f>
        <v>100.62823859035981</v>
      </c>
      <c r="AE56" s="99">
        <f>テーブル4[[#This Row],[半径方向応力:Δ-10℃]]*2*寸法→圧入力!D$25^2/(寸法→圧入力!D$25^2-寸法→圧入力!F$26^2)</f>
        <v>83.546911290750174</v>
      </c>
      <c r="AF56" s="99">
        <f>テーブル4[[#This Row],[半径方向応力:Δ0℃]]*2*寸法→圧入力!D$25^2/(寸法→圧入力!D$25^2-寸法→圧入力!F$26^2)</f>
        <v>66.465583991166312</v>
      </c>
      <c r="AG56" s="99">
        <f>テーブル4[[#This Row],[半径方向応力:Δ+10℃]]*2*寸法→圧入力!D$25^2/(寸法→圧入力!D$25^2-寸法→圧入力!F$26^2)</f>
        <v>49.384256691556686</v>
      </c>
      <c r="AH56" s="99">
        <f>テーブル4[[#This Row],[半径方向応力:Δ+20℃]]*2*寸法→圧入力!D$25^2/(寸法→圧入力!D$25^2-寸法→圧入力!F$26^2)</f>
        <v>32.302929391947075</v>
      </c>
      <c r="AI56" s="99">
        <f>テーブル4[[#This Row],[半径方向応力:Δ+30℃]]*2*寸法→圧入力!D$25^2/(寸法→圧入力!D$25^2-寸法→圧入力!F$26^2)</f>
        <v>15.221602092350325</v>
      </c>
      <c r="AJ56" s="99">
        <f>寸法→圧入力!$D$32</f>
        <v>345</v>
      </c>
      <c r="AK56" s="99">
        <f>テーブル4[[#This Row],[半径方向応力:Δ-30℃]]* (1+(寸法→圧入力!D$36/寸法→圧入力!F$35)^2)/((寸法→圧入力!D$36/寸法→圧入力!F$35)^2-1)</f>
        <v>45.114883140835474</v>
      </c>
      <c r="AL56" s="99">
        <f>テーブル4[[#This Row],[半径方向応力:Δ-20℃]]* (1+(寸法→圧入力!D$36/寸法→圧入力!F$35)^2)/((寸法→圧入力!D$36/寸法→圧入力!F$35)^2-1)</f>
        <v>38.568073803928201</v>
      </c>
      <c r="AM56" s="99">
        <f>テーブル4[[#This Row],[半径方向応力:Δ-10℃]]* (1+(寸法→圧入力!D$36/寸法→圧入力!F$35)^2)/((寸法→圧入力!D$36/寸法→圧入力!F$35)^2-1)</f>
        <v>32.021264467015982</v>
      </c>
      <c r="AN56" s="99">
        <f>テーブル4[[#This Row],[半径方向応力:Δ0℃]]* (1+(寸法→圧入力!D$36/寸法→圧入力!F$35)^2)/((寸法→圧入力!D$36/寸法→圧入力!F$35)^2-1)</f>
        <v>25.47445513011364</v>
      </c>
      <c r="AO56" s="99">
        <f>テーブル4[[#This Row],[半径方向応力:Δ+10℃]]* (1+(寸法→圧入力!D$36/寸法→圧入力!F$35)^2)/((寸法→圧入力!D$36/寸法→圧入力!F$35)^2-1)</f>
        <v>18.927645793201428</v>
      </c>
      <c r="AP56" s="99">
        <f>テーブル4[[#This Row],[半径方向応力:Δ+20℃]]* (1+(寸法→圧入力!D$36/寸法→圧入力!F$35)^2)/((寸法→圧入力!D$36/寸法→圧入力!F$35)^2-1)</f>
        <v>12.380836456289217</v>
      </c>
      <c r="AQ56" s="99">
        <f>テーブル4[[#This Row],[半径方向応力:Δ+30℃]]* (1+(寸法→圧入力!D$36/寸法→圧入力!F$35)^2)/((寸法→圧入力!D$36/寸法→圧入力!F$35)^2-1)</f>
        <v>5.8340271193819389</v>
      </c>
      <c r="AR56" s="99">
        <f>寸法→圧入力!$D$41</f>
        <v>150</v>
      </c>
    </row>
  </sheetData>
  <phoneticPr fontId="1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A1305-7535-4704-B2ED-6CA73D7FA876}">
  <sheetPr codeName="Sheet4">
    <outlinePr summaryBelow="0"/>
  </sheetPr>
  <dimension ref="A2:G93"/>
  <sheetViews>
    <sheetView zoomScale="80" zoomScaleNormal="80" workbookViewId="0">
      <selection activeCell="G23" sqref="G23"/>
    </sheetView>
  </sheetViews>
  <sheetFormatPr defaultRowHeight="17.649999999999999"/>
  <cols>
    <col min="1" max="1" width="9" style="86"/>
    <col min="2" max="2" width="8.25" style="86" bestFit="1" customWidth="1"/>
    <col min="3" max="3" width="34.625" style="86" bestFit="1" customWidth="1"/>
    <col min="4" max="6" width="10.5625" style="86" customWidth="1"/>
    <col min="7" max="7" width="9" style="3"/>
    <col min="8" max="8" width="9.25" style="86" bestFit="1" customWidth="1"/>
    <col min="9" max="16384" width="9" style="86"/>
  </cols>
  <sheetData>
    <row r="2" spans="1:7" ht="25.9" customHeight="1">
      <c r="A2" s="95" t="s">
        <v>104</v>
      </c>
      <c r="B2" s="110"/>
      <c r="C2" s="110"/>
      <c r="D2" s="110"/>
      <c r="E2" s="110"/>
      <c r="F2" s="110"/>
    </row>
    <row r="3" spans="1:7" ht="25.9">
      <c r="A3" s="112" t="s">
        <v>137</v>
      </c>
      <c r="B3" s="111"/>
      <c r="C3" s="111"/>
      <c r="D3" s="111"/>
      <c r="E3" s="111"/>
      <c r="F3" s="111"/>
    </row>
    <row r="4" spans="1:7">
      <c r="B4" s="83"/>
      <c r="C4" s="87"/>
      <c r="D4" s="126" t="s">
        <v>59</v>
      </c>
      <c r="E4" s="126" t="s">
        <v>58</v>
      </c>
      <c r="F4" s="126" t="s">
        <v>60</v>
      </c>
    </row>
    <row r="5" spans="1:7">
      <c r="B5" s="85" t="s">
        <v>39</v>
      </c>
      <c r="C5" s="87" t="s">
        <v>116</v>
      </c>
      <c r="D5" s="209">
        <v>45</v>
      </c>
      <c r="E5" s="209"/>
      <c r="F5" s="209"/>
      <c r="G5" s="3" t="s">
        <v>96</v>
      </c>
    </row>
    <row r="6" spans="1:7">
      <c r="B6" s="85"/>
      <c r="C6" s="89" t="s">
        <v>3</v>
      </c>
      <c r="D6" s="80">
        <v>0.1</v>
      </c>
      <c r="E6" s="80">
        <v>0.11</v>
      </c>
      <c r="F6" s="80">
        <v>0.12</v>
      </c>
      <c r="G6" s="3" t="s">
        <v>96</v>
      </c>
    </row>
    <row r="7" spans="1:7">
      <c r="B7" s="85"/>
      <c r="C7" s="89" t="s">
        <v>106</v>
      </c>
      <c r="D7" s="80">
        <v>-20</v>
      </c>
      <c r="E7" s="80">
        <v>0</v>
      </c>
      <c r="F7" s="80">
        <v>20</v>
      </c>
      <c r="G7" s="3" t="s">
        <v>96</v>
      </c>
    </row>
    <row r="8" spans="1:7">
      <c r="B8" s="83"/>
      <c r="C8" s="84" t="s">
        <v>130</v>
      </c>
      <c r="D8" s="92">
        <f>IF(D41&gt;=D32,
IF(F43-F34&lt;=F7,F43-F7,F34),
IF(D43-D34&gt;=F7,D43-F7,D34)
)</f>
        <v>130</v>
      </c>
      <c r="E8" s="104" t="s">
        <v>112</v>
      </c>
      <c r="F8" s="98">
        <f>IF(D41&gt;=D32,
IF(D43-D34&lt;=D7, D34, D43-D7),
IF(F43-F34&gt;=D7,  F34,  F43-D7)
)</f>
        <v>-20</v>
      </c>
    </row>
    <row r="9" spans="1:7">
      <c r="B9" s="83"/>
      <c r="C9" s="84" t="s">
        <v>131</v>
      </c>
      <c r="D9" s="92">
        <f>IF(D41&gt;=D32,
IF(F43-F34&lt;=F7,F43,F34+F7),
IF(D43-D34&gt;=F7,D43,D34+F7)
)</f>
        <v>150</v>
      </c>
      <c r="E9" s="104" t="s">
        <v>112</v>
      </c>
      <c r="F9" s="98">
        <f>IF(D41&gt;=D32,
IF(D43-D34&lt;=D7, D34+D7, D43),
IF(F43-F34&gt;=D7,  F34+D7, F43)
)</f>
        <v>-40</v>
      </c>
    </row>
    <row r="10" spans="1:7">
      <c r="B10" s="83"/>
      <c r="C10" s="84" t="s">
        <v>132</v>
      </c>
      <c r="D10" s="105">
        <f>((D8-20)*D32-(D9-20)*D41)*10^-6</f>
        <v>-1.3549999999999999E-3</v>
      </c>
      <c r="E10" s="105" t="s">
        <v>112</v>
      </c>
      <c r="F10" s="105">
        <f>((F8-20)*D32-(F9-20)*D41)*10^-6</f>
        <v>7.5999999999999993E-4</v>
      </c>
    </row>
    <row r="11" spans="1:7">
      <c r="B11" s="83"/>
      <c r="C11" s="83" t="s">
        <v>115</v>
      </c>
      <c r="D11" s="7">
        <v>14.6</v>
      </c>
      <c r="E11" s="7">
        <f>(F11+D11)/2</f>
        <v>14.8</v>
      </c>
      <c r="F11" s="7">
        <v>15</v>
      </c>
      <c r="G11" s="3" t="s">
        <v>96</v>
      </c>
    </row>
    <row r="12" spans="1:7">
      <c r="B12" s="83"/>
      <c r="C12" s="83" t="s">
        <v>255</v>
      </c>
      <c r="D12" s="123">
        <v>100</v>
      </c>
      <c r="E12" s="123">
        <v>200</v>
      </c>
      <c r="F12" s="123">
        <v>300</v>
      </c>
      <c r="G12" s="3" t="s">
        <v>96</v>
      </c>
    </row>
    <row r="13" spans="1:7">
      <c r="B13" s="83"/>
      <c r="C13" s="83" t="s">
        <v>114</v>
      </c>
      <c r="D13" s="98">
        <f>(D11*2*PI()*(D5/2)) - F12</f>
        <v>1764.0263734084938</v>
      </c>
      <c r="E13" s="98">
        <f>(E11*2*PI()*(D5/2)) - E12</f>
        <v>1892.3007072908022</v>
      </c>
      <c r="F13" s="98">
        <f>(F11*2*PI()*(D5/2)) - D12</f>
        <v>2020.5750411731101</v>
      </c>
    </row>
    <row r="14" spans="1:7">
      <c r="B14" s="83"/>
      <c r="C14" s="83" t="s">
        <v>111</v>
      </c>
      <c r="D14" s="7">
        <v>1500</v>
      </c>
      <c r="E14" s="7">
        <f>(D14+F14)/2</f>
        <v>1750</v>
      </c>
      <c r="F14" s="7">
        <v>2000</v>
      </c>
      <c r="G14" s="3" t="s">
        <v>96</v>
      </c>
    </row>
    <row r="15" spans="1:7" ht="25.9">
      <c r="A15" s="95" t="s">
        <v>107</v>
      </c>
    </row>
    <row r="16" spans="1:7" ht="25.9">
      <c r="A16" s="95" t="s">
        <v>136</v>
      </c>
      <c r="B16" s="94"/>
      <c r="C16" s="90"/>
      <c r="D16" s="81"/>
      <c r="E16" s="81"/>
      <c r="F16" s="81"/>
    </row>
    <row r="17" spans="1:7">
      <c r="B17" s="85" t="s">
        <v>39</v>
      </c>
      <c r="C17" s="87" t="s">
        <v>108</v>
      </c>
      <c r="D17" s="217">
        <v>1.23</v>
      </c>
      <c r="E17" s="218"/>
      <c r="F17" s="219"/>
      <c r="G17" s="3" t="s">
        <v>96</v>
      </c>
    </row>
    <row r="18" spans="1:7">
      <c r="B18" s="85"/>
      <c r="C18" s="89" t="s">
        <v>109</v>
      </c>
      <c r="D18" s="226">
        <v>50</v>
      </c>
      <c r="E18" s="227"/>
      <c r="F18" s="228"/>
      <c r="G18" s="3" t="s">
        <v>96</v>
      </c>
    </row>
    <row r="19" spans="1:7">
      <c r="B19" s="85"/>
      <c r="C19" s="89" t="s">
        <v>113</v>
      </c>
      <c r="D19" s="214">
        <f>D17*D18*9.81</f>
        <v>603.31500000000005</v>
      </c>
      <c r="E19" s="215"/>
      <c r="F19" s="216"/>
    </row>
    <row r="20" spans="1:7">
      <c r="B20" s="85"/>
      <c r="C20" s="89" t="s">
        <v>252</v>
      </c>
      <c r="D20" s="213">
        <v>200</v>
      </c>
      <c r="E20" s="213"/>
      <c r="F20" s="213"/>
      <c r="G20" s="3" t="s">
        <v>96</v>
      </c>
    </row>
    <row r="21" spans="1:7">
      <c r="B21" s="83"/>
      <c r="C21" s="89" t="s">
        <v>122</v>
      </c>
      <c r="D21" s="214">
        <f>D19+D20</f>
        <v>803.31500000000005</v>
      </c>
      <c r="E21" s="215"/>
      <c r="F21" s="215"/>
    </row>
    <row r="22" spans="1:7" s="130" customFormat="1">
      <c r="B22" s="84"/>
      <c r="C22" s="88" t="s">
        <v>251</v>
      </c>
      <c r="D22" s="230">
        <v>10</v>
      </c>
      <c r="E22" s="230"/>
      <c r="F22" s="230"/>
      <c r="G22" s="3" t="s">
        <v>96</v>
      </c>
    </row>
    <row r="23" spans="1:7" s="130" customFormat="1">
      <c r="B23" s="84"/>
      <c r="C23" s="88" t="s">
        <v>254</v>
      </c>
      <c r="D23" s="231">
        <f>D22/(2*PI()*D5/1000/2)</f>
        <v>70.735530263064589</v>
      </c>
      <c r="E23" s="232"/>
      <c r="F23" s="233"/>
      <c r="G23" s="131"/>
    </row>
    <row r="24" spans="1:7" s="130" customFormat="1">
      <c r="B24" s="84"/>
      <c r="C24" s="88" t="s">
        <v>253</v>
      </c>
      <c r="D24" s="229">
        <f>SQRT(D20^2+D23^2)</f>
        <v>212.1403196980643</v>
      </c>
      <c r="E24" s="229"/>
      <c r="F24" s="229"/>
    </row>
    <row r="25" spans="1:7" s="130" customFormat="1">
      <c r="B25" s="165"/>
      <c r="C25" s="166"/>
      <c r="D25"/>
      <c r="E25"/>
      <c r="F25"/>
    </row>
    <row r="26" spans="1:7" ht="25.9">
      <c r="A26" s="95" t="s">
        <v>102</v>
      </c>
      <c r="D26"/>
      <c r="E26"/>
      <c r="F26"/>
    </row>
    <row r="27" spans="1:7" ht="25.9">
      <c r="A27" s="95" t="s">
        <v>138</v>
      </c>
    </row>
    <row r="28" spans="1:7">
      <c r="B28" s="83"/>
      <c r="C28" s="87" t="s">
        <v>85</v>
      </c>
      <c r="D28" s="7">
        <f>E28-0.1</f>
        <v>29.9</v>
      </c>
      <c r="E28" s="7">
        <v>30</v>
      </c>
      <c r="F28" s="7">
        <f>E28+0.1</f>
        <v>30.1</v>
      </c>
    </row>
    <row r="29" spans="1:7">
      <c r="B29" s="83"/>
      <c r="C29" s="87" t="s">
        <v>69</v>
      </c>
      <c r="D29" s="209" t="s">
        <v>89</v>
      </c>
      <c r="E29" s="209"/>
      <c r="F29" s="209"/>
    </row>
    <row r="30" spans="1:7">
      <c r="B30" s="83"/>
      <c r="C30" s="87" t="s">
        <v>95</v>
      </c>
      <c r="D30" s="208" cm="1">
        <f t="array" ref="D30">INDEX(Youngs_Modulus_List, MATCH(D29,Material_List, 0))</f>
        <v>208000</v>
      </c>
      <c r="E30" s="208"/>
      <c r="F30" s="208"/>
    </row>
    <row r="31" spans="1:7">
      <c r="B31" s="83"/>
      <c r="C31" s="87" t="s">
        <v>70</v>
      </c>
      <c r="D31" s="208" cm="1">
        <f t="array" ref="D31">INDEX(Poissons_Ratio_List, MATCH(D29,Material_List, 0))</f>
        <v>0.3</v>
      </c>
      <c r="E31" s="208"/>
      <c r="F31" s="208"/>
    </row>
    <row r="32" spans="1:7">
      <c r="B32" s="83"/>
      <c r="C32" s="87" t="s">
        <v>71</v>
      </c>
      <c r="D32" s="208" cm="1">
        <f t="array" ref="D32">INDEX(Linear_Expansion_Coefficient_List, MATCH(D29,Material_List, 0))</f>
        <v>12.5</v>
      </c>
      <c r="E32" s="208"/>
      <c r="F32" s="208"/>
    </row>
    <row r="33" spans="1:7">
      <c r="B33" s="83"/>
      <c r="C33" s="87" t="s">
        <v>73</v>
      </c>
      <c r="D33" s="208" cm="1">
        <f t="array" ref="D33">INDEX(Yield_Point_List, MATCH(D29,Material_List, 0))</f>
        <v>785</v>
      </c>
      <c r="E33" s="208"/>
      <c r="F33" s="208"/>
    </row>
    <row r="34" spans="1:7">
      <c r="B34" s="83"/>
      <c r="C34" s="87" t="s">
        <v>129</v>
      </c>
      <c r="D34" s="108">
        <v>-40</v>
      </c>
      <c r="E34" s="108">
        <v>0</v>
      </c>
      <c r="F34" s="108">
        <v>150</v>
      </c>
    </row>
    <row r="35" spans="1:7" ht="25.9">
      <c r="A35" s="95" t="s">
        <v>103</v>
      </c>
    </row>
    <row r="36" spans="1:7" ht="25.9">
      <c r="A36" s="95" t="s">
        <v>139</v>
      </c>
    </row>
    <row r="37" spans="1:7">
      <c r="B37" s="83"/>
      <c r="C37" s="87" t="s">
        <v>74</v>
      </c>
      <c r="D37" s="7">
        <v>59</v>
      </c>
      <c r="E37" s="7">
        <v>60</v>
      </c>
      <c r="F37" s="7">
        <v>61</v>
      </c>
    </row>
    <row r="38" spans="1:7">
      <c r="B38" s="83"/>
      <c r="C38" s="87" t="s">
        <v>69</v>
      </c>
      <c r="D38" s="209" t="s">
        <v>91</v>
      </c>
      <c r="E38" s="209"/>
      <c r="F38" s="209"/>
    </row>
    <row r="39" spans="1:7">
      <c r="B39" s="83"/>
      <c r="C39" s="87" t="s">
        <v>95</v>
      </c>
      <c r="D39" s="208" cm="1">
        <f t="array" ref="D39">INDEX(Youngs_Modulus_List, MATCH(D38,Material_List, 0))</f>
        <v>71000</v>
      </c>
      <c r="E39" s="208"/>
      <c r="F39" s="208"/>
    </row>
    <row r="40" spans="1:7">
      <c r="B40" s="83"/>
      <c r="C40" s="87" t="s">
        <v>70</v>
      </c>
      <c r="D40" s="208" cm="1">
        <f t="array" ref="D40">INDEX(Poissons_Ratio_List, MATCH(D38,Material_List, 0))</f>
        <v>0.33</v>
      </c>
      <c r="E40" s="208"/>
      <c r="F40" s="208"/>
    </row>
    <row r="41" spans="1:7">
      <c r="B41" s="83"/>
      <c r="C41" s="87" t="s">
        <v>71</v>
      </c>
      <c r="D41" s="208" cm="1">
        <f t="array" ref="D41">INDEX(Linear_Expansion_Coefficient_List, MATCH(D38,Material_List, 0))</f>
        <v>21</v>
      </c>
      <c r="E41" s="208"/>
      <c r="F41" s="208"/>
    </row>
    <row r="42" spans="1:7">
      <c r="B42" s="83"/>
      <c r="C42" s="87" t="s">
        <v>73</v>
      </c>
      <c r="D42" s="208" cm="1">
        <f t="array" ref="D42">INDEX(Yield_Point_List, MATCH(D38,Material_List, 0))</f>
        <v>150</v>
      </c>
      <c r="E42" s="208"/>
      <c r="F42" s="208"/>
    </row>
    <row r="43" spans="1:7">
      <c r="B43" s="83"/>
      <c r="C43" s="87" t="s">
        <v>129</v>
      </c>
      <c r="D43" s="109">
        <v>-40</v>
      </c>
      <c r="E43" s="109">
        <v>20</v>
      </c>
      <c r="F43" s="109">
        <v>150</v>
      </c>
    </row>
    <row r="44" spans="1:7" ht="25.9">
      <c r="A44" s="95" t="s">
        <v>119</v>
      </c>
    </row>
    <row r="45" spans="1:7" ht="25.9">
      <c r="A45" s="95" t="s">
        <v>140</v>
      </c>
    </row>
    <row r="46" spans="1:7">
      <c r="B46" s="83"/>
      <c r="C46" s="83" t="s">
        <v>105</v>
      </c>
      <c r="D46" s="209">
        <v>2</v>
      </c>
      <c r="E46" s="209"/>
      <c r="F46" s="209"/>
      <c r="G46" s="3" t="s">
        <v>96</v>
      </c>
    </row>
    <row r="47" spans="1:7">
      <c r="B47" s="83"/>
      <c r="C47" s="83" t="s">
        <v>134</v>
      </c>
      <c r="D47" s="209">
        <v>2</v>
      </c>
      <c r="E47" s="209"/>
      <c r="F47" s="209"/>
      <c r="G47" s="3" t="s">
        <v>96</v>
      </c>
    </row>
    <row r="48" spans="1:7">
      <c r="B48" s="83"/>
      <c r="C48" s="83" t="s">
        <v>110</v>
      </c>
      <c r="D48" s="209">
        <v>2</v>
      </c>
      <c r="E48" s="209"/>
      <c r="F48" s="209"/>
      <c r="G48" s="3" t="s">
        <v>96</v>
      </c>
    </row>
    <row r="49" spans="1:6" ht="25.9">
      <c r="A49" s="95" t="s">
        <v>120</v>
      </c>
    </row>
    <row r="50" spans="1:6" ht="25.9">
      <c r="A50" s="95" t="s">
        <v>141</v>
      </c>
    </row>
    <row r="51" spans="1:6">
      <c r="B51" s="83"/>
      <c r="C51" s="83" t="s">
        <v>124</v>
      </c>
      <c r="D51" s="123" t="s">
        <v>112</v>
      </c>
      <c r="E51" s="123" t="s">
        <v>112</v>
      </c>
      <c r="F51" s="113">
        <f>MIN(D33,D42)/D46</f>
        <v>75</v>
      </c>
    </row>
    <row r="52" spans="1:6">
      <c r="B52" s="83"/>
      <c r="C52" s="83" t="s">
        <v>144</v>
      </c>
      <c r="D52" s="123" t="s">
        <v>112</v>
      </c>
      <c r="E52" s="123" t="s">
        <v>112</v>
      </c>
      <c r="F52" s="114">
        <f xml:space="preserve">
(F51*D5)/(1/
((D5^2+F28^2)/(D5^2-F28^2)/D30)
+((D37^2+D5^2)/(D37^2-D5^2)/D39)
-(D31/D30)+(D40/D39)
)</f>
        <v>4.2501233697376843E-2</v>
      </c>
    </row>
    <row r="53" spans="1:6">
      <c r="B53" s="83"/>
      <c r="C53" s="83" t="s">
        <v>145</v>
      </c>
      <c r="D53" s="123" t="s">
        <v>112</v>
      </c>
      <c r="E53" s="123" t="s">
        <v>112</v>
      </c>
      <c r="F53" s="114">
        <f>F52-F10</f>
        <v>4.1741233697376846E-2</v>
      </c>
    </row>
    <row r="54" spans="1:6" ht="25.9">
      <c r="A54" s="95" t="s">
        <v>123</v>
      </c>
    </row>
    <row r="55" spans="1:6" ht="25.9">
      <c r="A55" s="95" t="s">
        <v>142</v>
      </c>
    </row>
    <row r="56" spans="1:6">
      <c r="B56" s="83"/>
      <c r="C56" s="83" t="s">
        <v>146</v>
      </c>
      <c r="D56" s="96">
        <f>D24*D47</f>
        <v>424.28063939612861</v>
      </c>
      <c r="E56" s="123" t="s">
        <v>112</v>
      </c>
      <c r="F56" s="123" t="s">
        <v>112</v>
      </c>
    </row>
    <row r="57" spans="1:6">
      <c r="B57" s="83"/>
      <c r="C57" s="83" t="s">
        <v>147</v>
      </c>
      <c r="D57" s="98">
        <f>D56/D6</f>
        <v>4242.8063939612857</v>
      </c>
      <c r="E57" s="123" t="s">
        <v>112</v>
      </c>
      <c r="F57" s="123" t="s">
        <v>112</v>
      </c>
    </row>
    <row r="58" spans="1:6">
      <c r="B58" s="83"/>
      <c r="C58" s="83" t="s">
        <v>148</v>
      </c>
      <c r="D58" s="97">
        <f>D57/D13</f>
        <v>2.4051830845154738</v>
      </c>
      <c r="E58" s="123" t="s">
        <v>112</v>
      </c>
      <c r="F58" s="123" t="s">
        <v>112</v>
      </c>
    </row>
    <row r="59" spans="1:6">
      <c r="B59" s="83"/>
      <c r="C59" s="83" t="s">
        <v>149</v>
      </c>
      <c r="D59" s="102">
        <f xml:space="preserve">
(D58*D5)/(1/
((D5^2+F28^2)/(D5^2-F28^2)/D30)
+((D37^2+D5^2)/(D37^2-D5^2)/D39)
-(D31/D30)+(D40/D39)
)</f>
        <v>1.3629766447995977E-3</v>
      </c>
      <c r="E59" s="123" t="s">
        <v>112</v>
      </c>
      <c r="F59" s="123" t="s">
        <v>112</v>
      </c>
    </row>
    <row r="60" spans="1:6">
      <c r="B60" s="83"/>
      <c r="C60" s="83" t="s">
        <v>150</v>
      </c>
      <c r="D60" s="107">
        <f>D59-D10</f>
        <v>2.7179766447995978E-3</v>
      </c>
      <c r="E60" s="123" t="s">
        <v>112</v>
      </c>
      <c r="F60" s="123" t="s">
        <v>112</v>
      </c>
    </row>
    <row r="61" spans="1:6" ht="25.9">
      <c r="A61" s="95" t="s">
        <v>125</v>
      </c>
    </row>
    <row r="62" spans="1:6" ht="25.9">
      <c r="A62" s="95" t="s">
        <v>143</v>
      </c>
      <c r="D62" s="3"/>
      <c r="E62" s="3"/>
    </row>
    <row r="63" spans="1:6">
      <c r="B63" s="83"/>
      <c r="C63" s="83" t="s">
        <v>128</v>
      </c>
      <c r="D63" s="123" t="s">
        <v>112</v>
      </c>
      <c r="E63" s="123" t="s">
        <v>112</v>
      </c>
      <c r="F63" s="92">
        <f>MIN(D33,D42)/D48</f>
        <v>75</v>
      </c>
    </row>
    <row r="64" spans="1:6">
      <c r="B64" s="83"/>
      <c r="C64" s="83" t="s">
        <v>127</v>
      </c>
      <c r="D64" s="123" t="s">
        <v>112</v>
      </c>
      <c r="E64" s="123" t="s">
        <v>112</v>
      </c>
      <c r="F64" s="92">
        <f>F63*D14</f>
        <v>112500</v>
      </c>
    </row>
    <row r="65" spans="1:7">
      <c r="B65" s="83"/>
      <c r="C65" s="83" t="s">
        <v>151</v>
      </c>
      <c r="D65" s="123" t="s">
        <v>112</v>
      </c>
      <c r="E65" s="123" t="s">
        <v>112</v>
      </c>
      <c r="F65" s="92">
        <f>F64/F6</f>
        <v>937500</v>
      </c>
    </row>
    <row r="66" spans="1:7">
      <c r="B66" s="83"/>
      <c r="C66" s="83" t="s">
        <v>126</v>
      </c>
      <c r="D66" s="123" t="s">
        <v>112</v>
      </c>
      <c r="E66" s="123" t="s">
        <v>112</v>
      </c>
      <c r="F66" s="113">
        <f>F65/F13</f>
        <v>463.97682882181107</v>
      </c>
    </row>
    <row r="67" spans="1:7">
      <c r="B67" s="83"/>
      <c r="C67" s="83" t="s">
        <v>152</v>
      </c>
      <c r="D67" s="123" t="s">
        <v>112</v>
      </c>
      <c r="E67" s="123" t="s">
        <v>112</v>
      </c>
      <c r="F67" s="117">
        <f xml:space="preserve">
(F66*D5)/(1/
((D5^2+F28^2)/(D5^2-F28^2)/D30)
+((D37^2+D5^2)/(D37^2-D5^2)/D39)
-(D31/D30)+(D40/D39)
)</f>
        <v>0.26292783509231471</v>
      </c>
    </row>
    <row r="68" spans="1:7" ht="25.9">
      <c r="A68" s="95" t="s">
        <v>159</v>
      </c>
    </row>
    <row r="69" spans="1:7">
      <c r="B69" s="83"/>
      <c r="C69" s="83" t="s">
        <v>135</v>
      </c>
      <c r="D69" s="116">
        <f>D60</f>
        <v>2.7179766447995978E-3</v>
      </c>
      <c r="E69" s="164" t="s">
        <v>112</v>
      </c>
      <c r="F69" s="115">
        <f>MIN(F53,F67)</f>
        <v>4.1741233697376846E-2</v>
      </c>
      <c r="G69" s="3" t="s">
        <v>98</v>
      </c>
    </row>
    <row r="70" spans="1:7">
      <c r="B70" s="83"/>
      <c r="C70" s="84" t="s">
        <v>118</v>
      </c>
      <c r="D70" s="118">
        <f xml:space="preserve">
(D69/D5)*(1/
((D5^2+F28^2)/(D5^2-F28^2)/D30)
+((D37^2+D5^2)/(D37^2-D5^2)/D39)
-(D31/D30)+(D40/D39)
)</f>
        <v>4.7962901456329075</v>
      </c>
      <c r="E70" s="124" t="s">
        <v>112</v>
      </c>
      <c r="F70" s="93">
        <f xml:space="preserve">
(F69/D5)*(1/
((D5^2+F28^2)/(D5^2-F28^2)/D30)
+((D37^2+D5^2)/(D37^2-D5^2)/D39)
-(D31/D30)+(D40/D39)
)</f>
        <v>73.658862460185063</v>
      </c>
    </row>
    <row r="71" spans="1:7">
      <c r="B71" s="83"/>
      <c r="C71" s="84" t="s">
        <v>156</v>
      </c>
      <c r="D71" s="121">
        <f>D70*D13*D6</f>
        <v>846.07823114157145</v>
      </c>
      <c r="E71" s="164" t="s">
        <v>112</v>
      </c>
      <c r="F71" s="121">
        <f>F70*F13*F6</f>
        <v>17859.991085790345</v>
      </c>
      <c r="G71" s="3" t="s">
        <v>98</v>
      </c>
    </row>
    <row r="72" spans="1:7">
      <c r="B72" s="83"/>
      <c r="C72" s="83" t="s">
        <v>121</v>
      </c>
      <c r="D72" s="119">
        <f>D69+D10</f>
        <v>1.3629766447995979E-3</v>
      </c>
      <c r="E72" s="124" t="s">
        <v>112</v>
      </c>
      <c r="F72" s="120">
        <f>F69+F10</f>
        <v>4.2501233697376843E-2</v>
      </c>
    </row>
    <row r="73" spans="1:7">
      <c r="B73" s="83"/>
      <c r="C73" s="84" t="s">
        <v>153</v>
      </c>
      <c r="D73" s="93">
        <f xml:space="preserve">
(D72/D5)*(1/
((D5^2+F28^2)/(D5^2-F28^2)/D30)
+((D37^2+D5^2)/(D37^2-D5^2)/D39)
-(D31/D30)+(D40/D39)
)</f>
        <v>2.4051830845154742</v>
      </c>
      <c r="E73" s="124" t="s">
        <v>112</v>
      </c>
      <c r="F73" s="93">
        <f xml:space="preserve">
(F72/D5)*(1/
((D5^2+F28^2)/(D5^2-F28^2)/D30)
+((D37^2+D5^2)/(D37^2-D5^2)/D39)
-(D31/D30)+(D40/D39)
)</f>
        <v>74.999999999999986</v>
      </c>
    </row>
    <row r="74" spans="1:7">
      <c r="B74" s="83"/>
      <c r="C74" s="84" t="s">
        <v>154</v>
      </c>
      <c r="D74" s="93">
        <f>D73*D13</f>
        <v>4242.8063939612866</v>
      </c>
      <c r="E74" s="124" t="s">
        <v>112</v>
      </c>
      <c r="F74" s="93">
        <f>F73*F13</f>
        <v>151543.12808798323</v>
      </c>
    </row>
    <row r="75" spans="1:7">
      <c r="B75" s="83"/>
      <c r="C75" s="84" t="s">
        <v>133</v>
      </c>
      <c r="D75" s="93">
        <f>D74*D6</f>
        <v>424.28063939612866</v>
      </c>
      <c r="E75" s="124" t="s">
        <v>112</v>
      </c>
      <c r="F75" s="93">
        <f>F74*F6</f>
        <v>18185.175370557987</v>
      </c>
    </row>
    <row r="76" spans="1:7">
      <c r="B76" s="83"/>
      <c r="C76" s="84" t="s">
        <v>157</v>
      </c>
      <c r="D76" s="113">
        <f>F71</f>
        <v>17859.991085790345</v>
      </c>
      <c r="E76" s="98" t="s">
        <v>112</v>
      </c>
      <c r="F76" s="113">
        <f>D76*2</f>
        <v>35719.98217158069</v>
      </c>
    </row>
    <row r="77" spans="1:7">
      <c r="B77" s="83"/>
      <c r="C77" s="84" t="s">
        <v>158</v>
      </c>
      <c r="D77" s="93">
        <f>D76/F14</f>
        <v>8.9299955428951723</v>
      </c>
      <c r="E77" s="124" t="s">
        <v>112</v>
      </c>
      <c r="F77" s="93">
        <f>F76/D14</f>
        <v>23.813321447720462</v>
      </c>
    </row>
    <row r="78" spans="1:7">
      <c r="B78" s="83"/>
      <c r="C78" s="83" t="s">
        <v>105</v>
      </c>
      <c r="D78" s="122">
        <f>MIN(D33,D42)/F73</f>
        <v>2.0000000000000004</v>
      </c>
      <c r="E78" s="103"/>
      <c r="F78" s="122">
        <f>MIN(D33,D42)/D73</f>
        <v>62.365314709594173</v>
      </c>
      <c r="G78" s="3" t="s">
        <v>98</v>
      </c>
    </row>
    <row r="79" spans="1:7">
      <c r="B79" s="83"/>
      <c r="C79" s="83" t="s">
        <v>155</v>
      </c>
      <c r="D79" s="122">
        <f>D75/D24</f>
        <v>2.0000000000000004</v>
      </c>
      <c r="E79" s="103"/>
      <c r="F79" s="122">
        <f>F75/D24</f>
        <v>85.72239071026496</v>
      </c>
      <c r="G79" s="3" t="s">
        <v>98</v>
      </c>
    </row>
    <row r="80" spans="1:7">
      <c r="B80" s="83"/>
      <c r="C80" s="83" t="s">
        <v>110</v>
      </c>
      <c r="D80" s="122">
        <f>MIN(D33,D42)/F77</f>
        <v>6.2989953051827969</v>
      </c>
      <c r="E80" s="103"/>
      <c r="F80" s="122">
        <f>MIN(D33,D42)/D77</f>
        <v>16.797320813820793</v>
      </c>
      <c r="G80" s="3" t="s">
        <v>98</v>
      </c>
    </row>
    <row r="81" spans="1:7" ht="25.9">
      <c r="A81" s="95" t="s">
        <v>160</v>
      </c>
      <c r="E81" s="3"/>
    </row>
    <row r="82" spans="1:7">
      <c r="C82" s="83" t="s">
        <v>135</v>
      </c>
      <c r="D82" s="83">
        <v>0.01</v>
      </c>
      <c r="E82" s="123" t="s">
        <v>161</v>
      </c>
      <c r="F82" s="83">
        <v>0.03</v>
      </c>
      <c r="G82" s="3" t="s">
        <v>96</v>
      </c>
    </row>
    <row r="83" spans="1:7">
      <c r="C83" s="84" t="s">
        <v>118</v>
      </c>
      <c r="D83" s="93">
        <f xml:space="preserve">
(D82/D5)*(1/
((D5^2+F28^2)/(D5^2-F28^2)/D30)
+((D37^2+D5^2)/(D37^2-D5^2)/D39)
-(D31/D30)+(D40/D39)
)</f>
        <v>17.646546576512428</v>
      </c>
      <c r="E83" s="97" t="s">
        <v>161</v>
      </c>
      <c r="F83" s="97">
        <f xml:space="preserve">
(F82/D5)*(1/
((D5^2+F28^2)/(D5^2-F28^2)/D30)
+((D37^2+D5^2)/(D37^2-D5^2)/D39)
-(D31/D30)+(D40/D39)
)</f>
        <v>52.939639729537284</v>
      </c>
    </row>
    <row r="84" spans="1:7">
      <c r="C84" s="84" t="s">
        <v>156</v>
      </c>
      <c r="D84" s="113">
        <f>D83*D13*D6</f>
        <v>3112.8973560549293</v>
      </c>
      <c r="E84" s="124" t="s">
        <v>161</v>
      </c>
      <c r="F84" s="113">
        <f>F83*F13*F6</f>
        <v>12836.221767143928</v>
      </c>
    </row>
    <row r="85" spans="1:7">
      <c r="C85" s="83" t="s">
        <v>121</v>
      </c>
      <c r="D85" s="119">
        <f>D82+D10</f>
        <v>8.6449999999999999E-3</v>
      </c>
      <c r="E85" s="107" t="s">
        <v>161</v>
      </c>
      <c r="F85" s="119">
        <f>F82+F10</f>
        <v>3.0759999999999999E-2</v>
      </c>
    </row>
    <row r="86" spans="1:7">
      <c r="C86" s="84" t="s">
        <v>153</v>
      </c>
      <c r="D86" s="93">
        <f xml:space="preserve">
(D85/D5)*(1/
((D5^2+F28^2)/(D5^2-F28^2)/D30)
+((D37^2+D5^2)/(D37^2-D5^2)/D39)
-(D31/D30)+(D40/D39)
)</f>
        <v>15.255439515394993</v>
      </c>
      <c r="E86" s="97" t="s">
        <v>161</v>
      </c>
      <c r="F86" s="93">
        <f xml:space="preserve">
(F85/D5)*(1/
((D5^2+F28^2)/(D5^2-F28^2)/D30)
+((D37^2+D5^2)/(D37^2-D5^2)/D39)
-(D31/D30)+(D40/D39)
)</f>
        <v>54.280777269352228</v>
      </c>
    </row>
    <row r="87" spans="1:7">
      <c r="C87" s="84" t="s">
        <v>154</v>
      </c>
      <c r="D87" s="113">
        <f>D86*D13</f>
        <v>26910.997643094859</v>
      </c>
      <c r="E87" s="98" t="s">
        <v>161</v>
      </c>
      <c r="F87" s="113">
        <f>F86*F13</f>
        <v>109678.3837659298</v>
      </c>
    </row>
    <row r="88" spans="1:7">
      <c r="C88" s="84" t="s">
        <v>133</v>
      </c>
      <c r="D88" s="113">
        <f>D87*D6</f>
        <v>2691.0997643094861</v>
      </c>
      <c r="E88" s="98" t="s">
        <v>161</v>
      </c>
      <c r="F88" s="113">
        <f>F87*F6</f>
        <v>13161.406051911576</v>
      </c>
    </row>
    <row r="89" spans="1:7">
      <c r="C89" s="84" t="s">
        <v>162</v>
      </c>
      <c r="D89" s="125">
        <v>21000</v>
      </c>
      <c r="E89" s="5" t="s">
        <v>161</v>
      </c>
      <c r="F89" s="125">
        <f>D89*1.1</f>
        <v>23100.000000000004</v>
      </c>
      <c r="G89" s="3" t="s">
        <v>96</v>
      </c>
    </row>
    <row r="90" spans="1:7">
      <c r="C90" s="84" t="s">
        <v>163</v>
      </c>
      <c r="D90" s="93">
        <f>D89/F14</f>
        <v>10.5</v>
      </c>
      <c r="E90" s="97" t="s">
        <v>161</v>
      </c>
      <c r="F90" s="93">
        <f>F89/D14</f>
        <v>15.400000000000002</v>
      </c>
    </row>
    <row r="91" spans="1:7">
      <c r="C91" s="83" t="s">
        <v>105</v>
      </c>
      <c r="D91" s="122">
        <f>MIN(D33,D42)/F86</f>
        <v>2.7634092130934231</v>
      </c>
      <c r="E91" s="103" t="s">
        <v>161</v>
      </c>
      <c r="F91" s="122">
        <f>MIN(D33,D42)/D86</f>
        <v>9.8325584030947013</v>
      </c>
      <c r="G91" s="3" t="s">
        <v>98</v>
      </c>
    </row>
    <row r="92" spans="1:7">
      <c r="C92" s="83" t="s">
        <v>155</v>
      </c>
      <c r="D92" s="122">
        <f>D88/D24</f>
        <v>12.685470485477172</v>
      </c>
      <c r="E92" s="103" t="s">
        <v>161</v>
      </c>
      <c r="F92" s="122">
        <f>F88/D24</f>
        <v>62.041039961870425</v>
      </c>
      <c r="G92" s="3" t="s">
        <v>98</v>
      </c>
    </row>
    <row r="93" spans="1:7">
      <c r="C93" s="83" t="s">
        <v>110</v>
      </c>
      <c r="D93" s="122">
        <f>MIN(D33,D42)/F90</f>
        <v>9.7402597402597397</v>
      </c>
      <c r="E93" s="103" t="s">
        <v>161</v>
      </c>
      <c r="F93" s="122">
        <f>MIN(D33,D42)/D90</f>
        <v>14.285714285714286</v>
      </c>
      <c r="G93" s="3" t="s">
        <v>98</v>
      </c>
    </row>
  </sheetData>
  <mergeCells count="22">
    <mergeCell ref="D47:F47"/>
    <mergeCell ref="D48:F48"/>
    <mergeCell ref="D46:F46"/>
    <mergeCell ref="D38:F38"/>
    <mergeCell ref="D39:F39"/>
    <mergeCell ref="D40:F40"/>
    <mergeCell ref="D41:F41"/>
    <mergeCell ref="D42:F42"/>
    <mergeCell ref="D30:F30"/>
    <mergeCell ref="D31:F31"/>
    <mergeCell ref="D32:F32"/>
    <mergeCell ref="D33:F33"/>
    <mergeCell ref="D5:F5"/>
    <mergeCell ref="D29:F29"/>
    <mergeCell ref="D17:F17"/>
    <mergeCell ref="D18:F18"/>
    <mergeCell ref="D19:F19"/>
    <mergeCell ref="D20:F20"/>
    <mergeCell ref="D24:F24"/>
    <mergeCell ref="D22:F22"/>
    <mergeCell ref="D23:F23"/>
    <mergeCell ref="D21:F21"/>
  </mergeCells>
  <phoneticPr fontId="1"/>
  <conditionalFormatting sqref="D38:F38">
    <cfRule type="cellIs" dxfId="16" priority="8" operator="equal">
      <formula>""</formula>
    </cfRule>
  </conditionalFormatting>
  <conditionalFormatting sqref="D29:F29">
    <cfRule type="cellIs" dxfId="15" priority="7" operator="equal">
      <formula>""</formula>
    </cfRule>
  </conditionalFormatting>
  <conditionalFormatting sqref="D28:F28">
    <cfRule type="cellIs" dxfId="14" priority="4" operator="equal">
      <formula>""</formula>
    </cfRule>
  </conditionalFormatting>
  <conditionalFormatting sqref="D28:F28">
    <cfRule type="cellIs" dxfId="13" priority="3" operator="greaterThan">
      <formula>$D$4</formula>
    </cfRule>
  </conditionalFormatting>
  <conditionalFormatting sqref="E89">
    <cfRule type="cellIs" dxfId="12" priority="2" operator="lessThan">
      <formula>E88+$D$88:$F$88</formula>
    </cfRule>
  </conditionalFormatting>
  <conditionalFormatting sqref="D89">
    <cfRule type="cellIs" dxfId="11" priority="1" operator="lessThan">
      <formula>$F$88</formula>
    </cfRule>
  </conditionalFormatting>
  <dataValidations disablePrompts="1" count="1">
    <dataValidation type="list" allowBlank="1" showInputMessage="1" showErrorMessage="1" sqref="D38:F38 D29:F29" xr:uid="{F26D0454-6192-4F3B-9685-8FF5257BBCE8}">
      <formula1>Material_List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3A8D8-3727-44A3-9E0E-E53B18A6B8A9}">
  <sheetPr codeName="Sheet5">
    <outlinePr summaryBelow="0"/>
  </sheetPr>
  <dimension ref="A2:G93"/>
  <sheetViews>
    <sheetView zoomScale="80" zoomScaleNormal="80" workbookViewId="0">
      <selection activeCell="L30" sqref="L30"/>
    </sheetView>
  </sheetViews>
  <sheetFormatPr defaultRowHeight="17.649999999999999"/>
  <cols>
    <col min="1" max="1" width="9" style="86"/>
    <col min="2" max="2" width="8.25" style="86" bestFit="1" customWidth="1"/>
    <col min="3" max="3" width="34.625" style="86" bestFit="1" customWidth="1"/>
    <col min="4" max="6" width="10.5625" style="86" customWidth="1"/>
    <col min="7" max="7" width="9" style="3"/>
    <col min="8" max="8" width="9.25" style="86" bestFit="1" customWidth="1"/>
    <col min="9" max="16384" width="9" style="86"/>
  </cols>
  <sheetData>
    <row r="2" spans="1:7" ht="25.9" customHeight="1">
      <c r="A2" s="95" t="s">
        <v>104</v>
      </c>
      <c r="B2" s="110"/>
      <c r="C2" s="110"/>
      <c r="D2" s="110"/>
      <c r="E2" s="110"/>
      <c r="F2" s="110"/>
    </row>
    <row r="3" spans="1:7" ht="25.9">
      <c r="A3" s="112" t="s">
        <v>137</v>
      </c>
      <c r="B3" s="111"/>
      <c r="C3" s="111"/>
      <c r="D3" s="111"/>
      <c r="E3" s="111"/>
      <c r="F3" s="111"/>
    </row>
    <row r="4" spans="1:7">
      <c r="B4" s="83"/>
      <c r="C4" s="87"/>
      <c r="D4" s="126" t="s">
        <v>59</v>
      </c>
      <c r="E4" s="126" t="s">
        <v>58</v>
      </c>
      <c r="F4" s="126" t="s">
        <v>60</v>
      </c>
    </row>
    <row r="5" spans="1:7">
      <c r="B5" s="85" t="s">
        <v>39</v>
      </c>
      <c r="C5" s="87" t="s">
        <v>116</v>
      </c>
      <c r="D5" s="209">
        <v>45</v>
      </c>
      <c r="E5" s="209"/>
      <c r="F5" s="209"/>
      <c r="G5" s="3" t="s">
        <v>96</v>
      </c>
    </row>
    <row r="6" spans="1:7">
      <c r="B6" s="85"/>
      <c r="C6" s="89" t="s">
        <v>3</v>
      </c>
      <c r="D6" s="137">
        <v>0.1</v>
      </c>
      <c r="E6" s="137">
        <v>0.11</v>
      </c>
      <c r="F6" s="137">
        <v>0.12</v>
      </c>
      <c r="G6" s="3" t="s">
        <v>96</v>
      </c>
    </row>
    <row r="7" spans="1:7">
      <c r="B7" s="85"/>
      <c r="C7" s="89" t="s">
        <v>106</v>
      </c>
      <c r="D7" s="137">
        <v>-20</v>
      </c>
      <c r="E7" s="137">
        <v>0</v>
      </c>
      <c r="F7" s="137">
        <v>20</v>
      </c>
      <c r="G7" s="3" t="s">
        <v>96</v>
      </c>
    </row>
    <row r="8" spans="1:7">
      <c r="B8" s="83"/>
      <c r="C8" s="84" t="s">
        <v>130</v>
      </c>
      <c r="D8" s="92">
        <f>IF(D41&gt;=D32,
IF(F43-F34&lt;=F7,F43-F7,F34),
IF(D43-D34&gt;=F7,D43-F7,D34)
)</f>
        <v>130</v>
      </c>
      <c r="E8" s="129" t="s">
        <v>112</v>
      </c>
      <c r="F8" s="163">
        <f>IF(D41&gt;=D32,
IF(D43-D34&lt;=D7, D34, D43-D7),
IF(F43-F34&gt;=D7,  F34,  F43-D7)
)</f>
        <v>-20</v>
      </c>
    </row>
    <row r="9" spans="1:7">
      <c r="B9" s="83"/>
      <c r="C9" s="84" t="s">
        <v>131</v>
      </c>
      <c r="D9" s="92">
        <f>IF(D41&gt;=D32,
IF(F43-F34&lt;=F7,F43,F34+F7),
IF(D43-D34&gt;=F7,D43,D34+F7)
)</f>
        <v>150</v>
      </c>
      <c r="E9" s="129" t="s">
        <v>112</v>
      </c>
      <c r="F9" s="163">
        <f>IF(D41&gt;=D32,
IF(D43-D34&lt;=D7, D34+D7, D43),
IF(F43-F34&gt;=D7,  F34+D7, F43)
)</f>
        <v>-40</v>
      </c>
    </row>
    <row r="10" spans="1:7">
      <c r="B10" s="83"/>
      <c r="C10" s="84" t="s">
        <v>132</v>
      </c>
      <c r="D10" s="105">
        <f>((D8-20)*D32-(D9-20)*D41)*10^-6</f>
        <v>-1.3549999999999999E-3</v>
      </c>
      <c r="E10" s="105" t="s">
        <v>112</v>
      </c>
      <c r="F10" s="105">
        <f>((F8-20)*D32-(F9-20)*D41)*10^-6</f>
        <v>7.5999999999999993E-4</v>
      </c>
    </row>
    <row r="11" spans="1:7">
      <c r="B11" s="83"/>
      <c r="C11" s="83" t="s">
        <v>115</v>
      </c>
      <c r="D11" s="128">
        <v>14.6</v>
      </c>
      <c r="E11" s="128">
        <f>(F11+D11)/2</f>
        <v>14.8</v>
      </c>
      <c r="F11" s="128">
        <v>15</v>
      </c>
      <c r="G11" s="3" t="s">
        <v>96</v>
      </c>
    </row>
    <row r="12" spans="1:7">
      <c r="B12" s="83"/>
      <c r="C12" s="83" t="s">
        <v>255</v>
      </c>
      <c r="D12" s="128">
        <v>100</v>
      </c>
      <c r="E12" s="128">
        <v>200</v>
      </c>
      <c r="F12" s="128">
        <v>300</v>
      </c>
      <c r="G12" s="3" t="s">
        <v>96</v>
      </c>
    </row>
    <row r="13" spans="1:7">
      <c r="B13" s="83"/>
      <c r="C13" s="83" t="s">
        <v>114</v>
      </c>
      <c r="D13" s="163">
        <f>(D11*2*PI()*(D5/2)) - F12</f>
        <v>1764.0263734084938</v>
      </c>
      <c r="E13" s="163">
        <f>(E11*2*PI()*(D5/2)) - E12</f>
        <v>1892.3007072908022</v>
      </c>
      <c r="F13" s="163">
        <f>(F11*2*PI()*(D5/2)) - D12</f>
        <v>2020.5750411731101</v>
      </c>
    </row>
    <row r="14" spans="1:7">
      <c r="B14" s="83"/>
      <c r="C14" s="83" t="s">
        <v>111</v>
      </c>
      <c r="D14" s="128">
        <v>1500</v>
      </c>
      <c r="E14" s="128">
        <f>(D14+F14)/2</f>
        <v>1750</v>
      </c>
      <c r="F14" s="128">
        <v>2000</v>
      </c>
      <c r="G14" s="3" t="s">
        <v>96</v>
      </c>
    </row>
    <row r="15" spans="1:7" ht="25.9">
      <c r="A15" s="95" t="s">
        <v>107</v>
      </c>
    </row>
    <row r="16" spans="1:7" ht="25.9">
      <c r="A16" s="95" t="s">
        <v>136</v>
      </c>
      <c r="B16" s="94"/>
      <c r="C16" s="90"/>
      <c r="D16" s="81"/>
      <c r="E16" s="81"/>
      <c r="F16" s="81"/>
    </row>
    <row r="17" spans="1:7">
      <c r="B17" s="85" t="s">
        <v>39</v>
      </c>
      <c r="C17" s="87" t="s">
        <v>108</v>
      </c>
      <c r="D17" s="217">
        <v>1.23</v>
      </c>
      <c r="E17" s="218"/>
      <c r="F17" s="219"/>
      <c r="G17" s="3" t="s">
        <v>96</v>
      </c>
    </row>
    <row r="18" spans="1:7">
      <c r="B18" s="85"/>
      <c r="C18" s="89" t="s">
        <v>109</v>
      </c>
      <c r="D18" s="226">
        <v>50</v>
      </c>
      <c r="E18" s="227"/>
      <c r="F18" s="228"/>
      <c r="G18" s="3" t="s">
        <v>96</v>
      </c>
    </row>
    <row r="19" spans="1:7">
      <c r="B19" s="85"/>
      <c r="C19" s="89" t="s">
        <v>113</v>
      </c>
      <c r="D19" s="214">
        <f>D17*D18*9.81</f>
        <v>603.31500000000005</v>
      </c>
      <c r="E19" s="215"/>
      <c r="F19" s="216"/>
    </row>
    <row r="20" spans="1:7">
      <c r="B20" s="85"/>
      <c r="C20" s="89" t="s">
        <v>252</v>
      </c>
      <c r="D20" s="213">
        <v>200</v>
      </c>
      <c r="E20" s="213"/>
      <c r="F20" s="213"/>
      <c r="G20" s="3" t="s">
        <v>96</v>
      </c>
    </row>
    <row r="21" spans="1:7">
      <c r="B21" s="83"/>
      <c r="C21" s="89" t="s">
        <v>122</v>
      </c>
      <c r="D21" s="214">
        <f>D19+D20</f>
        <v>803.31500000000005</v>
      </c>
      <c r="E21" s="215"/>
      <c r="F21" s="215"/>
    </row>
    <row r="22" spans="1:7" s="130" customFormat="1">
      <c r="B22" s="84"/>
      <c r="C22" s="88" t="s">
        <v>251</v>
      </c>
      <c r="D22" s="230">
        <v>10</v>
      </c>
      <c r="E22" s="230"/>
      <c r="F22" s="230"/>
      <c r="G22" s="3" t="s">
        <v>96</v>
      </c>
    </row>
    <row r="23" spans="1:7" s="130" customFormat="1">
      <c r="B23" s="84"/>
      <c r="C23" s="88" t="s">
        <v>254</v>
      </c>
      <c r="D23" s="231">
        <f>D22/(2*PI()*D5/1000/2)</f>
        <v>70.735530263064589</v>
      </c>
      <c r="E23" s="232"/>
      <c r="F23" s="233"/>
      <c r="G23" s="131"/>
    </row>
    <row r="24" spans="1:7" s="130" customFormat="1">
      <c r="B24" s="84"/>
      <c r="C24" s="88" t="s">
        <v>253</v>
      </c>
      <c r="D24" s="229">
        <f>SQRT(D20^2+D23^2)</f>
        <v>212.1403196980643</v>
      </c>
      <c r="E24" s="229"/>
      <c r="F24" s="229"/>
    </row>
    <row r="25" spans="1:7" s="130" customFormat="1">
      <c r="B25" s="165"/>
      <c r="C25" s="166"/>
      <c r="D25"/>
      <c r="E25"/>
      <c r="F25"/>
    </row>
    <row r="26" spans="1:7" ht="25.9">
      <c r="A26" s="95" t="s">
        <v>102</v>
      </c>
      <c r="D26"/>
      <c r="E26"/>
      <c r="F26"/>
    </row>
    <row r="27" spans="1:7" ht="25.9">
      <c r="A27" s="95" t="s">
        <v>138</v>
      </c>
    </row>
    <row r="28" spans="1:7">
      <c r="B28" s="83"/>
      <c r="C28" s="87" t="s">
        <v>85</v>
      </c>
      <c r="D28" s="128">
        <f>E28-0.1</f>
        <v>29.9</v>
      </c>
      <c r="E28" s="128">
        <v>30</v>
      </c>
      <c r="F28" s="128">
        <f>E28+0.1</f>
        <v>30.1</v>
      </c>
    </row>
    <row r="29" spans="1:7">
      <c r="B29" s="83"/>
      <c r="C29" s="87" t="s">
        <v>69</v>
      </c>
      <c r="D29" s="209" t="s">
        <v>89</v>
      </c>
      <c r="E29" s="209"/>
      <c r="F29" s="209"/>
    </row>
    <row r="30" spans="1:7">
      <c r="B30" s="83"/>
      <c r="C30" s="87" t="s">
        <v>95</v>
      </c>
      <c r="D30" s="208" cm="1">
        <f t="array" ref="D30">INDEX(Youngs_Modulus_List, MATCH(D29,Material_List, 0))</f>
        <v>208000</v>
      </c>
      <c r="E30" s="208"/>
      <c r="F30" s="208"/>
    </row>
    <row r="31" spans="1:7">
      <c r="B31" s="83"/>
      <c r="C31" s="87" t="s">
        <v>70</v>
      </c>
      <c r="D31" s="208" cm="1">
        <f t="array" ref="D31">INDEX(Poissons_Ratio_List, MATCH(D29,Material_List, 0))</f>
        <v>0.3</v>
      </c>
      <c r="E31" s="208"/>
      <c r="F31" s="208"/>
    </row>
    <row r="32" spans="1:7">
      <c r="B32" s="83"/>
      <c r="C32" s="87" t="s">
        <v>71</v>
      </c>
      <c r="D32" s="208" cm="1">
        <f t="array" ref="D32">INDEX(Linear_Expansion_Coefficient_List, MATCH(D29,Material_List, 0))</f>
        <v>12.5</v>
      </c>
      <c r="E32" s="208"/>
      <c r="F32" s="208"/>
    </row>
    <row r="33" spans="1:7">
      <c r="B33" s="83"/>
      <c r="C33" s="87" t="s">
        <v>73</v>
      </c>
      <c r="D33" s="208" cm="1">
        <f t="array" ref="D33">INDEX(Yield_Point_List, MATCH(D29,Material_List, 0))</f>
        <v>785</v>
      </c>
      <c r="E33" s="208"/>
      <c r="F33" s="208"/>
    </row>
    <row r="34" spans="1:7">
      <c r="B34" s="83"/>
      <c r="C34" s="87" t="s">
        <v>129</v>
      </c>
      <c r="D34" s="138">
        <v>-40</v>
      </c>
      <c r="E34" s="138">
        <v>0</v>
      </c>
      <c r="F34" s="138">
        <v>150</v>
      </c>
    </row>
    <row r="35" spans="1:7" ht="25.9">
      <c r="A35" s="95" t="s">
        <v>103</v>
      </c>
    </row>
    <row r="36" spans="1:7" ht="25.9">
      <c r="A36" s="95" t="s">
        <v>139</v>
      </c>
    </row>
    <row r="37" spans="1:7">
      <c r="B37" s="83"/>
      <c r="C37" s="87" t="s">
        <v>74</v>
      </c>
      <c r="D37" s="128">
        <v>59</v>
      </c>
      <c r="E37" s="128">
        <v>60</v>
      </c>
      <c r="F37" s="128">
        <v>61</v>
      </c>
    </row>
    <row r="38" spans="1:7">
      <c r="B38" s="83"/>
      <c r="C38" s="87" t="s">
        <v>69</v>
      </c>
      <c r="D38" s="209" t="s">
        <v>91</v>
      </c>
      <c r="E38" s="209"/>
      <c r="F38" s="209"/>
    </row>
    <row r="39" spans="1:7">
      <c r="B39" s="83"/>
      <c r="C39" s="87" t="s">
        <v>95</v>
      </c>
      <c r="D39" s="208" cm="1">
        <f t="array" ref="D39">INDEX(Youngs_Modulus_List, MATCH(D38,Material_List, 0))</f>
        <v>71000</v>
      </c>
      <c r="E39" s="208"/>
      <c r="F39" s="208"/>
    </row>
    <row r="40" spans="1:7">
      <c r="B40" s="83"/>
      <c r="C40" s="87" t="s">
        <v>70</v>
      </c>
      <c r="D40" s="208" cm="1">
        <f t="array" ref="D40">INDEX(Poissons_Ratio_List, MATCH(D38,Material_List, 0))</f>
        <v>0.33</v>
      </c>
      <c r="E40" s="208"/>
      <c r="F40" s="208"/>
    </row>
    <row r="41" spans="1:7">
      <c r="B41" s="83"/>
      <c r="C41" s="87" t="s">
        <v>71</v>
      </c>
      <c r="D41" s="208" cm="1">
        <f t="array" ref="D41">INDEX(Linear_Expansion_Coefficient_List, MATCH(D38,Material_List, 0))</f>
        <v>21</v>
      </c>
      <c r="E41" s="208"/>
      <c r="F41" s="208"/>
    </row>
    <row r="42" spans="1:7">
      <c r="B42" s="83"/>
      <c r="C42" s="87" t="s">
        <v>73</v>
      </c>
      <c r="D42" s="208" cm="1">
        <f t="array" ref="D42">INDEX(Yield_Point_List, MATCH(D38,Material_List, 0))</f>
        <v>150</v>
      </c>
      <c r="E42" s="208"/>
      <c r="F42" s="208"/>
    </row>
    <row r="43" spans="1:7">
      <c r="B43" s="83"/>
      <c r="C43" s="87" t="s">
        <v>129</v>
      </c>
      <c r="D43" s="109">
        <v>-40</v>
      </c>
      <c r="E43" s="109">
        <v>20</v>
      </c>
      <c r="F43" s="109">
        <v>150</v>
      </c>
    </row>
    <row r="44" spans="1:7" ht="25.9">
      <c r="A44" s="95" t="s">
        <v>119</v>
      </c>
    </row>
    <row r="45" spans="1:7" ht="25.9">
      <c r="A45" s="95" t="s">
        <v>140</v>
      </c>
    </row>
    <row r="46" spans="1:7">
      <c r="B46" s="83"/>
      <c r="C46" s="83" t="s">
        <v>105</v>
      </c>
      <c r="D46" s="209">
        <v>2</v>
      </c>
      <c r="E46" s="209"/>
      <c r="F46" s="209"/>
      <c r="G46" s="3" t="s">
        <v>96</v>
      </c>
    </row>
    <row r="47" spans="1:7">
      <c r="B47" s="83"/>
      <c r="C47" s="83" t="s">
        <v>134</v>
      </c>
      <c r="D47" s="209">
        <v>2</v>
      </c>
      <c r="E47" s="209"/>
      <c r="F47" s="209"/>
      <c r="G47" s="3" t="s">
        <v>96</v>
      </c>
    </row>
    <row r="48" spans="1:7">
      <c r="B48" s="83"/>
      <c r="C48" s="83" t="s">
        <v>110</v>
      </c>
      <c r="D48" s="209">
        <v>2</v>
      </c>
      <c r="E48" s="209"/>
      <c r="F48" s="209"/>
      <c r="G48" s="3" t="s">
        <v>96</v>
      </c>
    </row>
    <row r="49" spans="1:6" ht="25.9">
      <c r="A49" s="95" t="s">
        <v>120</v>
      </c>
    </row>
    <row r="50" spans="1:6" ht="25.9">
      <c r="A50" s="95" t="s">
        <v>141</v>
      </c>
    </row>
    <row r="51" spans="1:6">
      <c r="B51" s="83"/>
      <c r="C51" s="83" t="s">
        <v>124</v>
      </c>
      <c r="D51" s="128" t="s">
        <v>112</v>
      </c>
      <c r="E51" s="128" t="s">
        <v>112</v>
      </c>
      <c r="F51" s="113">
        <f>MIN(D33,D42)/D46</f>
        <v>75</v>
      </c>
    </row>
    <row r="52" spans="1:6">
      <c r="B52" s="83"/>
      <c r="C52" s="83" t="s">
        <v>144</v>
      </c>
      <c r="D52" s="128" t="s">
        <v>112</v>
      </c>
      <c r="E52" s="128" t="s">
        <v>112</v>
      </c>
      <c r="F52" s="114">
        <f xml:space="preserve">
(F51*D5)/(1/
((D5^2+F28^2)/(D5^2-F28^2)/D30)
+((D37^2+D5^2)/(D37^2-D5^2)/D39)
-(D31/D30)+(D40/D39)
)</f>
        <v>4.2501233697376843E-2</v>
      </c>
    </row>
    <row r="53" spans="1:6">
      <c r="B53" s="83"/>
      <c r="C53" s="83" t="s">
        <v>145</v>
      </c>
      <c r="D53" s="128" t="s">
        <v>112</v>
      </c>
      <c r="E53" s="128" t="s">
        <v>112</v>
      </c>
      <c r="F53" s="114">
        <f>F52-F10</f>
        <v>4.1741233697376846E-2</v>
      </c>
    </row>
    <row r="54" spans="1:6" ht="25.9">
      <c r="A54" s="95" t="s">
        <v>123</v>
      </c>
    </row>
    <row r="55" spans="1:6" ht="25.9">
      <c r="A55" s="95" t="s">
        <v>142</v>
      </c>
    </row>
    <row r="56" spans="1:6">
      <c r="B56" s="83"/>
      <c r="C56" s="83" t="s">
        <v>146</v>
      </c>
      <c r="D56" s="127">
        <f>D24*D47</f>
        <v>424.28063939612861</v>
      </c>
      <c r="E56" s="128" t="s">
        <v>112</v>
      </c>
      <c r="F56" s="128" t="s">
        <v>112</v>
      </c>
    </row>
    <row r="57" spans="1:6">
      <c r="B57" s="83"/>
      <c r="C57" s="83" t="s">
        <v>147</v>
      </c>
      <c r="D57" s="163">
        <f>D56/D6</f>
        <v>4242.8063939612857</v>
      </c>
      <c r="E57" s="128" t="s">
        <v>112</v>
      </c>
      <c r="F57" s="128" t="s">
        <v>112</v>
      </c>
    </row>
    <row r="58" spans="1:6">
      <c r="B58" s="83"/>
      <c r="C58" s="83" t="s">
        <v>148</v>
      </c>
      <c r="D58" s="97">
        <f>D57/D13</f>
        <v>2.4051830845154738</v>
      </c>
      <c r="E58" s="128" t="s">
        <v>112</v>
      </c>
      <c r="F58" s="128" t="s">
        <v>112</v>
      </c>
    </row>
    <row r="59" spans="1:6">
      <c r="B59" s="83"/>
      <c r="C59" s="83" t="s">
        <v>149</v>
      </c>
      <c r="D59" s="102">
        <f xml:space="preserve">
(D58*D5)/(1/
((D5^2+F28^2)/(D5^2-F28^2)/D30)
+((D37^2+D5^2)/(D37^2-D5^2)/D39)
-(D31/D30)+(D40/D39)
)</f>
        <v>1.3629766447995977E-3</v>
      </c>
      <c r="E59" s="128" t="s">
        <v>112</v>
      </c>
      <c r="F59" s="128" t="s">
        <v>112</v>
      </c>
    </row>
    <row r="60" spans="1:6">
      <c r="B60" s="83"/>
      <c r="C60" s="83" t="s">
        <v>150</v>
      </c>
      <c r="D60" s="107">
        <f>D59-D10</f>
        <v>2.7179766447995978E-3</v>
      </c>
      <c r="E60" s="128" t="s">
        <v>112</v>
      </c>
      <c r="F60" s="128" t="s">
        <v>112</v>
      </c>
    </row>
    <row r="61" spans="1:6" ht="25.9">
      <c r="A61" s="95" t="s">
        <v>125</v>
      </c>
    </row>
    <row r="62" spans="1:6" ht="25.9">
      <c r="A62" s="95" t="s">
        <v>143</v>
      </c>
      <c r="D62" s="3"/>
      <c r="E62" s="3"/>
    </row>
    <row r="63" spans="1:6">
      <c r="B63" s="83"/>
      <c r="C63" s="83" t="s">
        <v>128</v>
      </c>
      <c r="D63" s="128" t="s">
        <v>112</v>
      </c>
      <c r="E63" s="128" t="s">
        <v>112</v>
      </c>
      <c r="F63" s="92">
        <f>MIN(D33,D42)/D48</f>
        <v>75</v>
      </c>
    </row>
    <row r="64" spans="1:6">
      <c r="B64" s="83"/>
      <c r="C64" s="83" t="s">
        <v>127</v>
      </c>
      <c r="D64" s="128" t="s">
        <v>112</v>
      </c>
      <c r="E64" s="128" t="s">
        <v>112</v>
      </c>
      <c r="F64" s="92">
        <f>F63*D14</f>
        <v>112500</v>
      </c>
    </row>
    <row r="65" spans="1:7">
      <c r="B65" s="83"/>
      <c r="C65" s="83" t="s">
        <v>151</v>
      </c>
      <c r="D65" s="128" t="s">
        <v>112</v>
      </c>
      <c r="E65" s="128" t="s">
        <v>112</v>
      </c>
      <c r="F65" s="92">
        <f>F64/F6</f>
        <v>937500</v>
      </c>
    </row>
    <row r="66" spans="1:7">
      <c r="B66" s="83"/>
      <c r="C66" s="83" t="s">
        <v>126</v>
      </c>
      <c r="D66" s="128" t="s">
        <v>112</v>
      </c>
      <c r="E66" s="128" t="s">
        <v>112</v>
      </c>
      <c r="F66" s="113">
        <f>F65/F13</f>
        <v>463.97682882181107</v>
      </c>
    </row>
    <row r="67" spans="1:7">
      <c r="B67" s="83"/>
      <c r="C67" s="83" t="s">
        <v>152</v>
      </c>
      <c r="D67" s="128" t="s">
        <v>112</v>
      </c>
      <c r="E67" s="128" t="s">
        <v>112</v>
      </c>
      <c r="F67" s="117">
        <f xml:space="preserve">
(F66*D5)/(1/
((D5^2+F28^2)/(D5^2-F28^2)/D30)
+((D37^2+D5^2)/(D37^2-D5^2)/D39)
-(D31/D30)+(D40/D39)
)</f>
        <v>0.26292783509231471</v>
      </c>
    </row>
    <row r="68" spans="1:7" ht="25.9">
      <c r="A68" s="95" t="s">
        <v>159</v>
      </c>
    </row>
    <row r="69" spans="1:7">
      <c r="B69" s="83"/>
      <c r="C69" s="83" t="s">
        <v>135</v>
      </c>
      <c r="D69" s="116">
        <f>D60</f>
        <v>2.7179766447995978E-3</v>
      </c>
      <c r="E69" s="164" t="s">
        <v>112</v>
      </c>
      <c r="F69" s="115">
        <f>MIN(F53,F67)</f>
        <v>4.1741233697376846E-2</v>
      </c>
      <c r="G69" s="3" t="s">
        <v>98</v>
      </c>
    </row>
    <row r="70" spans="1:7">
      <c r="B70" s="83"/>
      <c r="C70" s="84" t="s">
        <v>118</v>
      </c>
      <c r="D70" s="118">
        <f xml:space="preserve">
(D69/D5)*(1/
((D5^2+F28^2)/(D5^2-F28^2)/D30)
+((D37^2+D5^2)/(D37^2-D5^2)/D39)
-(D31/D30)+(D40/D39)
)</f>
        <v>4.7962901456329075</v>
      </c>
      <c r="E70" s="127" t="s">
        <v>112</v>
      </c>
      <c r="F70" s="93">
        <f xml:space="preserve">
(F69/D5)*(1/
((D5^2+F28^2)/(D5^2-F28^2)/D30)
+((D37^2+D5^2)/(D37^2-D5^2)/D39)
-(D31/D30)+(D40/D39)
)</f>
        <v>73.658862460185063</v>
      </c>
    </row>
    <row r="71" spans="1:7">
      <c r="B71" s="83"/>
      <c r="C71" s="84" t="s">
        <v>156</v>
      </c>
      <c r="D71" s="121">
        <f>D70*D13*D6</f>
        <v>846.07823114157145</v>
      </c>
      <c r="E71" s="164" t="s">
        <v>112</v>
      </c>
      <c r="F71" s="121">
        <f>F70*F13*F6</f>
        <v>17859.991085790345</v>
      </c>
      <c r="G71" s="3" t="s">
        <v>98</v>
      </c>
    </row>
    <row r="72" spans="1:7">
      <c r="B72" s="83"/>
      <c r="C72" s="83" t="s">
        <v>121</v>
      </c>
      <c r="D72" s="119">
        <f>D69+D10</f>
        <v>1.3629766447995979E-3</v>
      </c>
      <c r="E72" s="127" t="s">
        <v>112</v>
      </c>
      <c r="F72" s="120">
        <f>F69+F10</f>
        <v>4.2501233697376843E-2</v>
      </c>
    </row>
    <row r="73" spans="1:7">
      <c r="B73" s="83"/>
      <c r="C73" s="84" t="s">
        <v>153</v>
      </c>
      <c r="D73" s="93">
        <f xml:space="preserve">
(D72/D5)*(1/
((D5^2+F28^2)/(D5^2-F28^2)/D30)
+((D37^2+D5^2)/(D37^2-D5^2)/D39)
-(D31/D30)+(D40/D39)
)</f>
        <v>2.4051830845154742</v>
      </c>
      <c r="E73" s="127" t="s">
        <v>112</v>
      </c>
      <c r="F73" s="93">
        <f xml:space="preserve">
(F72/D5)*(1/
((D5^2+F28^2)/(D5^2-F28^2)/D30)
+((D37^2+D5^2)/(D37^2-D5^2)/D39)
-(D31/D30)+(D40/D39)
)</f>
        <v>74.999999999999986</v>
      </c>
    </row>
    <row r="74" spans="1:7">
      <c r="B74" s="83"/>
      <c r="C74" s="84" t="s">
        <v>154</v>
      </c>
      <c r="D74" s="93">
        <f>D73*D13</f>
        <v>4242.8063939612866</v>
      </c>
      <c r="E74" s="127" t="s">
        <v>112</v>
      </c>
      <c r="F74" s="93">
        <f>F73*F13</f>
        <v>151543.12808798323</v>
      </c>
    </row>
    <row r="75" spans="1:7">
      <c r="B75" s="83"/>
      <c r="C75" s="84" t="s">
        <v>133</v>
      </c>
      <c r="D75" s="93">
        <f>D74*D6</f>
        <v>424.28063939612866</v>
      </c>
      <c r="E75" s="127" t="s">
        <v>112</v>
      </c>
      <c r="F75" s="93">
        <f>F74*F6</f>
        <v>18185.175370557987</v>
      </c>
    </row>
    <row r="76" spans="1:7">
      <c r="B76" s="83"/>
      <c r="C76" s="84" t="s">
        <v>157</v>
      </c>
      <c r="D76" s="113">
        <f>F71</f>
        <v>17859.991085790345</v>
      </c>
      <c r="E76" s="163" t="s">
        <v>112</v>
      </c>
      <c r="F76" s="113">
        <f>D76*2</f>
        <v>35719.98217158069</v>
      </c>
    </row>
    <row r="77" spans="1:7">
      <c r="B77" s="83"/>
      <c r="C77" s="84" t="s">
        <v>158</v>
      </c>
      <c r="D77" s="93">
        <f>D76/F14</f>
        <v>8.9299955428951723</v>
      </c>
      <c r="E77" s="127" t="s">
        <v>112</v>
      </c>
      <c r="F77" s="93">
        <f>F76/D14</f>
        <v>23.813321447720462</v>
      </c>
    </row>
    <row r="78" spans="1:7">
      <c r="B78" s="83"/>
      <c r="C78" s="83" t="s">
        <v>105</v>
      </c>
      <c r="D78" s="122">
        <f>MIN(D33,D42)/F73</f>
        <v>2.0000000000000004</v>
      </c>
      <c r="E78" s="103"/>
      <c r="F78" s="122">
        <f>MIN(D33,D42)/D73</f>
        <v>62.365314709594173</v>
      </c>
      <c r="G78" s="3" t="s">
        <v>98</v>
      </c>
    </row>
    <row r="79" spans="1:7">
      <c r="B79" s="83"/>
      <c r="C79" s="83" t="s">
        <v>155</v>
      </c>
      <c r="D79" s="122">
        <f>D75/D24</f>
        <v>2.0000000000000004</v>
      </c>
      <c r="E79" s="103"/>
      <c r="F79" s="122">
        <f>F75/D24</f>
        <v>85.72239071026496</v>
      </c>
      <c r="G79" s="3" t="s">
        <v>98</v>
      </c>
    </row>
    <row r="80" spans="1:7">
      <c r="B80" s="83"/>
      <c r="C80" s="83" t="s">
        <v>110</v>
      </c>
      <c r="D80" s="122">
        <f>MIN(D33,D42)/F77</f>
        <v>6.2989953051827969</v>
      </c>
      <c r="E80" s="103"/>
      <c r="F80" s="122">
        <f>MIN(D33,D42)/D77</f>
        <v>16.797320813820793</v>
      </c>
      <c r="G80" s="3" t="s">
        <v>98</v>
      </c>
    </row>
    <row r="81" spans="1:7" ht="25.9">
      <c r="A81" s="95" t="s">
        <v>160</v>
      </c>
      <c r="E81" s="3"/>
    </row>
    <row r="82" spans="1:7">
      <c r="C82" s="83" t="s">
        <v>135</v>
      </c>
      <c r="D82" s="83">
        <v>0.01</v>
      </c>
      <c r="E82" s="128" t="s">
        <v>161</v>
      </c>
      <c r="F82" s="83">
        <v>0.03</v>
      </c>
      <c r="G82" s="3" t="s">
        <v>96</v>
      </c>
    </row>
    <row r="83" spans="1:7">
      <c r="C83" s="84" t="s">
        <v>118</v>
      </c>
      <c r="D83" s="93">
        <f xml:space="preserve">
(D82/D5)*(1/
((D5^2+F28^2)/(D5^2-F28^2)/D30)
+((D37^2+D5^2)/(D37^2-D5^2)/D39)
-(D31/D30)+(D40/D39)
)</f>
        <v>17.646546576512428</v>
      </c>
      <c r="E83" s="97" t="s">
        <v>161</v>
      </c>
      <c r="F83" s="97">
        <f xml:space="preserve">
(F82/D5)*(1/
((D5^2+F28^2)/(D5^2-F28^2)/D30)
+((D37^2+D5^2)/(D37^2-D5^2)/D39)
-(D31/D30)+(D40/D39)
)</f>
        <v>52.939639729537284</v>
      </c>
    </row>
    <row r="84" spans="1:7">
      <c r="C84" s="84" t="s">
        <v>156</v>
      </c>
      <c r="D84" s="113">
        <f>D83*D13*D6</f>
        <v>3112.8973560549293</v>
      </c>
      <c r="E84" s="127" t="s">
        <v>161</v>
      </c>
      <c r="F84" s="113">
        <f>F83*F13*F6</f>
        <v>12836.221767143928</v>
      </c>
    </row>
    <row r="85" spans="1:7">
      <c r="C85" s="83" t="s">
        <v>121</v>
      </c>
      <c r="D85" s="119">
        <f>D82+D10</f>
        <v>8.6449999999999999E-3</v>
      </c>
      <c r="E85" s="107" t="s">
        <v>161</v>
      </c>
      <c r="F85" s="119">
        <f>F82+F10</f>
        <v>3.0759999999999999E-2</v>
      </c>
    </row>
    <row r="86" spans="1:7">
      <c r="C86" s="84" t="s">
        <v>153</v>
      </c>
      <c r="D86" s="93">
        <f xml:space="preserve">
(D85/D5)*(1/
((D5^2+F28^2)/(D5^2-F28^2)/D30)
+((D37^2+D5^2)/(D37^2-D5^2)/D39)
-(D31/D30)+(D40/D39)
)</f>
        <v>15.255439515394993</v>
      </c>
      <c r="E86" s="97" t="s">
        <v>161</v>
      </c>
      <c r="F86" s="93">
        <f xml:space="preserve">
(F85/D5)*(1/
((D5^2+F28^2)/(D5^2-F28^2)/D30)
+((D37^2+D5^2)/(D37^2-D5^2)/D39)
-(D31/D30)+(D40/D39)
)</f>
        <v>54.280777269352228</v>
      </c>
    </row>
    <row r="87" spans="1:7">
      <c r="C87" s="84" t="s">
        <v>154</v>
      </c>
      <c r="D87" s="113">
        <f>D86*D13</f>
        <v>26910.997643094859</v>
      </c>
      <c r="E87" s="163" t="s">
        <v>161</v>
      </c>
      <c r="F87" s="113">
        <f>F86*F13</f>
        <v>109678.3837659298</v>
      </c>
    </row>
    <row r="88" spans="1:7">
      <c r="C88" s="84" t="s">
        <v>133</v>
      </c>
      <c r="D88" s="113">
        <f>D87*D6</f>
        <v>2691.0997643094861</v>
      </c>
      <c r="E88" s="163" t="s">
        <v>161</v>
      </c>
      <c r="F88" s="113">
        <f>F87*F6</f>
        <v>13161.406051911576</v>
      </c>
    </row>
    <row r="89" spans="1:7">
      <c r="C89" s="84" t="s">
        <v>162</v>
      </c>
      <c r="D89" s="125">
        <v>21000</v>
      </c>
      <c r="E89" s="5" t="s">
        <v>161</v>
      </c>
      <c r="F89" s="125">
        <f>D89*1.1</f>
        <v>23100.000000000004</v>
      </c>
      <c r="G89" s="3" t="s">
        <v>96</v>
      </c>
    </row>
    <row r="90" spans="1:7">
      <c r="C90" s="84" t="s">
        <v>163</v>
      </c>
      <c r="D90" s="93">
        <f>D89/F14</f>
        <v>10.5</v>
      </c>
      <c r="E90" s="97" t="s">
        <v>161</v>
      </c>
      <c r="F90" s="93">
        <f>F89/D14</f>
        <v>15.400000000000002</v>
      </c>
    </row>
    <row r="91" spans="1:7">
      <c r="C91" s="83" t="s">
        <v>105</v>
      </c>
      <c r="D91" s="122">
        <f>MIN(D33,D42)/F86</f>
        <v>2.7634092130934231</v>
      </c>
      <c r="E91" s="103" t="s">
        <v>161</v>
      </c>
      <c r="F91" s="122">
        <f>MIN(D33,D42)/D86</f>
        <v>9.8325584030947013</v>
      </c>
      <c r="G91" s="3" t="s">
        <v>98</v>
      </c>
    </row>
    <row r="92" spans="1:7">
      <c r="C92" s="83" t="s">
        <v>155</v>
      </c>
      <c r="D92" s="122">
        <f>D88/D24</f>
        <v>12.685470485477172</v>
      </c>
      <c r="E92" s="103" t="s">
        <v>161</v>
      </c>
      <c r="F92" s="122">
        <f>F88/D24</f>
        <v>62.041039961870425</v>
      </c>
      <c r="G92" s="3" t="s">
        <v>98</v>
      </c>
    </row>
    <row r="93" spans="1:7">
      <c r="C93" s="83" t="s">
        <v>110</v>
      </c>
      <c r="D93" s="122">
        <f>MIN(D33,D42)/F90</f>
        <v>9.7402597402597397</v>
      </c>
      <c r="E93" s="103" t="s">
        <v>161</v>
      </c>
      <c r="F93" s="122">
        <f>MIN(D33,D42)/D90</f>
        <v>14.285714285714286</v>
      </c>
      <c r="G93" s="3" t="s">
        <v>98</v>
      </c>
    </row>
  </sheetData>
  <mergeCells count="22">
    <mergeCell ref="D31:F31"/>
    <mergeCell ref="D5:F5"/>
    <mergeCell ref="D17:F17"/>
    <mergeCell ref="D18:F18"/>
    <mergeCell ref="D19:F19"/>
    <mergeCell ref="D20:F20"/>
    <mergeCell ref="D21:F21"/>
    <mergeCell ref="D22:F22"/>
    <mergeCell ref="D23:F23"/>
    <mergeCell ref="D24:F24"/>
    <mergeCell ref="D29:F29"/>
    <mergeCell ref="D30:F30"/>
    <mergeCell ref="D42:F42"/>
    <mergeCell ref="D46:F46"/>
    <mergeCell ref="D47:F47"/>
    <mergeCell ref="D48:F48"/>
    <mergeCell ref="D32:F32"/>
    <mergeCell ref="D33:F33"/>
    <mergeCell ref="D38:F38"/>
    <mergeCell ref="D39:F39"/>
    <mergeCell ref="D40:F40"/>
    <mergeCell ref="D41:F41"/>
  </mergeCells>
  <phoneticPr fontId="1"/>
  <conditionalFormatting sqref="D38:F38">
    <cfRule type="cellIs" dxfId="10" priority="12" operator="equal">
      <formula>""</formula>
    </cfRule>
  </conditionalFormatting>
  <conditionalFormatting sqref="D29:F29">
    <cfRule type="cellIs" dxfId="9" priority="11" operator="equal">
      <formula>""</formula>
    </cfRule>
  </conditionalFormatting>
  <conditionalFormatting sqref="D28:F28">
    <cfRule type="cellIs" dxfId="8" priority="10" operator="equal">
      <formula>""</formula>
    </cfRule>
  </conditionalFormatting>
  <conditionalFormatting sqref="D28:F28">
    <cfRule type="cellIs" dxfId="7" priority="9" operator="greaterThan">
      <formula>$D$4</formula>
    </cfRule>
  </conditionalFormatting>
  <conditionalFormatting sqref="E89">
    <cfRule type="cellIs" dxfId="6" priority="8" operator="lessThan">
      <formula>E88+$D$88:$F$88</formula>
    </cfRule>
  </conditionalFormatting>
  <conditionalFormatting sqref="D89">
    <cfRule type="cellIs" dxfId="5" priority="7" operator="lessThan">
      <formula>$F$88</formula>
    </cfRule>
  </conditionalFormatting>
  <dataValidations disablePrompts="1" count="1">
    <dataValidation type="list" allowBlank="1" showInputMessage="1" showErrorMessage="1" sqref="D38:F38 D29:F29" xr:uid="{234733AB-2300-4428-88EE-9413B2D81B4A}">
      <formula1>Material_List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DAE37-2208-4124-94A6-9FB7542C1B0D}">
  <sheetPr codeName="Sheet6"/>
  <dimension ref="B1:DJ60"/>
  <sheetViews>
    <sheetView zoomScale="59" zoomScaleNormal="59" workbookViewId="0">
      <selection activeCell="I4" sqref="I4"/>
    </sheetView>
  </sheetViews>
  <sheetFormatPr defaultRowHeight="17.649999999999999"/>
  <cols>
    <col min="1" max="3" width="4" customWidth="1"/>
    <col min="4" max="6" width="10.875" bestFit="1" customWidth="1"/>
    <col min="7" max="9" width="9.8125" bestFit="1" customWidth="1"/>
    <col min="10" max="11" width="9.0625" bestFit="1" customWidth="1"/>
    <col min="12" max="12" width="9.8125" bestFit="1" customWidth="1"/>
    <col min="13" max="21" width="9.0625" bestFit="1" customWidth="1"/>
    <col min="22" max="24" width="9.625" bestFit="1" customWidth="1"/>
    <col min="25" max="25" width="9.0625" bestFit="1" customWidth="1"/>
    <col min="26" max="26" width="9.625" bestFit="1" customWidth="1"/>
    <col min="27" max="28" width="9.0625" bestFit="1" customWidth="1"/>
    <col min="29" max="30" width="9.375" bestFit="1" customWidth="1"/>
    <col min="31" max="36" width="10.4375" bestFit="1" customWidth="1"/>
    <col min="37" max="37" width="9.0625" bestFit="1" customWidth="1"/>
    <col min="38" max="39" width="10.8125" customWidth="1"/>
    <col min="41" max="41" width="6.875" bestFit="1" customWidth="1"/>
    <col min="42" max="42" width="4.625" bestFit="1" customWidth="1"/>
    <col min="43" max="48" width="4.625" customWidth="1"/>
    <col min="49" max="52" width="4.875" bestFit="1" customWidth="1"/>
    <col min="53" max="58" width="3.875" bestFit="1" customWidth="1"/>
    <col min="59" max="59" width="4.875" bestFit="1" customWidth="1"/>
    <col min="60" max="61" width="5.3125" bestFit="1" customWidth="1"/>
    <col min="62" max="62" width="3.875" bestFit="1" customWidth="1"/>
    <col min="63" max="64" width="3.25" bestFit="1" customWidth="1"/>
    <col min="65" max="66" width="3.875" bestFit="1" customWidth="1"/>
    <col min="67" max="67" width="3.375" bestFit="1" customWidth="1"/>
    <col min="68" max="68" width="4.1875" bestFit="1" customWidth="1"/>
    <col min="69" max="73" width="4.1875" customWidth="1"/>
    <col min="75" max="75" width="6.0625" bestFit="1" customWidth="1"/>
    <col min="76" max="76" width="4.375" bestFit="1" customWidth="1"/>
    <col min="77" max="77" width="5" bestFit="1" customWidth="1"/>
    <col min="78" max="81" width="4" bestFit="1" customWidth="1"/>
    <col min="82" max="82" width="4.125" bestFit="1" customWidth="1"/>
    <col min="83" max="87" width="4" bestFit="1" customWidth="1"/>
    <col min="88" max="88" width="3.8125" bestFit="1" customWidth="1"/>
    <col min="89" max="90" width="3.3125" bestFit="1" customWidth="1"/>
    <col min="91" max="93" width="3.375" bestFit="1" customWidth="1"/>
    <col min="94" max="94" width="3.8125" bestFit="1" customWidth="1"/>
    <col min="95" max="95" width="4.375" bestFit="1" customWidth="1"/>
    <col min="96" max="96" width="5" bestFit="1" customWidth="1"/>
    <col min="97" max="97" width="3.875" bestFit="1" customWidth="1"/>
    <col min="98" max="99" width="3.625" bestFit="1" customWidth="1"/>
    <col min="100" max="101" width="3.6875" bestFit="1" customWidth="1"/>
    <col min="102" max="103" width="3.625" bestFit="1" customWidth="1"/>
    <col min="104" max="104" width="3.8125" bestFit="1" customWidth="1"/>
    <col min="105" max="109" width="4.8125" bestFit="1" customWidth="1"/>
    <col min="110" max="110" width="3.8125" bestFit="1" customWidth="1"/>
  </cols>
  <sheetData>
    <row r="1" spans="2:110">
      <c r="D1" s="136" t="s">
        <v>167</v>
      </c>
      <c r="E1" t="s">
        <v>213</v>
      </c>
      <c r="I1" s="136" t="s">
        <v>189</v>
      </c>
      <c r="J1" t="s">
        <v>212</v>
      </c>
    </row>
    <row r="2" spans="2:110">
      <c r="D2" t="s">
        <v>210</v>
      </c>
      <c r="F2" t="s">
        <v>211</v>
      </c>
      <c r="I2" t="s">
        <v>210</v>
      </c>
      <c r="K2" t="s">
        <v>211</v>
      </c>
      <c r="N2" t="s">
        <v>214</v>
      </c>
    </row>
    <row r="3" spans="2:110">
      <c r="D3">
        <f>VLOOKUP($B$7-0.000001,AO8:BP32,MATCH($D$1,$AO$7:$BP$7,0))</f>
        <v>-25</v>
      </c>
      <c r="F3" s="147">
        <f>VLOOKUP($B$7-0.000001,AO36:BP60,MATCH($D$1,$AO$35:$BP$35,0))</f>
        <v>-41</v>
      </c>
      <c r="G3" s="147"/>
      <c r="H3" s="147"/>
      <c r="I3" s="147">
        <f>VLOOKUP($B$7-0.000001,BW8:CZ32,MATCH($I$1,$BW$7:$CZ$7,0))</f>
        <v>64</v>
      </c>
      <c r="J3" s="147"/>
      <c r="K3" s="147">
        <f>VLOOKUP($B$7-0.000001,BW36:CZ60,MATCH($I$1,$BW$35:$CZ$35,0))</f>
        <v>25</v>
      </c>
      <c r="L3" s="147"/>
      <c r="M3" s="147"/>
      <c r="N3" t="str">
        <f>I3-F3&amp;"/"&amp;K3-D3</f>
        <v>105/50</v>
      </c>
    </row>
    <row r="4" spans="2:110">
      <c r="G4" s="147"/>
      <c r="H4" s="147"/>
      <c r="I4" t="e">
        <f>VLOOKUP($B$7-0.000001,$BW$8:$CZ$32,MATCH($C18,$BW$7:$CZ$7,0))</f>
        <v>#N/A</v>
      </c>
      <c r="J4" s="147"/>
      <c r="L4" s="147"/>
      <c r="M4" s="147"/>
    </row>
    <row r="5" spans="2:110">
      <c r="B5" t="s">
        <v>215</v>
      </c>
      <c r="F5" s="160"/>
      <c r="G5" s="160"/>
      <c r="H5" s="160"/>
      <c r="I5" s="160"/>
      <c r="J5" s="160"/>
      <c r="K5" s="160"/>
      <c r="L5" s="160"/>
      <c r="M5" s="160"/>
    </row>
    <row r="6" spans="2:110" ht="17.649999999999999" customHeight="1">
      <c r="B6" s="146" t="s">
        <v>37</v>
      </c>
      <c r="C6" s="146"/>
      <c r="D6" s="139" t="s">
        <v>207</v>
      </c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O6" s="139" t="s">
        <v>208</v>
      </c>
      <c r="AP6" s="139"/>
      <c r="AQ6" s="152" t="s">
        <v>206</v>
      </c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B6" s="153"/>
      <c r="BC6" s="153"/>
      <c r="BD6" s="153"/>
      <c r="BE6" s="153"/>
      <c r="BF6" s="153"/>
      <c r="BG6" s="153"/>
      <c r="BH6" s="153"/>
      <c r="BI6" s="153"/>
      <c r="BJ6" s="153"/>
      <c r="BK6" s="153"/>
      <c r="BL6" s="153"/>
      <c r="BM6" s="153"/>
      <c r="BN6" s="153"/>
      <c r="BO6" s="153"/>
      <c r="BP6" s="153"/>
      <c r="BQ6" s="153"/>
      <c r="BR6" s="153"/>
      <c r="BS6" s="153"/>
      <c r="BT6" s="153"/>
      <c r="BU6" s="144"/>
      <c r="BW6" s="139" t="s">
        <v>208</v>
      </c>
      <c r="BX6" s="139"/>
      <c r="BY6" s="139" t="s">
        <v>207</v>
      </c>
      <c r="BZ6" s="139"/>
      <c r="CA6" s="139"/>
      <c r="CB6" s="139"/>
      <c r="CC6" s="139"/>
      <c r="CD6" s="139"/>
      <c r="CE6" s="139"/>
      <c r="CF6" s="139"/>
      <c r="CG6" s="139"/>
      <c r="CH6" s="139"/>
      <c r="CI6" s="139"/>
      <c r="CJ6" s="139"/>
      <c r="CK6" s="139"/>
      <c r="CL6" s="139"/>
      <c r="CM6" s="139"/>
      <c r="CN6" s="139"/>
      <c r="CO6" s="139"/>
      <c r="CP6" s="139"/>
      <c r="CQ6" s="139"/>
      <c r="CR6" s="139"/>
      <c r="CS6" s="139"/>
      <c r="CT6" s="139"/>
      <c r="CU6" s="139"/>
      <c r="CV6" s="139"/>
      <c r="CW6" s="139"/>
      <c r="CX6" s="139"/>
      <c r="CY6" s="139"/>
      <c r="CZ6" s="139"/>
      <c r="DA6" s="139"/>
      <c r="DB6" s="139"/>
      <c r="DC6" s="139"/>
      <c r="DD6" s="139"/>
      <c r="DE6" s="139"/>
      <c r="DF6" s="139"/>
    </row>
    <row r="7" spans="2:110">
      <c r="B7" s="237">
        <v>45</v>
      </c>
      <c r="C7" s="237"/>
      <c r="D7" s="133" t="s">
        <v>237</v>
      </c>
      <c r="E7" s="133" t="s">
        <v>238</v>
      </c>
      <c r="F7" s="133" t="s">
        <v>239</v>
      </c>
      <c r="G7" s="133" t="s">
        <v>240</v>
      </c>
      <c r="H7" s="133" t="s">
        <v>241</v>
      </c>
      <c r="I7" s="133" t="s">
        <v>242</v>
      </c>
      <c r="J7" s="133" t="s">
        <v>243</v>
      </c>
      <c r="K7" s="133" t="s">
        <v>244</v>
      </c>
      <c r="L7" s="142" t="s">
        <v>186</v>
      </c>
      <c r="M7" s="142" t="s">
        <v>187</v>
      </c>
      <c r="N7" s="142" t="s">
        <v>188</v>
      </c>
      <c r="O7" s="142" t="s">
        <v>189</v>
      </c>
      <c r="P7" s="142" t="s">
        <v>190</v>
      </c>
      <c r="Q7" s="142" t="s">
        <v>191</v>
      </c>
      <c r="R7" s="142" t="s">
        <v>192</v>
      </c>
      <c r="S7" s="142" t="s">
        <v>193</v>
      </c>
      <c r="T7" s="142" t="s">
        <v>194</v>
      </c>
      <c r="U7" s="142" t="s">
        <v>195</v>
      </c>
      <c r="V7" s="142" t="s">
        <v>196</v>
      </c>
      <c r="W7" s="142" t="s">
        <v>197</v>
      </c>
      <c r="X7" s="142" t="s">
        <v>198</v>
      </c>
      <c r="Y7" s="143" t="s">
        <v>199</v>
      </c>
      <c r="Z7" s="143" t="s">
        <v>200</v>
      </c>
      <c r="AA7" s="136" t="s">
        <v>201</v>
      </c>
      <c r="AB7" s="136" t="s">
        <v>202</v>
      </c>
      <c r="AC7" s="136" t="s">
        <v>203</v>
      </c>
      <c r="AD7" s="136" t="s">
        <v>204</v>
      </c>
      <c r="AE7" s="136" t="s">
        <v>205</v>
      </c>
      <c r="AF7" s="151" t="s">
        <v>250</v>
      </c>
      <c r="AG7" s="136" t="s">
        <v>245</v>
      </c>
      <c r="AH7" s="136" t="s">
        <v>246</v>
      </c>
      <c r="AI7" s="136" t="s">
        <v>247</v>
      </c>
      <c r="AJ7" s="136" t="s">
        <v>248</v>
      </c>
      <c r="AK7" s="136" t="s">
        <v>249</v>
      </c>
      <c r="AO7" s="133" t="s">
        <v>164</v>
      </c>
      <c r="AP7" s="133" t="s">
        <v>165</v>
      </c>
      <c r="AQ7" s="133" t="s">
        <v>217</v>
      </c>
      <c r="AR7" s="133" t="s">
        <v>219</v>
      </c>
      <c r="AS7" s="133" t="s">
        <v>221</v>
      </c>
      <c r="AT7" s="133" t="s">
        <v>223</v>
      </c>
      <c r="AU7" s="133" t="s">
        <v>225</v>
      </c>
      <c r="AV7" s="133" t="s">
        <v>227</v>
      </c>
      <c r="AW7" s="136" t="s">
        <v>166</v>
      </c>
      <c r="AX7" s="136" t="s">
        <v>167</v>
      </c>
      <c r="AY7" s="136" t="s">
        <v>168</v>
      </c>
      <c r="AZ7" s="136" t="s">
        <v>169</v>
      </c>
      <c r="BA7" s="136" t="s">
        <v>170</v>
      </c>
      <c r="BB7" s="136" t="s">
        <v>171</v>
      </c>
      <c r="BC7" s="136" t="s">
        <v>172</v>
      </c>
      <c r="BD7" s="136" t="s">
        <v>173</v>
      </c>
      <c r="BE7" s="136" t="s">
        <v>174</v>
      </c>
      <c r="BF7" s="136" t="s">
        <v>175</v>
      </c>
      <c r="BG7" s="136" t="s">
        <v>176</v>
      </c>
      <c r="BH7" s="136" t="s">
        <v>177</v>
      </c>
      <c r="BI7" s="136" t="s">
        <v>178</v>
      </c>
      <c r="BJ7" s="136" t="s">
        <v>179</v>
      </c>
      <c r="BK7" s="136" t="s">
        <v>180</v>
      </c>
      <c r="BL7" s="150" t="s">
        <v>181</v>
      </c>
      <c r="BM7" s="136" t="s">
        <v>182</v>
      </c>
      <c r="BN7" s="136" t="s">
        <v>183</v>
      </c>
      <c r="BO7" s="136" t="s">
        <v>184</v>
      </c>
      <c r="BP7" s="136" t="s">
        <v>185</v>
      </c>
      <c r="BQ7" s="136" t="s">
        <v>236</v>
      </c>
      <c r="BR7" s="151" t="s">
        <v>232</v>
      </c>
      <c r="BS7" s="136" t="s">
        <v>233</v>
      </c>
      <c r="BT7" s="136" t="s">
        <v>234</v>
      </c>
      <c r="BU7" s="136" t="s">
        <v>235</v>
      </c>
      <c r="BW7" s="133" t="s">
        <v>164</v>
      </c>
      <c r="BX7" s="133" t="s">
        <v>165</v>
      </c>
      <c r="BY7" s="133" t="s">
        <v>237</v>
      </c>
      <c r="BZ7" s="133" t="s">
        <v>238</v>
      </c>
      <c r="CA7" s="133" t="s">
        <v>239</v>
      </c>
      <c r="CB7" s="133" t="s">
        <v>240</v>
      </c>
      <c r="CC7" s="133" t="s">
        <v>241</v>
      </c>
      <c r="CD7" s="133" t="s">
        <v>242</v>
      </c>
      <c r="CE7" s="133" t="s">
        <v>243</v>
      </c>
      <c r="CF7" s="133" t="s">
        <v>244</v>
      </c>
      <c r="CG7" s="136" t="s">
        <v>186</v>
      </c>
      <c r="CH7" s="136" t="s">
        <v>187</v>
      </c>
      <c r="CI7" s="136" t="s">
        <v>188</v>
      </c>
      <c r="CJ7" s="136" t="s">
        <v>189</v>
      </c>
      <c r="CK7" s="136" t="s">
        <v>190</v>
      </c>
      <c r="CL7" s="136" t="s">
        <v>191</v>
      </c>
      <c r="CM7" s="136" t="s">
        <v>192</v>
      </c>
      <c r="CN7" s="136" t="s">
        <v>193</v>
      </c>
      <c r="CO7" s="136" t="s">
        <v>194</v>
      </c>
      <c r="CP7" s="136" t="s">
        <v>195</v>
      </c>
      <c r="CQ7" s="136" t="s">
        <v>196</v>
      </c>
      <c r="CR7" s="136" t="s">
        <v>197</v>
      </c>
      <c r="CS7" s="136" t="s">
        <v>198</v>
      </c>
      <c r="CT7" s="136" t="s">
        <v>199</v>
      </c>
      <c r="CU7" s="136" t="s">
        <v>200</v>
      </c>
      <c r="CV7" s="136" t="s">
        <v>201</v>
      </c>
      <c r="CW7" s="136" t="s">
        <v>202</v>
      </c>
      <c r="CX7" s="136" t="s">
        <v>203</v>
      </c>
      <c r="CY7" s="136" t="s">
        <v>204</v>
      </c>
      <c r="CZ7" s="136" t="s">
        <v>205</v>
      </c>
      <c r="DA7" s="151" t="s">
        <v>250</v>
      </c>
      <c r="DB7" s="136" t="s">
        <v>245</v>
      </c>
      <c r="DC7" s="136" t="s">
        <v>246</v>
      </c>
      <c r="DD7" s="136" t="s">
        <v>247</v>
      </c>
      <c r="DE7" s="136" t="s">
        <v>248</v>
      </c>
      <c r="DF7" s="136" t="s">
        <v>249</v>
      </c>
    </row>
    <row r="8" spans="2:110" ht="17.649999999999999" customHeight="1">
      <c r="B8" s="234" t="s">
        <v>206</v>
      </c>
      <c r="C8" s="133" t="s">
        <v>217</v>
      </c>
      <c r="D8" s="79" t="str">
        <f t="shared" ref="D8:S23" si="0">VLOOKUP($B$7-0.000001,$BW$8:$DF$32,MATCH(D$7,$BW$7:$DF$7,0))-VLOOKUP($B$7-0.000001,$AO$36:$BU$60,MATCH($C8,$AO$35:$BU$35,0))
&amp;"/"&amp;
VLOOKUP($B$7-0.000001,$BW$36:$DF$60,MATCH(D$7,$BW$35:$DF$35,0))-VLOOKUP($B$7-0.000001,$AO$8:$BU$32,MATCH($C8,$AO$7:$BU$7,0))</f>
        <v>522/360</v>
      </c>
      <c r="E8" s="79" t="str">
        <f t="shared" si="0"/>
        <v>434/310</v>
      </c>
      <c r="F8" s="79" t="str">
        <f t="shared" si="0"/>
        <v>472/310</v>
      </c>
      <c r="G8" s="79" t="str">
        <f t="shared" si="0"/>
        <v>361/260</v>
      </c>
      <c r="H8" s="79" t="str">
        <f t="shared" si="0"/>
        <v>384/260</v>
      </c>
      <c r="I8" s="79" t="str">
        <f t="shared" si="0"/>
        <v>422/260</v>
      </c>
      <c r="J8" s="79" t="str">
        <f t="shared" si="0"/>
        <v>317/230</v>
      </c>
      <c r="K8" s="79" t="str">
        <f t="shared" si="0"/>
        <v>331/230</v>
      </c>
      <c r="L8" s="79" t="str">
        <f t="shared" si="0"/>
        <v>354/230</v>
      </c>
      <c r="M8" s="79" t="str">
        <f t="shared" si="0"/>
        <v>283/205</v>
      </c>
      <c r="N8" s="79" t="str">
        <f t="shared" si="0"/>
        <v>292/205</v>
      </c>
      <c r="O8" s="79" t="str">
        <f t="shared" si="0"/>
        <v>306/205</v>
      </c>
      <c r="P8" s="79" t="str">
        <f t="shared" si="0"/>
        <v>267/189</v>
      </c>
      <c r="Q8" s="79" t="str">
        <f t="shared" si="0"/>
        <v>276/189</v>
      </c>
      <c r="R8" s="79" t="str">
        <f t="shared" si="0"/>
        <v>258/180</v>
      </c>
      <c r="S8" s="79" t="str">
        <f t="shared" si="0"/>
        <v>267/180</v>
      </c>
      <c r="T8" s="79" t="str">
        <f t="shared" ref="T8:AK22" si="1">VLOOKUP($B$7-0.000001,$BW$8:$DF$32,MATCH(T$7,$BW$7:$DF$7,0))-VLOOKUP($B$7-0.000001,$AO$36:$BU$60,MATCH($C8,$AO$35:$BU$35,0))
&amp;"/"&amp;
VLOOKUP($B$7-0.000001,$BW$36:$DF$60,MATCH(T$7,$BW$35:$DF$35,0))-VLOOKUP($B$7-0.000001,$AO$8:$BU$32,MATCH($C8,$AO$7:$BU$7,0))</f>
        <v>281/180</v>
      </c>
      <c r="U8" s="79" t="str">
        <f t="shared" si="1"/>
        <v>304/180</v>
      </c>
      <c r="V8" s="79" t="str">
        <f t="shared" si="1"/>
        <v>342/180</v>
      </c>
      <c r="W8" s="79" t="str">
        <f t="shared" si="1"/>
        <v>250/172</v>
      </c>
      <c r="X8" s="79" t="str">
        <f t="shared" si="1"/>
        <v>254/168</v>
      </c>
      <c r="Y8" s="79" t="str">
        <f t="shared" si="1"/>
        <v>245/167</v>
      </c>
      <c r="Z8" s="79" t="str">
        <f t="shared" si="1"/>
        <v>249/162</v>
      </c>
      <c r="AA8" s="79" t="str">
        <f t="shared" si="1"/>
        <v>238/160</v>
      </c>
      <c r="AB8" s="79" t="str">
        <f t="shared" si="1"/>
        <v>242/155</v>
      </c>
      <c r="AC8" s="79" t="str">
        <f t="shared" si="1"/>
        <v>230/152</v>
      </c>
      <c r="AD8" s="79" t="str">
        <f t="shared" si="1"/>
        <v>234/147</v>
      </c>
      <c r="AE8" s="79" t="str">
        <f t="shared" si="1"/>
        <v>221/143</v>
      </c>
      <c r="AF8" s="79" t="str">
        <f t="shared" si="1"/>
        <v>225/138</v>
      </c>
      <c r="AG8" s="79" t="str">
        <f t="shared" si="1"/>
        <v>217/130</v>
      </c>
      <c r="AH8" s="79" t="str">
        <f t="shared" si="1"/>
        <v>208/121</v>
      </c>
      <c r="AI8" s="79" t="str">
        <f t="shared" si="1"/>
        <v>197/110</v>
      </c>
      <c r="AJ8" s="79" t="str">
        <f t="shared" si="1"/>
        <v>181/94</v>
      </c>
      <c r="AK8" s="79" t="e">
        <f t="shared" si="1"/>
        <v>#VALUE!</v>
      </c>
      <c r="AO8" s="134">
        <v>0</v>
      </c>
      <c r="AP8" s="134">
        <v>3</v>
      </c>
      <c r="AQ8" s="84">
        <v>-140</v>
      </c>
      <c r="AR8">
        <v>-60</v>
      </c>
      <c r="AS8">
        <v>-20</v>
      </c>
      <c r="AT8">
        <v>-20</v>
      </c>
      <c r="AU8">
        <v>-14</v>
      </c>
      <c r="AV8">
        <v>-14</v>
      </c>
      <c r="AW8" s="141">
        <v>-14</v>
      </c>
      <c r="AX8" s="141">
        <v>-6</v>
      </c>
      <c r="AY8" s="141">
        <v>-6</v>
      </c>
      <c r="AZ8" s="141">
        <v>-6</v>
      </c>
      <c r="BA8" s="141">
        <v>-2</v>
      </c>
      <c r="BB8" s="141">
        <v>-2</v>
      </c>
      <c r="BC8" s="141">
        <v>0</v>
      </c>
      <c r="BD8" s="141">
        <v>0</v>
      </c>
      <c r="BE8" s="141">
        <v>0</v>
      </c>
      <c r="BF8" s="141">
        <v>0</v>
      </c>
      <c r="BG8" s="141">
        <v>0</v>
      </c>
      <c r="BH8" s="141">
        <v>2</v>
      </c>
      <c r="BI8" s="141">
        <v>3</v>
      </c>
      <c r="BJ8" s="141">
        <v>5</v>
      </c>
      <c r="BK8" s="141">
        <v>4</v>
      </c>
      <c r="BL8" s="79">
        <v>6</v>
      </c>
      <c r="BM8" s="79">
        <v>6</v>
      </c>
      <c r="BN8" s="79">
        <v>8</v>
      </c>
      <c r="BO8" s="79">
        <v>10</v>
      </c>
      <c r="BP8" s="79">
        <v>12</v>
      </c>
      <c r="BQ8" s="79">
        <v>16</v>
      </c>
      <c r="BR8" s="79">
        <v>20</v>
      </c>
      <c r="BS8" s="162" t="s">
        <v>112</v>
      </c>
      <c r="BT8" s="79">
        <v>24</v>
      </c>
      <c r="BU8" s="79">
        <v>26</v>
      </c>
      <c r="BW8" s="134">
        <v>0</v>
      </c>
      <c r="BX8" s="134">
        <v>3</v>
      </c>
      <c r="BY8" s="79">
        <v>180</v>
      </c>
      <c r="BZ8" s="79">
        <v>85</v>
      </c>
      <c r="CA8" s="79">
        <v>100</v>
      </c>
      <c r="CB8" s="79">
        <v>34</v>
      </c>
      <c r="CC8" s="79">
        <v>45</v>
      </c>
      <c r="CD8" s="79">
        <v>60</v>
      </c>
      <c r="CE8" s="79">
        <v>24</v>
      </c>
      <c r="CF8" s="79">
        <v>28</v>
      </c>
      <c r="CG8" s="132">
        <v>39</v>
      </c>
      <c r="CH8" s="132">
        <v>12</v>
      </c>
      <c r="CI8" s="132">
        <v>16</v>
      </c>
      <c r="CJ8" s="132">
        <v>20</v>
      </c>
      <c r="CK8" s="132">
        <v>8</v>
      </c>
      <c r="CL8" s="132">
        <v>12</v>
      </c>
      <c r="CM8" s="132">
        <v>6</v>
      </c>
      <c r="CN8" s="132">
        <v>10</v>
      </c>
      <c r="CO8" s="132">
        <v>14</v>
      </c>
      <c r="CP8" s="132">
        <v>25</v>
      </c>
      <c r="CQ8" s="132">
        <v>40</v>
      </c>
      <c r="CR8" s="132">
        <v>3</v>
      </c>
      <c r="CS8" s="132">
        <v>5</v>
      </c>
      <c r="CT8" s="132">
        <v>0</v>
      </c>
      <c r="CU8" s="132">
        <v>0</v>
      </c>
      <c r="CV8" s="132">
        <v>-2</v>
      </c>
      <c r="CW8" s="132">
        <v>-2</v>
      </c>
      <c r="CX8" s="132">
        <v>-4</v>
      </c>
      <c r="CY8" s="132">
        <v>-4</v>
      </c>
      <c r="CZ8" s="132">
        <v>-6</v>
      </c>
      <c r="DA8" s="79">
        <v>-6</v>
      </c>
      <c r="DB8" s="79">
        <v>-10</v>
      </c>
      <c r="DC8" s="79">
        <v>-14</v>
      </c>
      <c r="DD8" s="162" t="s">
        <v>161</v>
      </c>
      <c r="DE8" s="79">
        <v>-18</v>
      </c>
      <c r="DF8" s="79">
        <v>-20</v>
      </c>
    </row>
    <row r="9" spans="2:110">
      <c r="B9" s="235"/>
      <c r="C9" s="133" t="s">
        <v>219</v>
      </c>
      <c r="D9" s="79" t="str">
        <f t="shared" si="0"/>
        <v>472/310</v>
      </c>
      <c r="E9" s="79" t="str">
        <f t="shared" si="0"/>
        <v>384/260</v>
      </c>
      <c r="F9" s="79" t="str">
        <f t="shared" si="0"/>
        <v>422/260</v>
      </c>
      <c r="G9" s="79" t="str">
        <f t="shared" si="0"/>
        <v>311/210</v>
      </c>
      <c r="H9" s="79" t="str">
        <f t="shared" si="0"/>
        <v>334/210</v>
      </c>
      <c r="I9" s="79" t="str">
        <f t="shared" si="0"/>
        <v>372/210</v>
      </c>
      <c r="J9" s="79" t="str">
        <f t="shared" si="0"/>
        <v>267/180</v>
      </c>
      <c r="K9" s="79" t="str">
        <f t="shared" si="0"/>
        <v>281/180</v>
      </c>
      <c r="L9" s="79" t="str">
        <f t="shared" si="0"/>
        <v>304/180</v>
      </c>
      <c r="M9" s="79" t="str">
        <f t="shared" si="0"/>
        <v>233/155</v>
      </c>
      <c r="N9" s="79" t="str">
        <f t="shared" si="0"/>
        <v>242/155</v>
      </c>
      <c r="O9" s="79" t="str">
        <f t="shared" si="0"/>
        <v>256/155</v>
      </c>
      <c r="P9" s="79" t="str">
        <f t="shared" si="0"/>
        <v>217/139</v>
      </c>
      <c r="Q9" s="79" t="str">
        <f t="shared" si="0"/>
        <v>226/139</v>
      </c>
      <c r="R9" s="79" t="str">
        <f t="shared" si="0"/>
        <v>208/130</v>
      </c>
      <c r="S9" s="79" t="str">
        <f t="shared" si="0"/>
        <v>217/130</v>
      </c>
      <c r="T9" s="79" t="str">
        <f t="shared" si="1"/>
        <v>231/130</v>
      </c>
      <c r="U9" s="79" t="str">
        <f t="shared" si="1"/>
        <v>254/130</v>
      </c>
      <c r="V9" s="79" t="str">
        <f t="shared" si="1"/>
        <v>292/130</v>
      </c>
      <c r="W9" s="79" t="str">
        <f t="shared" si="1"/>
        <v>200/122</v>
      </c>
      <c r="X9" s="79" t="str">
        <f t="shared" si="1"/>
        <v>204/118</v>
      </c>
      <c r="Y9" s="79" t="str">
        <f t="shared" si="1"/>
        <v>195/117</v>
      </c>
      <c r="Z9" s="79" t="str">
        <f t="shared" si="1"/>
        <v>199/112</v>
      </c>
      <c r="AA9" s="79" t="str">
        <f t="shared" si="1"/>
        <v>188/110</v>
      </c>
      <c r="AB9" s="79" t="str">
        <f t="shared" si="1"/>
        <v>192/105</v>
      </c>
      <c r="AC9" s="79" t="str">
        <f t="shared" si="1"/>
        <v>180/102</v>
      </c>
      <c r="AD9" s="79" t="str">
        <f t="shared" si="1"/>
        <v>184/97</v>
      </c>
      <c r="AE9" s="79" t="str">
        <f t="shared" si="1"/>
        <v>171/93</v>
      </c>
      <c r="AF9" s="79" t="str">
        <f t="shared" si="1"/>
        <v>175/88</v>
      </c>
      <c r="AG9" s="79" t="str">
        <f t="shared" si="1"/>
        <v>167/80</v>
      </c>
      <c r="AH9" s="79" t="str">
        <f t="shared" si="1"/>
        <v>158/71</v>
      </c>
      <c r="AI9" s="79" t="str">
        <f t="shared" si="1"/>
        <v>147/60</v>
      </c>
      <c r="AJ9" s="79" t="str">
        <f t="shared" si="1"/>
        <v>131/44</v>
      </c>
      <c r="AK9" s="79" t="e">
        <f t="shared" si="1"/>
        <v>#VALUE!</v>
      </c>
      <c r="AO9" s="134">
        <v>3</v>
      </c>
      <c r="AP9" s="134">
        <v>6</v>
      </c>
      <c r="AQ9">
        <v>-140</v>
      </c>
      <c r="AR9">
        <v>-70</v>
      </c>
      <c r="AS9">
        <v>-30</v>
      </c>
      <c r="AT9">
        <v>-30</v>
      </c>
      <c r="AU9">
        <v>-20</v>
      </c>
      <c r="AV9">
        <v>-20</v>
      </c>
      <c r="AW9" s="141">
        <v>-20</v>
      </c>
      <c r="AX9" s="141">
        <v>-10</v>
      </c>
      <c r="AY9" s="141">
        <v>-10</v>
      </c>
      <c r="AZ9" s="141">
        <v>-10</v>
      </c>
      <c r="BA9" s="141">
        <v>-4</v>
      </c>
      <c r="BB9" s="141">
        <v>-4</v>
      </c>
      <c r="BC9" s="141">
        <v>0</v>
      </c>
      <c r="BD9" s="141">
        <v>0</v>
      </c>
      <c r="BE9" s="141">
        <v>0</v>
      </c>
      <c r="BF9" s="141">
        <v>0</v>
      </c>
      <c r="BG9" s="141">
        <v>0</v>
      </c>
      <c r="BH9" s="141">
        <v>2.5</v>
      </c>
      <c r="BI9" s="141">
        <v>4</v>
      </c>
      <c r="BJ9" s="141">
        <v>6</v>
      </c>
      <c r="BK9" s="141">
        <v>6</v>
      </c>
      <c r="BL9" s="79">
        <v>9</v>
      </c>
      <c r="BM9" s="79">
        <v>9</v>
      </c>
      <c r="BN9" s="79">
        <v>12</v>
      </c>
      <c r="BO9" s="79">
        <v>16</v>
      </c>
      <c r="BP9" s="79">
        <v>20</v>
      </c>
      <c r="BQ9" s="79">
        <v>23</v>
      </c>
      <c r="BR9" s="79">
        <v>27</v>
      </c>
      <c r="BS9" s="162" t="s">
        <v>112</v>
      </c>
      <c r="BT9" s="79">
        <v>31</v>
      </c>
      <c r="BU9" s="79">
        <v>36</v>
      </c>
      <c r="BW9" s="134">
        <v>3</v>
      </c>
      <c r="BX9" s="134">
        <v>6</v>
      </c>
      <c r="BY9" s="79">
        <v>188</v>
      </c>
      <c r="BZ9" s="79">
        <v>100</v>
      </c>
      <c r="CA9" s="79">
        <v>118</v>
      </c>
      <c r="CB9" s="79">
        <v>48</v>
      </c>
      <c r="CC9" s="79">
        <v>60</v>
      </c>
      <c r="CD9" s="79">
        <v>78</v>
      </c>
      <c r="CE9" s="79">
        <v>32</v>
      </c>
      <c r="CF9" s="79">
        <v>38</v>
      </c>
      <c r="CG9" s="132">
        <v>50</v>
      </c>
      <c r="CH9" s="132">
        <v>18</v>
      </c>
      <c r="CI9" s="132">
        <v>22</v>
      </c>
      <c r="CJ9" s="132">
        <v>28</v>
      </c>
      <c r="CK9" s="132">
        <v>12</v>
      </c>
      <c r="CL9" s="132">
        <v>16</v>
      </c>
      <c r="CM9" s="132">
        <v>8</v>
      </c>
      <c r="CN9" s="132">
        <v>12</v>
      </c>
      <c r="CO9" s="132">
        <v>18</v>
      </c>
      <c r="CP9" s="132">
        <v>30</v>
      </c>
      <c r="CQ9" s="132">
        <v>48</v>
      </c>
      <c r="CR9" s="132">
        <v>4</v>
      </c>
      <c r="CS9" s="132">
        <v>6</v>
      </c>
      <c r="CT9" s="132">
        <v>2</v>
      </c>
      <c r="CU9" s="132">
        <v>3</v>
      </c>
      <c r="CV9" s="132">
        <v>-1</v>
      </c>
      <c r="CW9" s="132">
        <v>0</v>
      </c>
      <c r="CX9" s="132">
        <v>-5</v>
      </c>
      <c r="CY9" s="132">
        <v>-4</v>
      </c>
      <c r="CZ9" s="132">
        <v>-9</v>
      </c>
      <c r="DA9" s="79">
        <v>-8</v>
      </c>
      <c r="DB9" s="79">
        <v>-11</v>
      </c>
      <c r="DC9" s="79">
        <v>-15</v>
      </c>
      <c r="DD9" s="162" t="s">
        <v>161</v>
      </c>
      <c r="DE9" s="79">
        <v>-19</v>
      </c>
      <c r="DF9" s="79">
        <v>-24</v>
      </c>
    </row>
    <row r="10" spans="2:110">
      <c r="B10" s="235"/>
      <c r="C10" s="133" t="s">
        <v>221</v>
      </c>
      <c r="D10" s="79" t="str">
        <f t="shared" si="0"/>
        <v>399/260</v>
      </c>
      <c r="E10" s="79" t="str">
        <f t="shared" si="0"/>
        <v>311/210</v>
      </c>
      <c r="F10" s="79" t="str">
        <f t="shared" si="0"/>
        <v>349/210</v>
      </c>
      <c r="G10" s="79" t="str">
        <f t="shared" si="0"/>
        <v>238/160</v>
      </c>
      <c r="H10" s="79" t="str">
        <f t="shared" si="0"/>
        <v>261/160</v>
      </c>
      <c r="I10" s="79" t="str">
        <f t="shared" si="0"/>
        <v>299/160</v>
      </c>
      <c r="J10" s="79" t="str">
        <f t="shared" si="0"/>
        <v>194/130</v>
      </c>
      <c r="K10" s="79" t="str">
        <f t="shared" si="0"/>
        <v>208/130</v>
      </c>
      <c r="L10" s="79" t="str">
        <f t="shared" si="0"/>
        <v>231/130</v>
      </c>
      <c r="M10" s="79" t="str">
        <f t="shared" si="0"/>
        <v>160/105</v>
      </c>
      <c r="N10" s="79" t="str">
        <f t="shared" si="0"/>
        <v>169/105</v>
      </c>
      <c r="O10" s="79" t="str">
        <f t="shared" si="0"/>
        <v>183/105</v>
      </c>
      <c r="P10" s="79" t="str">
        <f t="shared" si="0"/>
        <v>144/89</v>
      </c>
      <c r="Q10" s="79" t="str">
        <f t="shared" si="0"/>
        <v>153/89</v>
      </c>
      <c r="R10" s="79" t="str">
        <f t="shared" si="0"/>
        <v>135/80</v>
      </c>
      <c r="S10" s="79" t="str">
        <f t="shared" si="0"/>
        <v>144/80</v>
      </c>
      <c r="T10" s="79" t="str">
        <f t="shared" si="1"/>
        <v>158/80</v>
      </c>
      <c r="U10" s="79" t="str">
        <f t="shared" si="1"/>
        <v>181/80</v>
      </c>
      <c r="V10" s="79" t="str">
        <f t="shared" si="1"/>
        <v>219/80</v>
      </c>
      <c r="W10" s="79" t="str">
        <f t="shared" si="1"/>
        <v>127/72</v>
      </c>
      <c r="X10" s="79" t="str">
        <f t="shared" si="1"/>
        <v>131/68</v>
      </c>
      <c r="Y10" s="79" t="str">
        <f t="shared" si="1"/>
        <v>122/67</v>
      </c>
      <c r="Z10" s="79" t="str">
        <f t="shared" si="1"/>
        <v>126/62</v>
      </c>
      <c r="AA10" s="79" t="str">
        <f t="shared" si="1"/>
        <v>115/60</v>
      </c>
      <c r="AB10" s="79" t="str">
        <f t="shared" si="1"/>
        <v>119/55</v>
      </c>
      <c r="AC10" s="79" t="str">
        <f t="shared" si="1"/>
        <v>107/52</v>
      </c>
      <c r="AD10" s="79" t="str">
        <f t="shared" si="1"/>
        <v>111/47</v>
      </c>
      <c r="AE10" s="79" t="str">
        <f t="shared" si="1"/>
        <v>98/43</v>
      </c>
      <c r="AF10" s="79" t="str">
        <f t="shared" si="1"/>
        <v>102/38</v>
      </c>
      <c r="AG10" s="79" t="str">
        <f t="shared" si="1"/>
        <v>94/30</v>
      </c>
      <c r="AH10" s="79" t="str">
        <f t="shared" si="1"/>
        <v>85/21</v>
      </c>
      <c r="AI10" s="79" t="str">
        <f t="shared" si="1"/>
        <v>74/10</v>
      </c>
      <c r="AJ10" s="79" t="str">
        <f t="shared" si="1"/>
        <v>58/-6</v>
      </c>
      <c r="AK10" s="79" t="e">
        <f t="shared" si="1"/>
        <v>#VALUE!</v>
      </c>
      <c r="AO10" s="134">
        <v>6</v>
      </c>
      <c r="AP10" s="134">
        <v>10</v>
      </c>
      <c r="AQ10">
        <v>-150</v>
      </c>
      <c r="AR10">
        <v>-80</v>
      </c>
      <c r="AS10">
        <v>-40</v>
      </c>
      <c r="AT10">
        <v>-40</v>
      </c>
      <c r="AU10">
        <v>-25</v>
      </c>
      <c r="AV10">
        <v>-25</v>
      </c>
      <c r="AW10" s="141">
        <v>-25</v>
      </c>
      <c r="AX10" s="141">
        <v>-13</v>
      </c>
      <c r="AY10" s="141">
        <v>-13</v>
      </c>
      <c r="AZ10" s="141">
        <v>-13</v>
      </c>
      <c r="BA10" s="141">
        <v>-5</v>
      </c>
      <c r="BB10" s="141">
        <v>-5</v>
      </c>
      <c r="BC10" s="141">
        <v>0</v>
      </c>
      <c r="BD10" s="141">
        <v>0</v>
      </c>
      <c r="BE10" s="141">
        <v>0</v>
      </c>
      <c r="BF10" s="141">
        <v>0</v>
      </c>
      <c r="BG10" s="141">
        <v>0</v>
      </c>
      <c r="BH10" s="141">
        <v>3</v>
      </c>
      <c r="BI10" s="141">
        <v>4.5</v>
      </c>
      <c r="BJ10" s="141">
        <v>7</v>
      </c>
      <c r="BK10" s="141">
        <v>7</v>
      </c>
      <c r="BL10" s="79">
        <v>10</v>
      </c>
      <c r="BM10" s="79">
        <v>12</v>
      </c>
      <c r="BN10" s="79">
        <v>15</v>
      </c>
      <c r="BO10" s="79">
        <v>19</v>
      </c>
      <c r="BP10" s="79">
        <v>24</v>
      </c>
      <c r="BQ10" s="79">
        <v>28</v>
      </c>
      <c r="BR10" s="79">
        <v>32</v>
      </c>
      <c r="BS10" s="162" t="s">
        <v>112</v>
      </c>
      <c r="BT10" s="79">
        <v>37</v>
      </c>
      <c r="BU10" s="79">
        <v>43</v>
      </c>
      <c r="BW10" s="134">
        <v>6</v>
      </c>
      <c r="BX10" s="134">
        <v>10</v>
      </c>
      <c r="BY10" s="79">
        <v>208</v>
      </c>
      <c r="BZ10" s="79">
        <v>116</v>
      </c>
      <c r="CA10" s="79">
        <v>138</v>
      </c>
      <c r="CB10" s="79">
        <v>62</v>
      </c>
      <c r="CC10" s="79">
        <v>76</v>
      </c>
      <c r="CD10" s="79">
        <v>98</v>
      </c>
      <c r="CE10" s="79">
        <v>40</v>
      </c>
      <c r="CF10" s="79">
        <v>47</v>
      </c>
      <c r="CG10" s="132">
        <v>61</v>
      </c>
      <c r="CH10" s="132">
        <v>22</v>
      </c>
      <c r="CI10" s="132">
        <v>28</v>
      </c>
      <c r="CJ10" s="132">
        <v>35</v>
      </c>
      <c r="CK10" s="132">
        <v>14</v>
      </c>
      <c r="CL10" s="132">
        <v>20</v>
      </c>
      <c r="CM10" s="132">
        <v>9</v>
      </c>
      <c r="CN10" s="132">
        <v>15</v>
      </c>
      <c r="CO10" s="132">
        <v>22</v>
      </c>
      <c r="CP10" s="132">
        <v>36</v>
      </c>
      <c r="CQ10" s="132">
        <v>58</v>
      </c>
      <c r="CR10" s="132">
        <v>4.5</v>
      </c>
      <c r="CS10" s="132">
        <v>7</v>
      </c>
      <c r="CT10" s="132">
        <v>2</v>
      </c>
      <c r="CU10" s="132">
        <v>5</v>
      </c>
      <c r="CV10" s="132">
        <v>-3</v>
      </c>
      <c r="CW10" s="132">
        <v>0</v>
      </c>
      <c r="CX10" s="132">
        <v>-7</v>
      </c>
      <c r="CY10" s="132">
        <v>-4</v>
      </c>
      <c r="CZ10" s="132">
        <v>-12</v>
      </c>
      <c r="DA10" s="79">
        <v>-9</v>
      </c>
      <c r="DB10" s="79">
        <v>-13</v>
      </c>
      <c r="DC10" s="79">
        <v>-17</v>
      </c>
      <c r="DD10" s="162" t="s">
        <v>161</v>
      </c>
      <c r="DE10" s="79">
        <v>-22</v>
      </c>
      <c r="DF10" s="79">
        <v>-28</v>
      </c>
    </row>
    <row r="11" spans="2:110">
      <c r="B11" s="235"/>
      <c r="C11" s="133" t="s">
        <v>223</v>
      </c>
      <c r="D11" s="79" t="str">
        <f t="shared" si="0"/>
        <v>422/260</v>
      </c>
      <c r="E11" s="79" t="str">
        <f t="shared" si="0"/>
        <v>334/210</v>
      </c>
      <c r="F11" s="79" t="str">
        <f t="shared" si="0"/>
        <v>372/210</v>
      </c>
      <c r="G11" s="79" t="str">
        <f t="shared" si="0"/>
        <v>261/160</v>
      </c>
      <c r="H11" s="79" t="str">
        <f t="shared" si="0"/>
        <v>284/160</v>
      </c>
      <c r="I11" s="79" t="str">
        <f t="shared" si="0"/>
        <v>322/160</v>
      </c>
      <c r="J11" s="79" t="str">
        <f t="shared" si="0"/>
        <v>217/130</v>
      </c>
      <c r="K11" s="79" t="str">
        <f t="shared" si="0"/>
        <v>231/130</v>
      </c>
      <c r="L11" s="79" t="str">
        <f t="shared" si="0"/>
        <v>254/130</v>
      </c>
      <c r="M11" s="79" t="str">
        <f t="shared" si="0"/>
        <v>183/105</v>
      </c>
      <c r="N11" s="79" t="str">
        <f t="shared" si="0"/>
        <v>192/105</v>
      </c>
      <c r="O11" s="79" t="str">
        <f t="shared" si="0"/>
        <v>206/105</v>
      </c>
      <c r="P11" s="79" t="str">
        <f t="shared" si="0"/>
        <v>167/89</v>
      </c>
      <c r="Q11" s="79" t="str">
        <f t="shared" si="0"/>
        <v>176/89</v>
      </c>
      <c r="R11" s="79" t="str">
        <f t="shared" si="0"/>
        <v>158/80</v>
      </c>
      <c r="S11" s="79" t="str">
        <f t="shared" si="0"/>
        <v>167/80</v>
      </c>
      <c r="T11" s="79" t="str">
        <f t="shared" si="1"/>
        <v>181/80</v>
      </c>
      <c r="U11" s="79" t="str">
        <f t="shared" si="1"/>
        <v>204/80</v>
      </c>
      <c r="V11" s="79" t="str">
        <f t="shared" si="1"/>
        <v>242/80</v>
      </c>
      <c r="W11" s="79" t="str">
        <f t="shared" si="1"/>
        <v>150/72</v>
      </c>
      <c r="X11" s="79" t="str">
        <f t="shared" si="1"/>
        <v>154/68</v>
      </c>
      <c r="Y11" s="79" t="str">
        <f t="shared" si="1"/>
        <v>145/67</v>
      </c>
      <c r="Z11" s="79" t="str">
        <f t="shared" si="1"/>
        <v>149/62</v>
      </c>
      <c r="AA11" s="79" t="str">
        <f t="shared" si="1"/>
        <v>138/60</v>
      </c>
      <c r="AB11" s="79" t="str">
        <f t="shared" si="1"/>
        <v>142/55</v>
      </c>
      <c r="AC11" s="79" t="str">
        <f t="shared" si="1"/>
        <v>130/52</v>
      </c>
      <c r="AD11" s="79" t="str">
        <f t="shared" si="1"/>
        <v>134/47</v>
      </c>
      <c r="AE11" s="79" t="str">
        <f t="shared" si="1"/>
        <v>121/43</v>
      </c>
      <c r="AF11" s="79" t="str">
        <f t="shared" si="1"/>
        <v>125/38</v>
      </c>
      <c r="AG11" s="79" t="str">
        <f t="shared" si="1"/>
        <v>117/30</v>
      </c>
      <c r="AH11" s="79" t="str">
        <f t="shared" si="1"/>
        <v>108/21</v>
      </c>
      <c r="AI11" s="79" t="str">
        <f t="shared" si="1"/>
        <v>97/10</v>
      </c>
      <c r="AJ11" s="79" t="str">
        <f t="shared" si="1"/>
        <v>81/-6</v>
      </c>
      <c r="AK11" s="79" t="e">
        <f t="shared" si="1"/>
        <v>#VALUE!</v>
      </c>
      <c r="AO11" s="135">
        <v>10</v>
      </c>
      <c r="AP11" s="135">
        <v>14</v>
      </c>
      <c r="AQ11">
        <v>-150</v>
      </c>
      <c r="AR11">
        <v>-95</v>
      </c>
      <c r="AS11">
        <v>-50</v>
      </c>
      <c r="AT11">
        <v>-50</v>
      </c>
      <c r="AU11">
        <v>-32</v>
      </c>
      <c r="AV11">
        <v>-32</v>
      </c>
      <c r="AW11" s="141">
        <v>-32</v>
      </c>
      <c r="AX11" s="141">
        <v>-16</v>
      </c>
      <c r="AY11" s="141">
        <v>-16</v>
      </c>
      <c r="AZ11" s="141">
        <v>-16</v>
      </c>
      <c r="BA11" s="141">
        <v>-6</v>
      </c>
      <c r="BB11" s="141">
        <v>-6</v>
      </c>
      <c r="BC11" s="141">
        <v>0</v>
      </c>
      <c r="BD11" s="141">
        <v>0</v>
      </c>
      <c r="BE11" s="141">
        <v>0</v>
      </c>
      <c r="BF11" s="141">
        <v>0</v>
      </c>
      <c r="BG11" s="141">
        <v>0</v>
      </c>
      <c r="BH11" s="141">
        <v>1</v>
      </c>
      <c r="BI11" s="141">
        <v>5.5</v>
      </c>
      <c r="BJ11" s="141">
        <v>9</v>
      </c>
      <c r="BK11" s="141">
        <v>9</v>
      </c>
      <c r="BL11" s="79">
        <v>12</v>
      </c>
      <c r="BM11" s="79">
        <v>15</v>
      </c>
      <c r="BN11" s="79">
        <v>18</v>
      </c>
      <c r="BO11" s="79">
        <v>23</v>
      </c>
      <c r="BP11" s="79">
        <v>29</v>
      </c>
      <c r="BQ11" s="79">
        <v>34</v>
      </c>
      <c r="BR11" s="79">
        <v>39</v>
      </c>
      <c r="BS11" s="162" t="s">
        <v>112</v>
      </c>
      <c r="BT11" s="79">
        <v>44</v>
      </c>
      <c r="BU11" s="79">
        <v>51</v>
      </c>
      <c r="BW11" s="135">
        <v>10</v>
      </c>
      <c r="BX11" s="135">
        <v>14</v>
      </c>
      <c r="BY11" s="79">
        <v>220</v>
      </c>
      <c r="BZ11" s="79">
        <v>138</v>
      </c>
      <c r="CA11" s="79">
        <v>165</v>
      </c>
      <c r="CB11" s="79">
        <v>77</v>
      </c>
      <c r="CC11" s="79">
        <v>93</v>
      </c>
      <c r="CD11" s="79">
        <v>120</v>
      </c>
      <c r="CE11" s="79">
        <v>50</v>
      </c>
      <c r="CF11" s="79">
        <v>59</v>
      </c>
      <c r="CG11" s="132">
        <v>75</v>
      </c>
      <c r="CH11" s="132">
        <v>27</v>
      </c>
      <c r="CI11" s="132">
        <v>34</v>
      </c>
      <c r="CJ11" s="132">
        <v>43</v>
      </c>
      <c r="CK11" s="132">
        <v>17</v>
      </c>
      <c r="CL11" s="132">
        <v>24</v>
      </c>
      <c r="CM11" s="132">
        <v>11</v>
      </c>
      <c r="CN11" s="132">
        <v>18</v>
      </c>
      <c r="CO11" s="132">
        <v>27</v>
      </c>
      <c r="CP11" s="132">
        <v>43</v>
      </c>
      <c r="CQ11" s="132">
        <v>70</v>
      </c>
      <c r="CR11" s="132">
        <v>5.5</v>
      </c>
      <c r="CS11" s="132">
        <v>9</v>
      </c>
      <c r="CT11" s="132">
        <v>2</v>
      </c>
      <c r="CU11" s="132">
        <v>6</v>
      </c>
      <c r="CV11" s="132">
        <v>-4</v>
      </c>
      <c r="CW11" s="132">
        <v>0</v>
      </c>
      <c r="CX11" s="132">
        <v>-9</v>
      </c>
      <c r="CY11" s="132">
        <v>-5</v>
      </c>
      <c r="CZ11" s="132">
        <v>-15</v>
      </c>
      <c r="DA11" s="79">
        <v>-11</v>
      </c>
      <c r="DB11" s="79">
        <v>-16</v>
      </c>
      <c r="DC11" s="79">
        <v>-21</v>
      </c>
      <c r="DD11" s="162" t="s">
        <v>161</v>
      </c>
      <c r="DE11" s="79">
        <v>-26</v>
      </c>
      <c r="DF11" s="79">
        <v>-33</v>
      </c>
    </row>
    <row r="12" spans="2:110">
      <c r="B12" s="235"/>
      <c r="C12" s="133" t="s">
        <v>225</v>
      </c>
      <c r="D12" s="79" t="str">
        <f t="shared" si="0"/>
        <v>355/230</v>
      </c>
      <c r="E12" s="79" t="str">
        <f t="shared" si="0"/>
        <v>267/180</v>
      </c>
      <c r="F12" s="79" t="str">
        <f t="shared" si="0"/>
        <v>305/180</v>
      </c>
      <c r="G12" s="79" t="str">
        <f t="shared" si="0"/>
        <v>194/130</v>
      </c>
      <c r="H12" s="79" t="str">
        <f t="shared" si="0"/>
        <v>217/130</v>
      </c>
      <c r="I12" s="79" t="str">
        <f t="shared" si="0"/>
        <v>255/130</v>
      </c>
      <c r="J12" s="79" t="str">
        <f t="shared" si="0"/>
        <v>150/100</v>
      </c>
      <c r="K12" s="79" t="str">
        <f t="shared" si="0"/>
        <v>164/100</v>
      </c>
      <c r="L12" s="79" t="str">
        <f t="shared" si="0"/>
        <v>187/100</v>
      </c>
      <c r="M12" s="79" t="str">
        <f t="shared" si="0"/>
        <v>116/75</v>
      </c>
      <c r="N12" s="79" t="str">
        <f t="shared" si="0"/>
        <v>125/75</v>
      </c>
      <c r="O12" s="79" t="str">
        <f t="shared" si="0"/>
        <v>139/75</v>
      </c>
      <c r="P12" s="79" t="str">
        <f t="shared" si="0"/>
        <v>100/59</v>
      </c>
      <c r="Q12" s="79" t="str">
        <f t="shared" si="0"/>
        <v>109/59</v>
      </c>
      <c r="R12" s="79" t="str">
        <f t="shared" si="0"/>
        <v>91/50</v>
      </c>
      <c r="S12" s="79" t="str">
        <f t="shared" si="0"/>
        <v>100/50</v>
      </c>
      <c r="T12" s="79" t="str">
        <f t="shared" si="1"/>
        <v>114/50</v>
      </c>
      <c r="U12" s="79" t="str">
        <f t="shared" si="1"/>
        <v>137/50</v>
      </c>
      <c r="V12" s="79" t="str">
        <f t="shared" si="1"/>
        <v>175/50</v>
      </c>
      <c r="W12" s="79" t="str">
        <f t="shared" si="1"/>
        <v>83/42</v>
      </c>
      <c r="X12" s="79" t="str">
        <f t="shared" si="1"/>
        <v>87/38</v>
      </c>
      <c r="Y12" s="79" t="str">
        <f t="shared" si="1"/>
        <v>78/37</v>
      </c>
      <c r="Z12" s="79" t="str">
        <f t="shared" si="1"/>
        <v>82/32</v>
      </c>
      <c r="AA12" s="79" t="str">
        <f t="shared" si="1"/>
        <v>71/30</v>
      </c>
      <c r="AB12" s="79" t="str">
        <f t="shared" si="1"/>
        <v>75/25</v>
      </c>
      <c r="AC12" s="79" t="str">
        <f t="shared" si="1"/>
        <v>63/22</v>
      </c>
      <c r="AD12" s="79" t="str">
        <f t="shared" si="1"/>
        <v>67/17</v>
      </c>
      <c r="AE12" s="79" t="str">
        <f t="shared" si="1"/>
        <v>54/13</v>
      </c>
      <c r="AF12" s="79" t="str">
        <f t="shared" si="1"/>
        <v>58/8</v>
      </c>
      <c r="AG12" s="79" t="str">
        <f t="shared" si="1"/>
        <v>50/0</v>
      </c>
      <c r="AH12" s="79" t="str">
        <f t="shared" si="1"/>
        <v>41/-9</v>
      </c>
      <c r="AI12" s="79" t="str">
        <f t="shared" si="1"/>
        <v>30/-20</v>
      </c>
      <c r="AJ12" s="79" t="str">
        <f t="shared" si="1"/>
        <v>14/-36</v>
      </c>
      <c r="AK12" s="79" t="e">
        <f t="shared" si="1"/>
        <v>#VALUE!</v>
      </c>
      <c r="AO12" s="135">
        <v>14</v>
      </c>
      <c r="AP12" s="135">
        <v>18</v>
      </c>
      <c r="AQ12">
        <v>-150</v>
      </c>
      <c r="AR12">
        <v>-95</v>
      </c>
      <c r="AS12">
        <v>-50</v>
      </c>
      <c r="AT12">
        <v>-50</v>
      </c>
      <c r="AU12">
        <v>-32</v>
      </c>
      <c r="AV12">
        <v>-32</v>
      </c>
      <c r="AW12" s="141">
        <v>-32</v>
      </c>
      <c r="AX12" s="141">
        <v>-16</v>
      </c>
      <c r="AY12" s="141">
        <v>-16</v>
      </c>
      <c r="AZ12" s="141">
        <v>-16</v>
      </c>
      <c r="BA12" s="141">
        <v>-6</v>
      </c>
      <c r="BB12" s="141">
        <v>-6</v>
      </c>
      <c r="BC12" s="141">
        <v>0</v>
      </c>
      <c r="BD12" s="141">
        <v>0</v>
      </c>
      <c r="BE12" s="141">
        <v>0</v>
      </c>
      <c r="BF12" s="141">
        <v>0</v>
      </c>
      <c r="BG12" s="141">
        <v>0</v>
      </c>
      <c r="BH12" s="141">
        <v>1</v>
      </c>
      <c r="BI12" s="141">
        <v>5.5</v>
      </c>
      <c r="BJ12" s="141">
        <v>9</v>
      </c>
      <c r="BK12" s="141">
        <v>9</v>
      </c>
      <c r="BL12" s="79">
        <v>12</v>
      </c>
      <c r="BM12" s="79">
        <v>15</v>
      </c>
      <c r="BN12" s="79">
        <v>18</v>
      </c>
      <c r="BO12" s="79">
        <v>23</v>
      </c>
      <c r="BP12" s="79">
        <v>29</v>
      </c>
      <c r="BQ12" s="79">
        <v>34</v>
      </c>
      <c r="BR12" s="79">
        <v>39</v>
      </c>
      <c r="BS12" s="162" t="s">
        <v>112</v>
      </c>
      <c r="BT12" s="79">
        <v>44</v>
      </c>
      <c r="BU12" s="79">
        <v>56</v>
      </c>
      <c r="BW12" s="135">
        <v>14</v>
      </c>
      <c r="BX12" s="135">
        <v>18</v>
      </c>
      <c r="BY12" s="79">
        <v>220</v>
      </c>
      <c r="BZ12" s="79">
        <v>138</v>
      </c>
      <c r="CA12" s="79">
        <v>165</v>
      </c>
      <c r="CB12" s="79">
        <v>77</v>
      </c>
      <c r="CC12" s="79">
        <v>93</v>
      </c>
      <c r="CD12" s="79">
        <v>120</v>
      </c>
      <c r="CE12" s="79">
        <v>50</v>
      </c>
      <c r="CF12" s="79">
        <v>59</v>
      </c>
      <c r="CG12" s="132">
        <v>75</v>
      </c>
      <c r="CH12" s="132">
        <v>27</v>
      </c>
      <c r="CI12" s="132">
        <v>34</v>
      </c>
      <c r="CJ12" s="132">
        <v>43</v>
      </c>
      <c r="CK12" s="132">
        <v>17</v>
      </c>
      <c r="CL12" s="132">
        <v>24</v>
      </c>
      <c r="CM12" s="132">
        <v>11</v>
      </c>
      <c r="CN12" s="132">
        <v>18</v>
      </c>
      <c r="CO12" s="132">
        <v>27</v>
      </c>
      <c r="CP12" s="132">
        <v>43</v>
      </c>
      <c r="CQ12" s="132">
        <v>70</v>
      </c>
      <c r="CR12" s="132">
        <v>5.5</v>
      </c>
      <c r="CS12" s="132">
        <v>9</v>
      </c>
      <c r="CT12" s="132">
        <v>2</v>
      </c>
      <c r="CU12" s="132">
        <v>6</v>
      </c>
      <c r="CV12" s="132">
        <v>-4</v>
      </c>
      <c r="CW12" s="132">
        <v>0</v>
      </c>
      <c r="CX12" s="132">
        <v>-9</v>
      </c>
      <c r="CY12" s="132">
        <v>-5</v>
      </c>
      <c r="CZ12" s="132">
        <v>-15</v>
      </c>
      <c r="DA12" s="79">
        <v>-11</v>
      </c>
      <c r="DB12" s="79">
        <v>-16</v>
      </c>
      <c r="DC12" s="79">
        <v>-21</v>
      </c>
      <c r="DD12" s="162" t="s">
        <v>161</v>
      </c>
      <c r="DE12" s="79">
        <v>-26</v>
      </c>
      <c r="DF12" s="79">
        <v>-38</v>
      </c>
    </row>
    <row r="13" spans="2:110">
      <c r="B13" s="235"/>
      <c r="C13" s="133" t="s">
        <v>227</v>
      </c>
      <c r="D13" s="79" t="str">
        <f t="shared" si="0"/>
        <v>369/230</v>
      </c>
      <c r="E13" s="79" t="str">
        <f t="shared" si="0"/>
        <v>281/180</v>
      </c>
      <c r="F13" s="79" t="str">
        <f t="shared" si="0"/>
        <v>319/180</v>
      </c>
      <c r="G13" s="79" t="str">
        <f t="shared" si="0"/>
        <v>208/130</v>
      </c>
      <c r="H13" s="79" t="str">
        <f t="shared" si="0"/>
        <v>231/130</v>
      </c>
      <c r="I13" s="79" t="str">
        <f t="shared" si="0"/>
        <v>269/130</v>
      </c>
      <c r="J13" s="79" t="str">
        <f t="shared" si="0"/>
        <v>164/100</v>
      </c>
      <c r="K13" s="79" t="str">
        <f t="shared" si="0"/>
        <v>178/100</v>
      </c>
      <c r="L13" s="79" t="str">
        <f t="shared" si="0"/>
        <v>201/100</v>
      </c>
      <c r="M13" s="79" t="str">
        <f t="shared" si="0"/>
        <v>130/75</v>
      </c>
      <c r="N13" s="79" t="str">
        <f t="shared" si="0"/>
        <v>139/75</v>
      </c>
      <c r="O13" s="79" t="str">
        <f t="shared" si="0"/>
        <v>153/75</v>
      </c>
      <c r="P13" s="79" t="str">
        <f t="shared" si="0"/>
        <v>114/59</v>
      </c>
      <c r="Q13" s="79" t="str">
        <f t="shared" si="0"/>
        <v>123/59</v>
      </c>
      <c r="R13" s="79" t="str">
        <f t="shared" si="0"/>
        <v>105/50</v>
      </c>
      <c r="S13" s="79" t="str">
        <f t="shared" si="0"/>
        <v>114/50</v>
      </c>
      <c r="T13" s="79" t="str">
        <f t="shared" si="1"/>
        <v>128/50</v>
      </c>
      <c r="U13" s="79" t="str">
        <f t="shared" si="1"/>
        <v>151/50</v>
      </c>
      <c r="V13" s="79" t="str">
        <f t="shared" si="1"/>
        <v>189/50</v>
      </c>
      <c r="W13" s="79" t="str">
        <f t="shared" si="1"/>
        <v>97/42</v>
      </c>
      <c r="X13" s="79" t="str">
        <f t="shared" si="1"/>
        <v>101/38</v>
      </c>
      <c r="Y13" s="79" t="str">
        <f t="shared" si="1"/>
        <v>92/37</v>
      </c>
      <c r="Z13" s="79" t="str">
        <f t="shared" si="1"/>
        <v>96/32</v>
      </c>
      <c r="AA13" s="79" t="str">
        <f t="shared" si="1"/>
        <v>85/30</v>
      </c>
      <c r="AB13" s="79" t="str">
        <f t="shared" si="1"/>
        <v>89/25</v>
      </c>
      <c r="AC13" s="79" t="str">
        <f t="shared" si="1"/>
        <v>77/22</v>
      </c>
      <c r="AD13" s="79" t="str">
        <f t="shared" si="1"/>
        <v>81/17</v>
      </c>
      <c r="AE13" s="79" t="str">
        <f t="shared" si="1"/>
        <v>68/13</v>
      </c>
      <c r="AF13" s="79" t="str">
        <f t="shared" si="1"/>
        <v>72/8</v>
      </c>
      <c r="AG13" s="79" t="str">
        <f t="shared" si="1"/>
        <v>64/0</v>
      </c>
      <c r="AH13" s="79" t="str">
        <f t="shared" si="1"/>
        <v>55/-9</v>
      </c>
      <c r="AI13" s="79" t="str">
        <f t="shared" si="1"/>
        <v>44/-20</v>
      </c>
      <c r="AJ13" s="79" t="str">
        <f t="shared" si="1"/>
        <v>28/-36</v>
      </c>
      <c r="AK13" s="79" t="e">
        <f t="shared" si="1"/>
        <v>#VALUE!</v>
      </c>
      <c r="AO13" s="135">
        <v>18</v>
      </c>
      <c r="AP13" s="135">
        <v>24</v>
      </c>
      <c r="AQ13">
        <v>-160</v>
      </c>
      <c r="AR13">
        <v>-110</v>
      </c>
      <c r="AS13">
        <v>-65</v>
      </c>
      <c r="AT13">
        <v>-65</v>
      </c>
      <c r="AU13">
        <v>-40</v>
      </c>
      <c r="AV13">
        <v>-40</v>
      </c>
      <c r="AW13" s="141">
        <v>-40</v>
      </c>
      <c r="AX13" s="141">
        <v>-20</v>
      </c>
      <c r="AY13" s="141">
        <v>-20</v>
      </c>
      <c r="AZ13" s="141">
        <v>-20</v>
      </c>
      <c r="BA13" s="141">
        <v>-7</v>
      </c>
      <c r="BB13" s="141">
        <v>-7</v>
      </c>
      <c r="BC13" s="141">
        <v>0</v>
      </c>
      <c r="BD13" s="141">
        <v>0</v>
      </c>
      <c r="BE13" s="141">
        <v>0</v>
      </c>
      <c r="BF13" s="141">
        <v>0</v>
      </c>
      <c r="BG13" s="141">
        <v>0</v>
      </c>
      <c r="BH13" s="141">
        <v>4.5</v>
      </c>
      <c r="BI13" s="141">
        <v>6.5</v>
      </c>
      <c r="BJ13" s="141">
        <v>10</v>
      </c>
      <c r="BK13" s="141">
        <v>11</v>
      </c>
      <c r="BL13" s="79">
        <v>15</v>
      </c>
      <c r="BM13" s="79">
        <v>17</v>
      </c>
      <c r="BN13" s="79">
        <v>21</v>
      </c>
      <c r="BO13" s="79">
        <v>28</v>
      </c>
      <c r="BP13" s="79">
        <v>35</v>
      </c>
      <c r="BQ13" s="79">
        <v>41</v>
      </c>
      <c r="BR13" s="79">
        <v>48</v>
      </c>
      <c r="BS13" s="162" t="s">
        <v>112</v>
      </c>
      <c r="BT13" s="79">
        <v>54</v>
      </c>
      <c r="BU13" s="79">
        <v>67</v>
      </c>
      <c r="BW13" s="135">
        <v>18</v>
      </c>
      <c r="BX13" s="135">
        <v>24</v>
      </c>
      <c r="BY13" s="79">
        <v>244</v>
      </c>
      <c r="BZ13" s="79">
        <v>162</v>
      </c>
      <c r="CA13" s="79">
        <v>194</v>
      </c>
      <c r="CB13" s="79">
        <v>98</v>
      </c>
      <c r="CC13" s="79">
        <v>117</v>
      </c>
      <c r="CD13" s="79">
        <v>149</v>
      </c>
      <c r="CE13" s="79">
        <v>61</v>
      </c>
      <c r="CF13" s="79">
        <v>73</v>
      </c>
      <c r="CG13" s="132">
        <v>92</v>
      </c>
      <c r="CH13" s="132">
        <v>33</v>
      </c>
      <c r="CI13" s="132">
        <v>41</v>
      </c>
      <c r="CJ13" s="132">
        <v>53</v>
      </c>
      <c r="CK13" s="132">
        <v>20</v>
      </c>
      <c r="CL13" s="132">
        <v>28</v>
      </c>
      <c r="CM13" s="132">
        <v>13</v>
      </c>
      <c r="CN13" s="132">
        <v>21</v>
      </c>
      <c r="CO13" s="132">
        <v>33</v>
      </c>
      <c r="CP13" s="132">
        <v>52</v>
      </c>
      <c r="CQ13" s="132">
        <v>84</v>
      </c>
      <c r="CR13" s="132">
        <v>6.5</v>
      </c>
      <c r="CS13" s="132">
        <v>10</v>
      </c>
      <c r="CT13" s="132">
        <v>2</v>
      </c>
      <c r="CU13" s="132">
        <v>6</v>
      </c>
      <c r="CV13" s="132">
        <v>-4</v>
      </c>
      <c r="CW13" s="132">
        <v>0</v>
      </c>
      <c r="CX13" s="132">
        <v>-11</v>
      </c>
      <c r="CY13" s="132">
        <v>-7</v>
      </c>
      <c r="CZ13" s="132">
        <v>-18</v>
      </c>
      <c r="DA13" s="79">
        <v>-14</v>
      </c>
      <c r="DB13" s="79">
        <v>-20</v>
      </c>
      <c r="DC13" s="79">
        <v>-27</v>
      </c>
      <c r="DD13" s="162" t="s">
        <v>161</v>
      </c>
      <c r="DE13" s="79">
        <v>-33</v>
      </c>
      <c r="DF13" s="79">
        <v>-46</v>
      </c>
    </row>
    <row r="14" spans="2:110">
      <c r="B14" s="235"/>
      <c r="C14" s="142" t="s">
        <v>166</v>
      </c>
      <c r="D14" s="79" t="str">
        <f t="shared" si="0"/>
        <v>392/230</v>
      </c>
      <c r="E14" s="79" t="str">
        <f t="shared" si="0"/>
        <v>304/180</v>
      </c>
      <c r="F14" s="79" t="str">
        <f t="shared" si="0"/>
        <v>342/180</v>
      </c>
      <c r="G14" s="79" t="str">
        <f t="shared" si="0"/>
        <v>231/130</v>
      </c>
      <c r="H14" s="79" t="str">
        <f t="shared" si="0"/>
        <v>254/130</v>
      </c>
      <c r="I14" s="79" t="str">
        <f t="shared" si="0"/>
        <v>292/130</v>
      </c>
      <c r="J14" s="79" t="str">
        <f t="shared" si="0"/>
        <v>187/100</v>
      </c>
      <c r="K14" s="79" t="str">
        <f t="shared" si="0"/>
        <v>201/100</v>
      </c>
      <c r="L14" s="79" t="str">
        <f t="shared" si="0"/>
        <v>224/100</v>
      </c>
      <c r="M14" s="79" t="str">
        <f t="shared" si="0"/>
        <v>153/75</v>
      </c>
      <c r="N14" s="79" t="str">
        <f t="shared" si="0"/>
        <v>162/75</v>
      </c>
      <c r="O14" s="79" t="str">
        <f t="shared" si="0"/>
        <v>176/75</v>
      </c>
      <c r="P14" s="79" t="str">
        <f t="shared" si="0"/>
        <v>137/59</v>
      </c>
      <c r="Q14" s="79" t="str">
        <f t="shared" si="0"/>
        <v>146/59</v>
      </c>
      <c r="R14" s="79" t="str">
        <f t="shared" si="0"/>
        <v>128/50</v>
      </c>
      <c r="S14" s="79" t="str">
        <f t="shared" si="0"/>
        <v>137/50</v>
      </c>
      <c r="T14" s="79" t="str">
        <f t="shared" si="1"/>
        <v>151/50</v>
      </c>
      <c r="U14" s="79" t="str">
        <f t="shared" si="1"/>
        <v>174/50</v>
      </c>
      <c r="V14" s="79" t="str">
        <f t="shared" si="1"/>
        <v>212/50</v>
      </c>
      <c r="W14" s="79" t="str">
        <f t="shared" si="1"/>
        <v>120/42</v>
      </c>
      <c r="X14" s="79" t="str">
        <f t="shared" si="1"/>
        <v>124/38</v>
      </c>
      <c r="Y14" s="79" t="str">
        <f t="shared" si="1"/>
        <v>115/37</v>
      </c>
      <c r="Z14" s="79" t="str">
        <f t="shared" si="1"/>
        <v>119/32</v>
      </c>
      <c r="AA14" s="79" t="str">
        <f t="shared" si="1"/>
        <v>108/30</v>
      </c>
      <c r="AB14" s="79" t="str">
        <f t="shared" si="1"/>
        <v>112/25</v>
      </c>
      <c r="AC14" s="79" t="str">
        <f t="shared" si="1"/>
        <v>100/22</v>
      </c>
      <c r="AD14" s="79" t="str">
        <f t="shared" si="1"/>
        <v>104/17</v>
      </c>
      <c r="AE14" s="79" t="str">
        <f t="shared" si="1"/>
        <v>91/13</v>
      </c>
      <c r="AF14" s="79" t="str">
        <f t="shared" si="1"/>
        <v>95/8</v>
      </c>
      <c r="AG14" s="79" t="str">
        <f t="shared" si="1"/>
        <v>87/0</v>
      </c>
      <c r="AH14" s="79" t="str">
        <f t="shared" si="1"/>
        <v>78/-9</v>
      </c>
      <c r="AI14" s="79" t="str">
        <f t="shared" si="1"/>
        <v>67/-20</v>
      </c>
      <c r="AJ14" s="79" t="str">
        <f t="shared" si="1"/>
        <v>51/-36</v>
      </c>
      <c r="AK14" s="79" t="e">
        <f t="shared" si="1"/>
        <v>#VALUE!</v>
      </c>
      <c r="AO14" s="135">
        <v>24</v>
      </c>
      <c r="AP14" s="135">
        <v>30</v>
      </c>
      <c r="AQ14">
        <v>-160</v>
      </c>
      <c r="AR14">
        <v>-110</v>
      </c>
      <c r="AS14">
        <v>-65</v>
      </c>
      <c r="AT14">
        <v>-65</v>
      </c>
      <c r="AU14">
        <v>-40</v>
      </c>
      <c r="AV14">
        <v>-40</v>
      </c>
      <c r="AW14" s="141">
        <v>-40</v>
      </c>
      <c r="AX14" s="141">
        <v>-20</v>
      </c>
      <c r="AY14" s="141">
        <v>-20</v>
      </c>
      <c r="AZ14" s="141">
        <v>-20</v>
      </c>
      <c r="BA14" s="141">
        <v>-7</v>
      </c>
      <c r="BB14" s="141">
        <v>-7</v>
      </c>
      <c r="BC14" s="141">
        <v>0</v>
      </c>
      <c r="BD14" s="141">
        <v>0</v>
      </c>
      <c r="BE14" s="141">
        <v>0</v>
      </c>
      <c r="BF14" s="141">
        <v>0</v>
      </c>
      <c r="BG14" s="141">
        <v>0</v>
      </c>
      <c r="BH14" s="141">
        <v>4.5</v>
      </c>
      <c r="BI14" s="141">
        <v>6.5</v>
      </c>
      <c r="BJ14" s="141">
        <v>10</v>
      </c>
      <c r="BK14" s="141">
        <v>11</v>
      </c>
      <c r="BL14" s="79">
        <v>15</v>
      </c>
      <c r="BM14" s="79">
        <v>17</v>
      </c>
      <c r="BN14" s="79">
        <v>21</v>
      </c>
      <c r="BO14" s="79">
        <v>28</v>
      </c>
      <c r="BP14" s="79">
        <v>35</v>
      </c>
      <c r="BQ14" s="79">
        <v>41</v>
      </c>
      <c r="BR14" s="79">
        <v>48</v>
      </c>
      <c r="BS14" s="79">
        <v>54</v>
      </c>
      <c r="BT14" s="79">
        <v>61</v>
      </c>
      <c r="BU14" s="79">
        <v>77</v>
      </c>
      <c r="BW14" s="135">
        <v>24</v>
      </c>
      <c r="BX14" s="135">
        <v>30</v>
      </c>
      <c r="BY14" s="79">
        <v>244</v>
      </c>
      <c r="BZ14" s="79">
        <v>162</v>
      </c>
      <c r="CA14" s="79">
        <v>194</v>
      </c>
      <c r="CB14" s="79">
        <v>98</v>
      </c>
      <c r="CC14" s="79">
        <v>117</v>
      </c>
      <c r="CD14" s="79">
        <v>149</v>
      </c>
      <c r="CE14" s="79">
        <v>61</v>
      </c>
      <c r="CF14" s="79">
        <v>73</v>
      </c>
      <c r="CG14" s="132">
        <v>92</v>
      </c>
      <c r="CH14" s="132">
        <v>33</v>
      </c>
      <c r="CI14" s="132">
        <v>41</v>
      </c>
      <c r="CJ14" s="132">
        <v>53</v>
      </c>
      <c r="CK14" s="132">
        <v>20</v>
      </c>
      <c r="CL14" s="132">
        <v>28</v>
      </c>
      <c r="CM14" s="132">
        <v>13</v>
      </c>
      <c r="CN14" s="132">
        <v>21</v>
      </c>
      <c r="CO14" s="132">
        <v>33</v>
      </c>
      <c r="CP14" s="132">
        <v>52</v>
      </c>
      <c r="CQ14" s="132">
        <v>84</v>
      </c>
      <c r="CR14" s="132">
        <v>6.5</v>
      </c>
      <c r="CS14" s="132">
        <v>10</v>
      </c>
      <c r="CT14" s="132">
        <v>2</v>
      </c>
      <c r="CU14" s="132">
        <v>6</v>
      </c>
      <c r="CV14" s="132">
        <v>-4</v>
      </c>
      <c r="CW14" s="132">
        <v>0</v>
      </c>
      <c r="CX14" s="132">
        <v>-11</v>
      </c>
      <c r="CY14" s="132">
        <v>-7</v>
      </c>
      <c r="CZ14" s="132">
        <v>-18</v>
      </c>
      <c r="DA14" s="79">
        <v>-14</v>
      </c>
      <c r="DB14" s="79">
        <v>-20</v>
      </c>
      <c r="DC14" s="79">
        <v>-27</v>
      </c>
      <c r="DD14" s="79">
        <v>-33</v>
      </c>
      <c r="DE14" s="79">
        <v>-40</v>
      </c>
      <c r="DF14" s="79">
        <v>-56</v>
      </c>
    </row>
    <row r="15" spans="2:110">
      <c r="B15" s="235"/>
      <c r="C15" s="142" t="s">
        <v>167</v>
      </c>
      <c r="D15" s="79" t="str">
        <f t="shared" si="0"/>
        <v>321/205</v>
      </c>
      <c r="E15" s="79" t="str">
        <f t="shared" si="0"/>
        <v>233/155</v>
      </c>
      <c r="F15" s="79" t="str">
        <f t="shared" si="0"/>
        <v>271/155</v>
      </c>
      <c r="G15" s="79" t="str">
        <f t="shared" si="0"/>
        <v>160/105</v>
      </c>
      <c r="H15" s="79" t="str">
        <f t="shared" si="0"/>
        <v>183/105</v>
      </c>
      <c r="I15" s="79" t="str">
        <f t="shared" si="0"/>
        <v>221/105</v>
      </c>
      <c r="J15" s="79" t="str">
        <f t="shared" si="0"/>
        <v>116/75</v>
      </c>
      <c r="K15" s="79" t="str">
        <f t="shared" si="0"/>
        <v>130/75</v>
      </c>
      <c r="L15" s="79" t="str">
        <f t="shared" si="0"/>
        <v>153/75</v>
      </c>
      <c r="M15" s="79" t="str">
        <f t="shared" si="0"/>
        <v>82/50</v>
      </c>
      <c r="N15" s="79" t="str">
        <f t="shared" si="0"/>
        <v>91/50</v>
      </c>
      <c r="O15" s="79" t="str">
        <f t="shared" si="0"/>
        <v>105/50</v>
      </c>
      <c r="P15" s="79" t="str">
        <f t="shared" si="0"/>
        <v>66/34</v>
      </c>
      <c r="Q15" s="79" t="str">
        <f t="shared" si="0"/>
        <v>75/34</v>
      </c>
      <c r="R15" s="79" t="str">
        <f t="shared" si="0"/>
        <v>57/25</v>
      </c>
      <c r="S15" s="79" t="str">
        <f t="shared" si="0"/>
        <v>66/25</v>
      </c>
      <c r="T15" s="79" t="str">
        <f t="shared" si="1"/>
        <v>80/25</v>
      </c>
      <c r="U15" s="79" t="str">
        <f t="shared" si="1"/>
        <v>103/25</v>
      </c>
      <c r="V15" s="79" t="str">
        <f t="shared" si="1"/>
        <v>141/25</v>
      </c>
      <c r="W15" s="79" t="str">
        <f t="shared" si="1"/>
        <v>49/17</v>
      </c>
      <c r="X15" s="79" t="str">
        <f t="shared" si="1"/>
        <v>53/13</v>
      </c>
      <c r="Y15" s="79" t="str">
        <f t="shared" si="1"/>
        <v>44/12</v>
      </c>
      <c r="Z15" s="79" t="str">
        <f t="shared" si="1"/>
        <v>48/7</v>
      </c>
      <c r="AA15" s="79" t="str">
        <f t="shared" si="1"/>
        <v>37/5</v>
      </c>
      <c r="AB15" s="79" t="str">
        <f t="shared" si="1"/>
        <v>41/0</v>
      </c>
      <c r="AC15" s="79" t="str">
        <f t="shared" si="1"/>
        <v>29/-3</v>
      </c>
      <c r="AD15" s="79" t="str">
        <f t="shared" si="1"/>
        <v>33/-8</v>
      </c>
      <c r="AE15" s="79" t="str">
        <f t="shared" si="1"/>
        <v>20/-12</v>
      </c>
      <c r="AF15" s="79" t="str">
        <f t="shared" si="1"/>
        <v>24/-17</v>
      </c>
      <c r="AG15" s="79" t="str">
        <f t="shared" si="1"/>
        <v>16/-25</v>
      </c>
      <c r="AH15" s="79" t="str">
        <f t="shared" si="1"/>
        <v>7/-34</v>
      </c>
      <c r="AI15" s="79" t="str">
        <f t="shared" si="1"/>
        <v>-4/-45</v>
      </c>
      <c r="AJ15" s="79" t="str">
        <f t="shared" si="1"/>
        <v>-20/-61</v>
      </c>
      <c r="AK15" s="79" t="e">
        <f t="shared" si="1"/>
        <v>#VALUE!</v>
      </c>
      <c r="AO15" s="135">
        <v>30</v>
      </c>
      <c r="AP15" s="135">
        <v>40</v>
      </c>
      <c r="AQ15">
        <v>-170</v>
      </c>
      <c r="AR15">
        <v>-120</v>
      </c>
      <c r="AS15">
        <v>-80</v>
      </c>
      <c r="AT15">
        <v>-80</v>
      </c>
      <c r="AU15">
        <v>-50</v>
      </c>
      <c r="AV15">
        <v>-50</v>
      </c>
      <c r="AW15" s="141">
        <v>-50</v>
      </c>
      <c r="AX15" s="141">
        <v>-25</v>
      </c>
      <c r="AY15" s="141">
        <v>-25</v>
      </c>
      <c r="AZ15" s="141">
        <v>-25</v>
      </c>
      <c r="BA15" s="141">
        <v>-9</v>
      </c>
      <c r="BB15" s="141">
        <v>-9</v>
      </c>
      <c r="BC15" s="141">
        <v>0</v>
      </c>
      <c r="BD15" s="141">
        <v>0</v>
      </c>
      <c r="BE15" s="141">
        <v>0</v>
      </c>
      <c r="BF15" s="141">
        <v>0</v>
      </c>
      <c r="BG15" s="141">
        <v>0</v>
      </c>
      <c r="BH15" s="141">
        <v>5.5</v>
      </c>
      <c r="BI15" s="141">
        <v>8</v>
      </c>
      <c r="BJ15" s="141">
        <v>12</v>
      </c>
      <c r="BK15" s="141">
        <v>13</v>
      </c>
      <c r="BL15" s="79">
        <v>18</v>
      </c>
      <c r="BM15" s="79">
        <v>20</v>
      </c>
      <c r="BN15" s="79">
        <v>25</v>
      </c>
      <c r="BO15" s="79">
        <v>33</v>
      </c>
      <c r="BP15" s="79">
        <v>42</v>
      </c>
      <c r="BQ15" s="79">
        <v>50</v>
      </c>
      <c r="BR15" s="79">
        <v>59</v>
      </c>
      <c r="BS15" s="79">
        <v>64</v>
      </c>
      <c r="BT15" s="79">
        <v>76</v>
      </c>
      <c r="BU15" s="162" t="s">
        <v>112</v>
      </c>
      <c r="BW15" s="135">
        <v>30</v>
      </c>
      <c r="BX15" s="135">
        <v>40</v>
      </c>
      <c r="BY15" s="79">
        <v>270</v>
      </c>
      <c r="BZ15" s="79">
        <v>182</v>
      </c>
      <c r="CA15" s="79">
        <v>220</v>
      </c>
      <c r="CB15" s="79">
        <v>119</v>
      </c>
      <c r="CC15" s="79">
        <v>142</v>
      </c>
      <c r="CD15" s="79">
        <v>180</v>
      </c>
      <c r="CE15" s="79">
        <v>75</v>
      </c>
      <c r="CF15" s="79">
        <v>89</v>
      </c>
      <c r="CG15" s="132">
        <v>112</v>
      </c>
      <c r="CH15" s="132">
        <v>41</v>
      </c>
      <c r="CI15" s="132">
        <v>50</v>
      </c>
      <c r="CJ15" s="132">
        <v>64</v>
      </c>
      <c r="CK15" s="132">
        <v>25</v>
      </c>
      <c r="CL15" s="132">
        <v>34</v>
      </c>
      <c r="CM15" s="132">
        <v>16</v>
      </c>
      <c r="CN15" s="132">
        <v>25</v>
      </c>
      <c r="CO15" s="132">
        <v>39</v>
      </c>
      <c r="CP15" s="132">
        <v>62</v>
      </c>
      <c r="CQ15" s="132">
        <v>100</v>
      </c>
      <c r="CR15" s="132">
        <v>8</v>
      </c>
      <c r="CS15" s="132">
        <v>12</v>
      </c>
      <c r="CT15" s="132">
        <v>3</v>
      </c>
      <c r="CU15" s="132">
        <v>7</v>
      </c>
      <c r="CV15" s="132">
        <v>-4</v>
      </c>
      <c r="CW15" s="132">
        <v>0</v>
      </c>
      <c r="CX15" s="132">
        <v>-12</v>
      </c>
      <c r="CY15" s="132">
        <v>-8</v>
      </c>
      <c r="CZ15" s="132">
        <v>-21</v>
      </c>
      <c r="DA15" s="79">
        <v>-17</v>
      </c>
      <c r="DB15" s="79">
        <v>-25</v>
      </c>
      <c r="DC15" s="79">
        <v>-34</v>
      </c>
      <c r="DD15" s="79">
        <v>-39</v>
      </c>
      <c r="DE15" s="79">
        <v>-51</v>
      </c>
      <c r="DF15" s="161" t="s">
        <v>161</v>
      </c>
    </row>
    <row r="16" spans="2:110">
      <c r="B16" s="235"/>
      <c r="C16" s="142" t="s">
        <v>168</v>
      </c>
      <c r="D16" s="79" t="str">
        <f t="shared" si="0"/>
        <v>330/205</v>
      </c>
      <c r="E16" s="79" t="str">
        <f t="shared" si="0"/>
        <v>242/155</v>
      </c>
      <c r="F16" s="79" t="str">
        <f t="shared" si="0"/>
        <v>280/155</v>
      </c>
      <c r="G16" s="79" t="str">
        <f t="shared" si="0"/>
        <v>169/105</v>
      </c>
      <c r="H16" s="79" t="str">
        <f t="shared" si="0"/>
        <v>192/105</v>
      </c>
      <c r="I16" s="79" t="str">
        <f t="shared" si="0"/>
        <v>230/105</v>
      </c>
      <c r="J16" s="79" t="str">
        <f t="shared" si="0"/>
        <v>125/75</v>
      </c>
      <c r="K16" s="79" t="str">
        <f t="shared" si="0"/>
        <v>139/75</v>
      </c>
      <c r="L16" s="79" t="str">
        <f t="shared" si="0"/>
        <v>162/75</v>
      </c>
      <c r="M16" s="79" t="str">
        <f t="shared" si="0"/>
        <v>91/50</v>
      </c>
      <c r="N16" s="79" t="str">
        <f t="shared" si="0"/>
        <v>100/50</v>
      </c>
      <c r="O16" s="79" t="str">
        <f t="shared" si="0"/>
        <v>114/50</v>
      </c>
      <c r="P16" s="79" t="str">
        <f t="shared" si="0"/>
        <v>75/34</v>
      </c>
      <c r="Q16" s="79" t="str">
        <f t="shared" si="0"/>
        <v>84/34</v>
      </c>
      <c r="R16" s="79" t="str">
        <f t="shared" si="0"/>
        <v>66/25</v>
      </c>
      <c r="S16" s="79" t="str">
        <f t="shared" si="0"/>
        <v>75/25</v>
      </c>
      <c r="T16" s="79" t="str">
        <f t="shared" si="1"/>
        <v>89/25</v>
      </c>
      <c r="U16" s="79" t="str">
        <f t="shared" si="1"/>
        <v>112/25</v>
      </c>
      <c r="V16" s="79" t="str">
        <f t="shared" si="1"/>
        <v>150/25</v>
      </c>
      <c r="W16" s="79" t="str">
        <f t="shared" si="1"/>
        <v>58/17</v>
      </c>
      <c r="X16" s="79" t="str">
        <f t="shared" si="1"/>
        <v>62/13</v>
      </c>
      <c r="Y16" s="79" t="str">
        <f t="shared" si="1"/>
        <v>53/12</v>
      </c>
      <c r="Z16" s="79" t="str">
        <f t="shared" si="1"/>
        <v>57/7</v>
      </c>
      <c r="AA16" s="79" t="str">
        <f t="shared" si="1"/>
        <v>46/5</v>
      </c>
      <c r="AB16" s="79" t="str">
        <f t="shared" si="1"/>
        <v>50/0</v>
      </c>
      <c r="AC16" s="79" t="str">
        <f t="shared" si="1"/>
        <v>38/-3</v>
      </c>
      <c r="AD16" s="79" t="str">
        <f t="shared" si="1"/>
        <v>42/-8</v>
      </c>
      <c r="AE16" s="79" t="str">
        <f t="shared" si="1"/>
        <v>29/-12</v>
      </c>
      <c r="AF16" s="79" t="str">
        <f t="shared" si="1"/>
        <v>33/-17</v>
      </c>
      <c r="AG16" s="79" t="str">
        <f t="shared" si="1"/>
        <v>25/-25</v>
      </c>
      <c r="AH16" s="79" t="str">
        <f t="shared" si="1"/>
        <v>16/-34</v>
      </c>
      <c r="AI16" s="79" t="str">
        <f t="shared" si="1"/>
        <v>5/-45</v>
      </c>
      <c r="AJ16" s="79" t="str">
        <f t="shared" si="1"/>
        <v>-11/-61</v>
      </c>
      <c r="AK16" s="79" t="e">
        <f t="shared" si="1"/>
        <v>#VALUE!</v>
      </c>
      <c r="AO16" s="135">
        <v>40</v>
      </c>
      <c r="AP16" s="135">
        <v>50</v>
      </c>
      <c r="AQ16">
        <v>-180</v>
      </c>
      <c r="AR16">
        <v>-130</v>
      </c>
      <c r="AS16">
        <v>-80</v>
      </c>
      <c r="AT16">
        <v>-80</v>
      </c>
      <c r="AU16">
        <v>-50</v>
      </c>
      <c r="AV16">
        <v>-50</v>
      </c>
      <c r="AW16" s="141">
        <v>-50</v>
      </c>
      <c r="AX16" s="141">
        <v>-25</v>
      </c>
      <c r="AY16" s="141">
        <v>-25</v>
      </c>
      <c r="AZ16" s="141">
        <v>-25</v>
      </c>
      <c r="BA16" s="141">
        <v>-9</v>
      </c>
      <c r="BB16" s="141">
        <v>-9</v>
      </c>
      <c r="BC16" s="141">
        <v>0</v>
      </c>
      <c r="BD16" s="141">
        <v>0</v>
      </c>
      <c r="BE16" s="141">
        <v>0</v>
      </c>
      <c r="BF16" s="141">
        <v>0</v>
      </c>
      <c r="BG16" s="141">
        <v>0</v>
      </c>
      <c r="BH16" s="141">
        <v>5.5</v>
      </c>
      <c r="BI16" s="141">
        <v>8</v>
      </c>
      <c r="BJ16" s="141">
        <v>12</v>
      </c>
      <c r="BK16" s="141">
        <v>13</v>
      </c>
      <c r="BL16" s="79">
        <v>18</v>
      </c>
      <c r="BM16" s="79">
        <v>20</v>
      </c>
      <c r="BN16" s="79">
        <v>25</v>
      </c>
      <c r="BO16" s="79">
        <v>33</v>
      </c>
      <c r="BP16" s="79">
        <v>42</v>
      </c>
      <c r="BQ16" s="79">
        <v>50</v>
      </c>
      <c r="BR16" s="79">
        <v>59</v>
      </c>
      <c r="BS16" s="79">
        <v>70</v>
      </c>
      <c r="BT16" s="79">
        <v>86</v>
      </c>
      <c r="BU16" s="162" t="s">
        <v>112</v>
      </c>
      <c r="BW16" s="135">
        <v>40</v>
      </c>
      <c r="BX16" s="135">
        <v>50</v>
      </c>
      <c r="BY16" s="79">
        <v>280</v>
      </c>
      <c r="BZ16" s="79">
        <v>192</v>
      </c>
      <c r="CA16" s="79">
        <v>230</v>
      </c>
      <c r="CB16" s="79">
        <v>119</v>
      </c>
      <c r="CC16" s="79">
        <v>142</v>
      </c>
      <c r="CD16" s="79">
        <v>180</v>
      </c>
      <c r="CE16" s="79">
        <v>75</v>
      </c>
      <c r="CF16" s="79">
        <v>89</v>
      </c>
      <c r="CG16" s="132">
        <v>112</v>
      </c>
      <c r="CH16" s="132">
        <v>41</v>
      </c>
      <c r="CI16" s="132">
        <v>50</v>
      </c>
      <c r="CJ16" s="132">
        <v>64</v>
      </c>
      <c r="CK16" s="132">
        <v>25</v>
      </c>
      <c r="CL16" s="132">
        <v>34</v>
      </c>
      <c r="CM16" s="132">
        <v>16</v>
      </c>
      <c r="CN16" s="132">
        <v>25</v>
      </c>
      <c r="CO16" s="132">
        <v>39</v>
      </c>
      <c r="CP16" s="132">
        <v>62</v>
      </c>
      <c r="CQ16" s="132">
        <v>100</v>
      </c>
      <c r="CR16" s="132">
        <v>8</v>
      </c>
      <c r="CS16" s="132">
        <v>12</v>
      </c>
      <c r="CT16" s="132">
        <v>3</v>
      </c>
      <c r="CU16" s="132">
        <v>7</v>
      </c>
      <c r="CV16" s="132">
        <v>-4</v>
      </c>
      <c r="CW16" s="132">
        <v>0</v>
      </c>
      <c r="CX16" s="132">
        <v>-12</v>
      </c>
      <c r="CY16" s="132">
        <v>-8</v>
      </c>
      <c r="CZ16" s="132">
        <v>-21</v>
      </c>
      <c r="DA16" s="79">
        <v>-17</v>
      </c>
      <c r="DB16" s="79">
        <v>-25</v>
      </c>
      <c r="DC16" s="79">
        <v>-34</v>
      </c>
      <c r="DD16" s="79">
        <v>-45</v>
      </c>
      <c r="DE16" s="79">
        <v>-61</v>
      </c>
      <c r="DF16" s="161" t="s">
        <v>161</v>
      </c>
    </row>
    <row r="17" spans="2:110">
      <c r="B17" s="235"/>
      <c r="C17" s="142" t="s">
        <v>169</v>
      </c>
      <c r="D17" s="79" t="str">
        <f t="shared" si="0"/>
        <v>344/205</v>
      </c>
      <c r="E17" s="79" t="str">
        <f t="shared" si="0"/>
        <v>256/155</v>
      </c>
      <c r="F17" s="79" t="str">
        <f t="shared" si="0"/>
        <v>294/155</v>
      </c>
      <c r="G17" s="79" t="str">
        <f t="shared" si="0"/>
        <v>183/105</v>
      </c>
      <c r="H17" s="79" t="str">
        <f t="shared" si="0"/>
        <v>206/105</v>
      </c>
      <c r="I17" s="79" t="str">
        <f t="shared" si="0"/>
        <v>244/105</v>
      </c>
      <c r="J17" s="79" t="str">
        <f t="shared" si="0"/>
        <v>139/75</v>
      </c>
      <c r="K17" s="79" t="str">
        <f t="shared" si="0"/>
        <v>153/75</v>
      </c>
      <c r="L17" s="79" t="str">
        <f t="shared" si="0"/>
        <v>176/75</v>
      </c>
      <c r="M17" s="79" t="str">
        <f t="shared" si="0"/>
        <v>105/50</v>
      </c>
      <c r="N17" s="79" t="str">
        <f t="shared" si="0"/>
        <v>114/50</v>
      </c>
      <c r="O17" s="79" t="str">
        <f t="shared" si="0"/>
        <v>128/50</v>
      </c>
      <c r="P17" s="79" t="str">
        <f t="shared" si="0"/>
        <v>89/34</v>
      </c>
      <c r="Q17" s="79" t="str">
        <f t="shared" si="0"/>
        <v>98/34</v>
      </c>
      <c r="R17" s="79" t="str">
        <f t="shared" si="0"/>
        <v>80/25</v>
      </c>
      <c r="S17" s="79" t="str">
        <f t="shared" si="0"/>
        <v>89/25</v>
      </c>
      <c r="T17" s="79" t="str">
        <f t="shared" si="1"/>
        <v>103/25</v>
      </c>
      <c r="U17" s="79" t="str">
        <f t="shared" si="1"/>
        <v>126/25</v>
      </c>
      <c r="V17" s="79" t="str">
        <f t="shared" si="1"/>
        <v>164/25</v>
      </c>
      <c r="W17" s="79" t="str">
        <f t="shared" si="1"/>
        <v>72/17</v>
      </c>
      <c r="X17" s="79" t="str">
        <f t="shared" si="1"/>
        <v>76/13</v>
      </c>
      <c r="Y17" s="79" t="str">
        <f t="shared" si="1"/>
        <v>67/12</v>
      </c>
      <c r="Z17" s="79" t="str">
        <f t="shared" si="1"/>
        <v>71/7</v>
      </c>
      <c r="AA17" s="79" t="str">
        <f t="shared" si="1"/>
        <v>60/5</v>
      </c>
      <c r="AB17" s="79" t="str">
        <f t="shared" si="1"/>
        <v>64/0</v>
      </c>
      <c r="AC17" s="79" t="str">
        <f t="shared" si="1"/>
        <v>52/-3</v>
      </c>
      <c r="AD17" s="79" t="str">
        <f t="shared" si="1"/>
        <v>56/-8</v>
      </c>
      <c r="AE17" s="79" t="str">
        <f t="shared" si="1"/>
        <v>43/-12</v>
      </c>
      <c r="AF17" s="79" t="str">
        <f t="shared" si="1"/>
        <v>47/-17</v>
      </c>
      <c r="AG17" s="79" t="str">
        <f t="shared" si="1"/>
        <v>39/-25</v>
      </c>
      <c r="AH17" s="79" t="str">
        <f t="shared" si="1"/>
        <v>30/-34</v>
      </c>
      <c r="AI17" s="79" t="str">
        <f t="shared" si="1"/>
        <v>19/-45</v>
      </c>
      <c r="AJ17" s="79" t="str">
        <f t="shared" si="1"/>
        <v>3/-61</v>
      </c>
      <c r="AK17" s="79" t="e">
        <f t="shared" si="1"/>
        <v>#VALUE!</v>
      </c>
      <c r="AL17" s="159"/>
      <c r="AM17" s="159"/>
      <c r="AO17" s="135">
        <v>50</v>
      </c>
      <c r="AP17" s="135">
        <v>65</v>
      </c>
      <c r="AQ17">
        <v>-190</v>
      </c>
      <c r="AR17">
        <v>-140</v>
      </c>
      <c r="AS17">
        <v>-100</v>
      </c>
      <c r="AT17">
        <v>-100</v>
      </c>
      <c r="AU17">
        <v>-60</v>
      </c>
      <c r="AV17">
        <v>-60</v>
      </c>
      <c r="AW17" s="141">
        <v>-60</v>
      </c>
      <c r="AX17" s="141">
        <v>-30</v>
      </c>
      <c r="AY17" s="141">
        <v>-30</v>
      </c>
      <c r="AZ17" s="141">
        <v>-30</v>
      </c>
      <c r="BA17" s="141">
        <v>-10</v>
      </c>
      <c r="BB17" s="141">
        <v>-10</v>
      </c>
      <c r="BC17" s="141">
        <v>0</v>
      </c>
      <c r="BD17" s="141">
        <v>0</v>
      </c>
      <c r="BE17" s="141">
        <v>0</v>
      </c>
      <c r="BF17" s="141">
        <v>0</v>
      </c>
      <c r="BG17" s="141">
        <v>0</v>
      </c>
      <c r="BH17" s="141">
        <v>6.5</v>
      </c>
      <c r="BI17" s="141">
        <v>9.5</v>
      </c>
      <c r="BJ17" s="141">
        <v>15</v>
      </c>
      <c r="BK17" s="141">
        <v>15</v>
      </c>
      <c r="BL17" s="79">
        <v>21</v>
      </c>
      <c r="BM17" s="79">
        <v>24</v>
      </c>
      <c r="BN17" s="79">
        <v>30</v>
      </c>
      <c r="BO17" s="79">
        <v>39</v>
      </c>
      <c r="BP17" s="79">
        <v>51</v>
      </c>
      <c r="BQ17" s="79">
        <v>60</v>
      </c>
      <c r="BR17" s="79">
        <v>72</v>
      </c>
      <c r="BS17" s="79">
        <v>85</v>
      </c>
      <c r="BT17" s="79">
        <v>106</v>
      </c>
      <c r="BU17" s="162" t="s">
        <v>112</v>
      </c>
      <c r="BW17" s="135">
        <v>50</v>
      </c>
      <c r="BX17" s="135">
        <v>65</v>
      </c>
      <c r="BY17" s="79">
        <v>310</v>
      </c>
      <c r="BZ17" s="79">
        <v>214</v>
      </c>
      <c r="CA17" s="79">
        <v>260</v>
      </c>
      <c r="CB17" s="79">
        <v>146</v>
      </c>
      <c r="CC17" s="79">
        <v>174</v>
      </c>
      <c r="CD17" s="79">
        <v>220</v>
      </c>
      <c r="CE17" s="79">
        <v>90</v>
      </c>
      <c r="CF17" s="79">
        <v>106</v>
      </c>
      <c r="CG17" s="132">
        <v>134</v>
      </c>
      <c r="CH17" s="132">
        <v>49</v>
      </c>
      <c r="CI17" s="132">
        <v>60</v>
      </c>
      <c r="CJ17" s="132">
        <v>76</v>
      </c>
      <c r="CK17" s="132">
        <v>29</v>
      </c>
      <c r="CL17" s="132">
        <v>40</v>
      </c>
      <c r="CM17" s="132">
        <v>19</v>
      </c>
      <c r="CN17" s="132">
        <v>30</v>
      </c>
      <c r="CO17" s="132">
        <v>46</v>
      </c>
      <c r="CP17" s="132">
        <v>74</v>
      </c>
      <c r="CQ17" s="132">
        <v>120</v>
      </c>
      <c r="CR17" s="132">
        <v>9.5</v>
      </c>
      <c r="CS17" s="132">
        <v>15</v>
      </c>
      <c r="CT17" s="132">
        <v>4</v>
      </c>
      <c r="CU17" s="132">
        <v>9</v>
      </c>
      <c r="CV17" s="132">
        <v>-5</v>
      </c>
      <c r="CW17" s="132">
        <v>0</v>
      </c>
      <c r="CX17" s="132">
        <v>-14</v>
      </c>
      <c r="CY17" s="132">
        <v>-9</v>
      </c>
      <c r="CZ17" s="132">
        <v>-26</v>
      </c>
      <c r="DA17" s="79">
        <v>-21</v>
      </c>
      <c r="DB17" s="79">
        <v>-30</v>
      </c>
      <c r="DC17" s="79">
        <v>-42</v>
      </c>
      <c r="DD17" s="79">
        <v>-55</v>
      </c>
      <c r="DE17" s="79">
        <v>-76</v>
      </c>
      <c r="DF17" s="161" t="s">
        <v>161</v>
      </c>
    </row>
    <row r="18" spans="2:110">
      <c r="B18" s="235"/>
      <c r="C18" s="142" t="s">
        <v>170</v>
      </c>
      <c r="D18" s="79" t="str">
        <f t="shared" si="0"/>
        <v>300/189</v>
      </c>
      <c r="E18" s="79" t="str">
        <f t="shared" si="0"/>
        <v>212/139</v>
      </c>
      <c r="F18" s="79" t="str">
        <f t="shared" si="0"/>
        <v>250/139</v>
      </c>
      <c r="G18" s="79" t="str">
        <f t="shared" si="0"/>
        <v>139/89</v>
      </c>
      <c r="H18" s="79" t="str">
        <f t="shared" si="0"/>
        <v>162/89</v>
      </c>
      <c r="I18" s="79" t="str">
        <f t="shared" si="0"/>
        <v>200/89</v>
      </c>
      <c r="J18" s="79" t="str">
        <f t="shared" si="0"/>
        <v>95/59</v>
      </c>
      <c r="K18" s="79" t="str">
        <f t="shared" si="0"/>
        <v>109/59</v>
      </c>
      <c r="L18" s="79" t="str">
        <f t="shared" si="0"/>
        <v>132/59</v>
      </c>
      <c r="M18" s="79" t="str">
        <f t="shared" si="0"/>
        <v>61/34</v>
      </c>
      <c r="N18" s="79" t="str">
        <f t="shared" si="0"/>
        <v>70/34</v>
      </c>
      <c r="O18" s="79" t="str">
        <f t="shared" si="0"/>
        <v>84/34</v>
      </c>
      <c r="P18" s="79" t="str">
        <f t="shared" si="0"/>
        <v>45/18</v>
      </c>
      <c r="Q18" s="79" t="str">
        <f t="shared" si="0"/>
        <v>54/18</v>
      </c>
      <c r="R18" s="79" t="str">
        <f t="shared" si="0"/>
        <v>36/9</v>
      </c>
      <c r="S18" s="79" t="str">
        <f t="shared" si="0"/>
        <v>45/9</v>
      </c>
      <c r="T18" s="79" t="str">
        <f t="shared" si="1"/>
        <v>59/9</v>
      </c>
      <c r="U18" s="79" t="str">
        <f t="shared" si="1"/>
        <v>82/9</v>
      </c>
      <c r="V18" s="79" t="str">
        <f t="shared" si="1"/>
        <v>120/9</v>
      </c>
      <c r="W18" s="79" t="str">
        <f t="shared" si="1"/>
        <v>28/1</v>
      </c>
      <c r="X18" s="79" t="str">
        <f t="shared" si="1"/>
        <v>32/-3</v>
      </c>
      <c r="Y18" s="79" t="str">
        <f t="shared" si="1"/>
        <v>23/-4</v>
      </c>
      <c r="Z18" s="79" t="str">
        <f t="shared" si="1"/>
        <v>27/-9</v>
      </c>
      <c r="AA18" s="79" t="str">
        <f t="shared" si="1"/>
        <v>16/-11</v>
      </c>
      <c r="AB18" s="79" t="str">
        <f t="shared" si="1"/>
        <v>20/-16</v>
      </c>
      <c r="AC18" s="79" t="str">
        <f t="shared" si="1"/>
        <v>8/-19</v>
      </c>
      <c r="AD18" s="79" t="str">
        <f t="shared" si="1"/>
        <v>12/-24</v>
      </c>
      <c r="AE18" s="79" t="str">
        <f t="shared" si="1"/>
        <v>-1/-28</v>
      </c>
      <c r="AF18" s="79" t="str">
        <f t="shared" si="1"/>
        <v>3/-33</v>
      </c>
      <c r="AG18" s="79" t="str">
        <f t="shared" si="1"/>
        <v>-5/-41</v>
      </c>
      <c r="AH18" s="79" t="str">
        <f t="shared" si="1"/>
        <v>-14/-50</v>
      </c>
      <c r="AI18" s="79" t="str">
        <f t="shared" si="1"/>
        <v>-25/-61</v>
      </c>
      <c r="AJ18" s="79" t="str">
        <f t="shared" si="1"/>
        <v>-41/-77</v>
      </c>
      <c r="AK18" s="79" t="e">
        <f t="shared" si="1"/>
        <v>#VALUE!</v>
      </c>
      <c r="AL18" s="159"/>
      <c r="AM18" s="159"/>
      <c r="AO18" s="135">
        <v>65</v>
      </c>
      <c r="AP18" s="135">
        <v>80</v>
      </c>
      <c r="AQ18">
        <v>-200</v>
      </c>
      <c r="AR18">
        <v>-150</v>
      </c>
      <c r="AS18">
        <v>-100</v>
      </c>
      <c r="AT18">
        <v>-100</v>
      </c>
      <c r="AU18">
        <v>-60</v>
      </c>
      <c r="AV18">
        <v>-60</v>
      </c>
      <c r="AW18" s="141">
        <v>-60</v>
      </c>
      <c r="AX18" s="141">
        <v>-30</v>
      </c>
      <c r="AY18" s="141">
        <v>-30</v>
      </c>
      <c r="AZ18" s="141">
        <v>-30</v>
      </c>
      <c r="BA18" s="141">
        <v>-10</v>
      </c>
      <c r="BB18" s="141">
        <v>-10</v>
      </c>
      <c r="BC18" s="141">
        <v>0</v>
      </c>
      <c r="BD18" s="141">
        <v>0</v>
      </c>
      <c r="BE18" s="141">
        <v>0</v>
      </c>
      <c r="BF18" s="141">
        <v>0</v>
      </c>
      <c r="BG18" s="141">
        <v>0</v>
      </c>
      <c r="BH18" s="141">
        <v>6.5</v>
      </c>
      <c r="BI18" s="141">
        <v>9.5</v>
      </c>
      <c r="BJ18" s="141">
        <v>15</v>
      </c>
      <c r="BK18" s="141">
        <v>15</v>
      </c>
      <c r="BL18" s="79">
        <v>21</v>
      </c>
      <c r="BM18" s="79">
        <v>24</v>
      </c>
      <c r="BN18" s="79">
        <v>30</v>
      </c>
      <c r="BO18" s="79">
        <v>39</v>
      </c>
      <c r="BP18" s="79">
        <v>51</v>
      </c>
      <c r="BQ18" s="79">
        <v>62</v>
      </c>
      <c r="BR18" s="79">
        <v>78</v>
      </c>
      <c r="BS18" s="79">
        <v>94</v>
      </c>
      <c r="BT18" s="79">
        <v>121</v>
      </c>
      <c r="BU18" s="162" t="s">
        <v>112</v>
      </c>
      <c r="BW18" s="135">
        <v>65</v>
      </c>
      <c r="BX18" s="135">
        <v>80</v>
      </c>
      <c r="BY18" s="79">
        <v>320</v>
      </c>
      <c r="BZ18" s="79">
        <v>224</v>
      </c>
      <c r="CA18" s="79">
        <v>270</v>
      </c>
      <c r="CB18" s="79">
        <v>146</v>
      </c>
      <c r="CC18" s="79">
        <v>174</v>
      </c>
      <c r="CD18" s="79">
        <v>220</v>
      </c>
      <c r="CE18" s="79">
        <v>90</v>
      </c>
      <c r="CF18" s="79">
        <v>106</v>
      </c>
      <c r="CG18" s="132">
        <v>134</v>
      </c>
      <c r="CH18" s="132">
        <v>49</v>
      </c>
      <c r="CI18" s="132">
        <v>60</v>
      </c>
      <c r="CJ18" s="132">
        <v>76</v>
      </c>
      <c r="CK18" s="132">
        <v>29</v>
      </c>
      <c r="CL18" s="132">
        <v>40</v>
      </c>
      <c r="CM18" s="132">
        <v>19</v>
      </c>
      <c r="CN18" s="132">
        <v>30</v>
      </c>
      <c r="CO18" s="132">
        <v>46</v>
      </c>
      <c r="CP18" s="132">
        <v>74</v>
      </c>
      <c r="CQ18" s="132">
        <v>120</v>
      </c>
      <c r="CR18" s="132">
        <v>9.5</v>
      </c>
      <c r="CS18" s="132">
        <v>15</v>
      </c>
      <c r="CT18" s="132">
        <v>4</v>
      </c>
      <c r="CU18" s="132">
        <v>9</v>
      </c>
      <c r="CV18" s="132">
        <v>-5</v>
      </c>
      <c r="CW18" s="132">
        <v>0</v>
      </c>
      <c r="CX18" s="132">
        <v>-14</v>
      </c>
      <c r="CY18" s="132">
        <v>-9</v>
      </c>
      <c r="CZ18" s="132">
        <v>-26</v>
      </c>
      <c r="DA18" s="79">
        <v>-21</v>
      </c>
      <c r="DB18" s="79">
        <v>-32</v>
      </c>
      <c r="DC18" s="79">
        <v>-48</v>
      </c>
      <c r="DD18" s="79">
        <v>-64</v>
      </c>
      <c r="DE18" s="79">
        <v>-91</v>
      </c>
      <c r="DF18" s="161" t="s">
        <v>161</v>
      </c>
    </row>
    <row r="19" spans="2:110">
      <c r="B19" s="235"/>
      <c r="C19" s="142" t="s">
        <v>171</v>
      </c>
      <c r="D19" s="79" t="str">
        <f t="shared" si="0"/>
        <v>305/189</v>
      </c>
      <c r="E19" s="79" t="str">
        <f t="shared" si="0"/>
        <v>217/139</v>
      </c>
      <c r="F19" s="79" t="str">
        <f t="shared" si="0"/>
        <v>255/139</v>
      </c>
      <c r="G19" s="79" t="str">
        <f t="shared" si="0"/>
        <v>144/89</v>
      </c>
      <c r="H19" s="79" t="str">
        <f t="shared" si="0"/>
        <v>167/89</v>
      </c>
      <c r="I19" s="79" t="str">
        <f t="shared" si="0"/>
        <v>205/89</v>
      </c>
      <c r="J19" s="79" t="str">
        <f t="shared" si="0"/>
        <v>100/59</v>
      </c>
      <c r="K19" s="79" t="str">
        <f t="shared" si="0"/>
        <v>114/59</v>
      </c>
      <c r="L19" s="79" t="str">
        <f t="shared" si="0"/>
        <v>137/59</v>
      </c>
      <c r="M19" s="79" t="str">
        <f t="shared" si="0"/>
        <v>66/34</v>
      </c>
      <c r="N19" s="79" t="str">
        <f t="shared" si="0"/>
        <v>75/34</v>
      </c>
      <c r="O19" s="79" t="str">
        <f t="shared" si="0"/>
        <v>89/34</v>
      </c>
      <c r="P19" s="79" t="str">
        <f t="shared" si="0"/>
        <v>50/18</v>
      </c>
      <c r="Q19" s="79" t="str">
        <f t="shared" si="0"/>
        <v>59/18</v>
      </c>
      <c r="R19" s="79" t="str">
        <f t="shared" si="0"/>
        <v>41/9</v>
      </c>
      <c r="S19" s="79" t="str">
        <f t="shared" si="0"/>
        <v>50/9</v>
      </c>
      <c r="T19" s="79" t="str">
        <f t="shared" si="1"/>
        <v>64/9</v>
      </c>
      <c r="U19" s="79" t="str">
        <f t="shared" si="1"/>
        <v>87/9</v>
      </c>
      <c r="V19" s="79" t="str">
        <f t="shared" si="1"/>
        <v>125/9</v>
      </c>
      <c r="W19" s="79" t="str">
        <f t="shared" si="1"/>
        <v>33/1</v>
      </c>
      <c r="X19" s="79" t="str">
        <f t="shared" si="1"/>
        <v>37/-3</v>
      </c>
      <c r="Y19" s="79" t="str">
        <f t="shared" si="1"/>
        <v>28/-4</v>
      </c>
      <c r="Z19" s="79" t="str">
        <f t="shared" si="1"/>
        <v>32/-9</v>
      </c>
      <c r="AA19" s="79" t="str">
        <f t="shared" si="1"/>
        <v>21/-11</v>
      </c>
      <c r="AB19" s="79" t="str">
        <f t="shared" si="1"/>
        <v>25/-16</v>
      </c>
      <c r="AC19" s="79" t="str">
        <f t="shared" si="1"/>
        <v>13/-19</v>
      </c>
      <c r="AD19" s="79" t="str">
        <f t="shared" si="1"/>
        <v>17/-24</v>
      </c>
      <c r="AE19" s="79" t="str">
        <f t="shared" si="1"/>
        <v>4/-28</v>
      </c>
      <c r="AF19" s="79" t="str">
        <f t="shared" si="1"/>
        <v>8/-33</v>
      </c>
      <c r="AG19" s="79" t="str">
        <f t="shared" si="1"/>
        <v>0/-41</v>
      </c>
      <c r="AH19" s="79" t="str">
        <f t="shared" si="1"/>
        <v>-9/-50</v>
      </c>
      <c r="AI19" s="79" t="str">
        <f t="shared" si="1"/>
        <v>-20/-61</v>
      </c>
      <c r="AJ19" s="79" t="str">
        <f t="shared" si="1"/>
        <v>-36/-77</v>
      </c>
      <c r="AK19" s="79" t="e">
        <f t="shared" si="1"/>
        <v>#VALUE!</v>
      </c>
      <c r="AL19" s="159"/>
      <c r="AM19" s="159"/>
      <c r="AO19" s="135">
        <v>80</v>
      </c>
      <c r="AP19" s="135">
        <v>100</v>
      </c>
      <c r="AQ19">
        <v>-220</v>
      </c>
      <c r="AR19">
        <v>-170</v>
      </c>
      <c r="AS19">
        <v>-120</v>
      </c>
      <c r="AT19">
        <v>-120</v>
      </c>
      <c r="AU19">
        <v>-72</v>
      </c>
      <c r="AV19">
        <v>-72</v>
      </c>
      <c r="AW19" s="141">
        <v>-72</v>
      </c>
      <c r="AX19" s="141">
        <v>-36</v>
      </c>
      <c r="AY19" s="141">
        <v>-36</v>
      </c>
      <c r="AZ19" s="141">
        <v>-36</v>
      </c>
      <c r="BA19" s="141">
        <v>-12</v>
      </c>
      <c r="BB19" s="141">
        <v>-12</v>
      </c>
      <c r="BC19" s="141">
        <v>0</v>
      </c>
      <c r="BD19" s="141">
        <v>0</v>
      </c>
      <c r="BE19" s="141">
        <v>0</v>
      </c>
      <c r="BF19" s="141">
        <v>0</v>
      </c>
      <c r="BG19" s="141">
        <v>0</v>
      </c>
      <c r="BH19" s="141">
        <v>7.5</v>
      </c>
      <c r="BI19" s="141">
        <v>11</v>
      </c>
      <c r="BJ19" s="141">
        <v>17</v>
      </c>
      <c r="BK19" s="141">
        <v>18</v>
      </c>
      <c r="BL19" s="79">
        <v>25</v>
      </c>
      <c r="BM19" s="79">
        <v>28</v>
      </c>
      <c r="BN19" s="79">
        <v>35</v>
      </c>
      <c r="BO19" s="79">
        <v>45</v>
      </c>
      <c r="BP19" s="79">
        <v>59</v>
      </c>
      <c r="BQ19" s="79">
        <v>73</v>
      </c>
      <c r="BR19" s="79">
        <v>93</v>
      </c>
      <c r="BS19" s="79">
        <v>113</v>
      </c>
      <c r="BT19" s="79">
        <v>146</v>
      </c>
      <c r="BU19" s="162" t="s">
        <v>112</v>
      </c>
      <c r="BW19" s="135">
        <v>80</v>
      </c>
      <c r="BX19" s="135">
        <v>100</v>
      </c>
      <c r="BY19" s="79">
        <v>360</v>
      </c>
      <c r="BZ19" s="79">
        <v>257</v>
      </c>
      <c r="CA19" s="79">
        <v>310</v>
      </c>
      <c r="CB19" s="79">
        <v>174</v>
      </c>
      <c r="CC19" s="79">
        <v>207</v>
      </c>
      <c r="CD19" s="79">
        <v>260</v>
      </c>
      <c r="CE19" s="79">
        <v>107</v>
      </c>
      <c r="CF19" s="79">
        <v>126</v>
      </c>
      <c r="CG19" s="79">
        <v>159</v>
      </c>
      <c r="CH19" s="79">
        <v>58</v>
      </c>
      <c r="CI19" s="79">
        <v>71</v>
      </c>
      <c r="CJ19" s="132">
        <v>90</v>
      </c>
      <c r="CK19" s="132">
        <v>34</v>
      </c>
      <c r="CL19" s="132">
        <v>47</v>
      </c>
      <c r="CM19" s="132">
        <v>22</v>
      </c>
      <c r="CN19" s="132">
        <v>35</v>
      </c>
      <c r="CO19" s="132">
        <v>54</v>
      </c>
      <c r="CP19" s="132">
        <v>87</v>
      </c>
      <c r="CQ19" s="132">
        <v>140</v>
      </c>
      <c r="CR19" s="132">
        <v>11</v>
      </c>
      <c r="CS19" s="132">
        <v>17</v>
      </c>
      <c r="CT19" s="132">
        <v>4</v>
      </c>
      <c r="CU19" s="132">
        <v>10</v>
      </c>
      <c r="CV19" s="132">
        <v>-6</v>
      </c>
      <c r="CW19" s="132">
        <v>0</v>
      </c>
      <c r="CX19" s="132">
        <v>-16</v>
      </c>
      <c r="CY19" s="132">
        <v>-10</v>
      </c>
      <c r="CZ19" s="132">
        <v>-30</v>
      </c>
      <c r="DA19" s="79">
        <v>-24</v>
      </c>
      <c r="DB19" s="79">
        <v>-38</v>
      </c>
      <c r="DC19" s="79">
        <v>-58</v>
      </c>
      <c r="DD19" s="79">
        <v>-78</v>
      </c>
      <c r="DE19" s="79">
        <v>-111</v>
      </c>
      <c r="DF19" s="161" t="s">
        <v>161</v>
      </c>
    </row>
    <row r="20" spans="2:110">
      <c r="B20" s="235"/>
      <c r="C20" s="142" t="s">
        <v>172</v>
      </c>
      <c r="D20" s="79" t="str">
        <f t="shared" si="0"/>
        <v>291/180</v>
      </c>
      <c r="E20" s="79" t="str">
        <f t="shared" si="0"/>
        <v>203/130</v>
      </c>
      <c r="F20" s="79" t="str">
        <f t="shared" si="0"/>
        <v>241/130</v>
      </c>
      <c r="G20" s="79" t="str">
        <f t="shared" si="0"/>
        <v>130/80</v>
      </c>
      <c r="H20" s="79" t="str">
        <f t="shared" si="0"/>
        <v>153/80</v>
      </c>
      <c r="I20" s="79" t="str">
        <f t="shared" si="0"/>
        <v>191/80</v>
      </c>
      <c r="J20" s="79" t="str">
        <f t="shared" si="0"/>
        <v>86/50</v>
      </c>
      <c r="K20" s="79" t="str">
        <f t="shared" si="0"/>
        <v>100/50</v>
      </c>
      <c r="L20" s="79" t="str">
        <f t="shared" si="0"/>
        <v>123/50</v>
      </c>
      <c r="M20" s="79" t="str">
        <f t="shared" si="0"/>
        <v>52/25</v>
      </c>
      <c r="N20" s="79" t="str">
        <f t="shared" si="0"/>
        <v>61/25</v>
      </c>
      <c r="O20" s="79" t="str">
        <f t="shared" si="0"/>
        <v>75/25</v>
      </c>
      <c r="P20" s="79" t="str">
        <f t="shared" si="0"/>
        <v>36/9</v>
      </c>
      <c r="Q20" s="79" t="str">
        <f t="shared" si="0"/>
        <v>45/9</v>
      </c>
      <c r="R20" s="79" t="str">
        <f t="shared" si="0"/>
        <v>27/0</v>
      </c>
      <c r="S20" s="79" t="str">
        <f t="shared" si="0"/>
        <v>36/0</v>
      </c>
      <c r="T20" s="79" t="str">
        <f t="shared" si="1"/>
        <v>50/0</v>
      </c>
      <c r="U20" s="79" t="str">
        <f t="shared" si="1"/>
        <v>73/0</v>
      </c>
      <c r="V20" s="79" t="str">
        <f t="shared" si="1"/>
        <v>111/0</v>
      </c>
      <c r="W20" s="79" t="str">
        <f t="shared" si="1"/>
        <v>19/-8</v>
      </c>
      <c r="X20" s="79" t="str">
        <f t="shared" si="1"/>
        <v>23/-12</v>
      </c>
      <c r="Y20" s="79" t="str">
        <f t="shared" si="1"/>
        <v>14/-13</v>
      </c>
      <c r="Z20" s="79" t="str">
        <f t="shared" si="1"/>
        <v>18/-18</v>
      </c>
      <c r="AA20" s="79" t="str">
        <f t="shared" si="1"/>
        <v>7/-20</v>
      </c>
      <c r="AB20" s="79" t="str">
        <f t="shared" si="1"/>
        <v>11/-25</v>
      </c>
      <c r="AC20" s="79" t="str">
        <f t="shared" si="1"/>
        <v>-1/-28</v>
      </c>
      <c r="AD20" s="79" t="str">
        <f t="shared" si="1"/>
        <v>3/-33</v>
      </c>
      <c r="AE20" s="79" t="str">
        <f t="shared" si="1"/>
        <v>-10/-37</v>
      </c>
      <c r="AF20" s="79" t="str">
        <f t="shared" si="1"/>
        <v>-6/-42</v>
      </c>
      <c r="AG20" s="79" t="str">
        <f t="shared" si="1"/>
        <v>-14/-50</v>
      </c>
      <c r="AH20" s="79" t="str">
        <f t="shared" si="1"/>
        <v>-23/-59</v>
      </c>
      <c r="AI20" s="79" t="str">
        <f t="shared" si="1"/>
        <v>-34/-70</v>
      </c>
      <c r="AJ20" s="79" t="str">
        <f t="shared" si="1"/>
        <v>-50/-86</v>
      </c>
      <c r="AK20" s="79" t="e">
        <f t="shared" si="1"/>
        <v>#VALUE!</v>
      </c>
      <c r="AL20" s="159"/>
      <c r="AM20" s="159"/>
      <c r="AO20" s="135">
        <v>100</v>
      </c>
      <c r="AP20" s="135">
        <v>120</v>
      </c>
      <c r="AQ20">
        <v>-240</v>
      </c>
      <c r="AR20">
        <v>-180</v>
      </c>
      <c r="AS20">
        <v>-120</v>
      </c>
      <c r="AT20">
        <v>-120</v>
      </c>
      <c r="AU20">
        <v>-72</v>
      </c>
      <c r="AV20">
        <v>-72</v>
      </c>
      <c r="AW20" s="141">
        <v>-72</v>
      </c>
      <c r="AX20" s="141">
        <v>-36</v>
      </c>
      <c r="AY20" s="141">
        <v>-36</v>
      </c>
      <c r="AZ20" s="141">
        <v>-36</v>
      </c>
      <c r="BA20" s="141">
        <v>-12</v>
      </c>
      <c r="BB20" s="141">
        <v>-12</v>
      </c>
      <c r="BC20" s="141">
        <v>0</v>
      </c>
      <c r="BD20" s="141">
        <v>0</v>
      </c>
      <c r="BE20" s="141">
        <v>0</v>
      </c>
      <c r="BF20" s="141">
        <v>0</v>
      </c>
      <c r="BG20" s="141">
        <v>0</v>
      </c>
      <c r="BH20" s="141">
        <v>7.5</v>
      </c>
      <c r="BI20" s="141">
        <v>11</v>
      </c>
      <c r="BJ20" s="141">
        <v>17</v>
      </c>
      <c r="BK20" s="141">
        <v>18</v>
      </c>
      <c r="BL20" s="79">
        <v>25</v>
      </c>
      <c r="BM20" s="79">
        <v>28</v>
      </c>
      <c r="BN20" s="79">
        <v>35</v>
      </c>
      <c r="BO20" s="79">
        <v>45</v>
      </c>
      <c r="BP20" s="79">
        <v>59</v>
      </c>
      <c r="BQ20" s="79">
        <v>76</v>
      </c>
      <c r="BR20" s="79">
        <v>101</v>
      </c>
      <c r="BS20" s="79">
        <v>126</v>
      </c>
      <c r="BT20" s="79">
        <v>166</v>
      </c>
      <c r="BU20" s="162" t="s">
        <v>112</v>
      </c>
      <c r="BW20" s="135">
        <v>100</v>
      </c>
      <c r="BX20" s="135">
        <v>120</v>
      </c>
      <c r="BY20" s="79">
        <v>380</v>
      </c>
      <c r="BZ20" s="79">
        <v>267</v>
      </c>
      <c r="CA20" s="79">
        <v>320</v>
      </c>
      <c r="CB20" s="79">
        <v>174</v>
      </c>
      <c r="CC20" s="79">
        <v>207</v>
      </c>
      <c r="CD20" s="79">
        <v>260</v>
      </c>
      <c r="CE20" s="79">
        <v>107</v>
      </c>
      <c r="CF20" s="79">
        <v>126</v>
      </c>
      <c r="CG20" s="79">
        <v>159</v>
      </c>
      <c r="CH20" s="79">
        <v>58</v>
      </c>
      <c r="CI20" s="79">
        <v>71</v>
      </c>
      <c r="CJ20" s="132">
        <v>90</v>
      </c>
      <c r="CK20" s="132">
        <v>34</v>
      </c>
      <c r="CL20" s="132">
        <v>47</v>
      </c>
      <c r="CM20" s="132">
        <v>22</v>
      </c>
      <c r="CN20" s="132">
        <v>35</v>
      </c>
      <c r="CO20" s="132">
        <v>54</v>
      </c>
      <c r="CP20" s="132">
        <v>87</v>
      </c>
      <c r="CQ20" s="132">
        <v>140</v>
      </c>
      <c r="CR20" s="132">
        <v>11</v>
      </c>
      <c r="CS20" s="132">
        <v>17</v>
      </c>
      <c r="CT20" s="132">
        <v>4</v>
      </c>
      <c r="CU20" s="132">
        <v>10</v>
      </c>
      <c r="CV20" s="132">
        <v>-6</v>
      </c>
      <c r="CW20" s="132">
        <v>0</v>
      </c>
      <c r="CX20" s="132">
        <v>-16</v>
      </c>
      <c r="CY20" s="132">
        <v>-10</v>
      </c>
      <c r="CZ20" s="132">
        <v>-30</v>
      </c>
      <c r="DA20" s="79">
        <v>-24</v>
      </c>
      <c r="DB20" s="79">
        <v>-41</v>
      </c>
      <c r="DC20" s="79">
        <v>-66</v>
      </c>
      <c r="DD20" s="79">
        <v>-91</v>
      </c>
      <c r="DE20" s="79">
        <v>-131</v>
      </c>
      <c r="DF20" s="161" t="s">
        <v>161</v>
      </c>
    </row>
    <row r="21" spans="2:110">
      <c r="B21" s="235"/>
      <c r="C21" s="142" t="s">
        <v>173</v>
      </c>
      <c r="D21" s="79" t="str">
        <f t="shared" si="0"/>
        <v>296/180</v>
      </c>
      <c r="E21" s="79" t="str">
        <f t="shared" si="0"/>
        <v>208/130</v>
      </c>
      <c r="F21" s="79" t="str">
        <f t="shared" si="0"/>
        <v>246/130</v>
      </c>
      <c r="G21" s="79" t="str">
        <f t="shared" si="0"/>
        <v>135/80</v>
      </c>
      <c r="H21" s="79" t="str">
        <f t="shared" si="0"/>
        <v>158/80</v>
      </c>
      <c r="I21" s="79" t="str">
        <f t="shared" si="0"/>
        <v>196/80</v>
      </c>
      <c r="J21" s="79" t="str">
        <f t="shared" si="0"/>
        <v>91/50</v>
      </c>
      <c r="K21" s="79" t="str">
        <f t="shared" si="0"/>
        <v>105/50</v>
      </c>
      <c r="L21" s="79" t="str">
        <f t="shared" si="0"/>
        <v>128/50</v>
      </c>
      <c r="M21" s="79" t="str">
        <f t="shared" si="0"/>
        <v>57/25</v>
      </c>
      <c r="N21" s="79" t="str">
        <f t="shared" si="0"/>
        <v>66/25</v>
      </c>
      <c r="O21" s="79" t="str">
        <f t="shared" si="0"/>
        <v>80/25</v>
      </c>
      <c r="P21" s="79" t="str">
        <f t="shared" si="0"/>
        <v>41/9</v>
      </c>
      <c r="Q21" s="79" t="str">
        <f t="shared" si="0"/>
        <v>50/9</v>
      </c>
      <c r="R21" s="79" t="str">
        <f t="shared" si="0"/>
        <v>32/0</v>
      </c>
      <c r="S21" s="79" t="str">
        <f t="shared" si="0"/>
        <v>41/0</v>
      </c>
      <c r="T21" s="79" t="str">
        <f t="shared" si="1"/>
        <v>55/0</v>
      </c>
      <c r="U21" s="79" t="str">
        <f t="shared" si="1"/>
        <v>78/0</v>
      </c>
      <c r="V21" s="79" t="str">
        <f t="shared" si="1"/>
        <v>116/0</v>
      </c>
      <c r="W21" s="79" t="str">
        <f t="shared" si="1"/>
        <v>24/-8</v>
      </c>
      <c r="X21" s="79" t="str">
        <f t="shared" si="1"/>
        <v>28/-12</v>
      </c>
      <c r="Y21" s="79" t="str">
        <f t="shared" si="1"/>
        <v>19/-13</v>
      </c>
      <c r="Z21" s="79" t="str">
        <f t="shared" si="1"/>
        <v>23/-18</v>
      </c>
      <c r="AA21" s="79" t="str">
        <f t="shared" si="1"/>
        <v>12/-20</v>
      </c>
      <c r="AB21" s="79" t="str">
        <f t="shared" si="1"/>
        <v>16/-25</v>
      </c>
      <c r="AC21" s="79" t="str">
        <f t="shared" si="1"/>
        <v>4/-28</v>
      </c>
      <c r="AD21" s="79" t="str">
        <f t="shared" si="1"/>
        <v>8/-33</v>
      </c>
      <c r="AE21" s="79" t="str">
        <f t="shared" si="1"/>
        <v>-5/-37</v>
      </c>
      <c r="AF21" s="79" t="str">
        <f t="shared" si="1"/>
        <v>-1/-42</v>
      </c>
      <c r="AG21" s="79" t="str">
        <f t="shared" si="1"/>
        <v>-9/-50</v>
      </c>
      <c r="AH21" s="79" t="str">
        <f t="shared" si="1"/>
        <v>-18/-59</v>
      </c>
      <c r="AI21" s="79" t="str">
        <f t="shared" si="1"/>
        <v>-29/-70</v>
      </c>
      <c r="AJ21" s="79" t="str">
        <f t="shared" si="1"/>
        <v>-45/-86</v>
      </c>
      <c r="AK21" s="79" t="e">
        <f t="shared" si="1"/>
        <v>#VALUE!</v>
      </c>
      <c r="AL21" s="159"/>
      <c r="AM21" s="159"/>
      <c r="AO21" s="135">
        <v>120</v>
      </c>
      <c r="AP21" s="135">
        <v>140</v>
      </c>
      <c r="AQ21">
        <v>-260</v>
      </c>
      <c r="AR21">
        <v>-200</v>
      </c>
      <c r="AS21">
        <v>-145</v>
      </c>
      <c r="AT21">
        <v>-145</v>
      </c>
      <c r="AU21">
        <v>-85</v>
      </c>
      <c r="AV21">
        <v>-85</v>
      </c>
      <c r="AW21" s="141">
        <v>-85</v>
      </c>
      <c r="AX21" s="141">
        <v>-43</v>
      </c>
      <c r="AY21" s="141">
        <v>-43</v>
      </c>
      <c r="AZ21" s="141">
        <v>-43</v>
      </c>
      <c r="BA21" s="141">
        <v>-14</v>
      </c>
      <c r="BB21" s="141">
        <v>-14</v>
      </c>
      <c r="BC21" s="141">
        <v>0</v>
      </c>
      <c r="BD21" s="141">
        <v>0</v>
      </c>
      <c r="BE21" s="141">
        <v>0</v>
      </c>
      <c r="BF21" s="141">
        <v>0</v>
      </c>
      <c r="BG21" s="141">
        <v>0</v>
      </c>
      <c r="BH21" s="141">
        <v>9</v>
      </c>
      <c r="BI21" s="141">
        <v>12.5</v>
      </c>
      <c r="BJ21" s="141">
        <v>20</v>
      </c>
      <c r="BK21" s="141">
        <v>21</v>
      </c>
      <c r="BL21" s="79">
        <v>28</v>
      </c>
      <c r="BM21" s="79">
        <v>33</v>
      </c>
      <c r="BN21" s="79">
        <v>40</v>
      </c>
      <c r="BO21" s="79">
        <v>52</v>
      </c>
      <c r="BP21" s="79">
        <v>68</v>
      </c>
      <c r="BQ21" s="79">
        <v>88</v>
      </c>
      <c r="BR21" s="79">
        <v>117</v>
      </c>
      <c r="BS21" s="79">
        <v>147</v>
      </c>
      <c r="BT21" s="162" t="s">
        <v>112</v>
      </c>
      <c r="BU21" s="162" t="s">
        <v>112</v>
      </c>
      <c r="BW21" s="135">
        <v>120</v>
      </c>
      <c r="BX21" s="135">
        <v>140</v>
      </c>
      <c r="BY21" s="79">
        <v>420</v>
      </c>
      <c r="BZ21" s="79">
        <v>300</v>
      </c>
      <c r="CA21" s="79">
        <v>360</v>
      </c>
      <c r="CB21" s="79">
        <v>208</v>
      </c>
      <c r="CC21" s="79">
        <v>245</v>
      </c>
      <c r="CD21" s="79">
        <v>305</v>
      </c>
      <c r="CE21" s="79">
        <v>125</v>
      </c>
      <c r="CF21" s="79">
        <v>148</v>
      </c>
      <c r="CG21" s="79">
        <v>185</v>
      </c>
      <c r="CH21" s="79">
        <v>68</v>
      </c>
      <c r="CI21" s="79">
        <v>83</v>
      </c>
      <c r="CJ21" s="132">
        <v>106</v>
      </c>
      <c r="CK21" s="132">
        <v>39</v>
      </c>
      <c r="CL21" s="132">
        <v>54</v>
      </c>
      <c r="CM21" s="132">
        <v>25</v>
      </c>
      <c r="CN21" s="132">
        <v>40</v>
      </c>
      <c r="CO21" s="132">
        <v>63</v>
      </c>
      <c r="CP21" s="132">
        <v>100</v>
      </c>
      <c r="CQ21" s="132">
        <v>160</v>
      </c>
      <c r="CR21" s="132">
        <v>12.5</v>
      </c>
      <c r="CS21" s="132">
        <v>20</v>
      </c>
      <c r="CT21" s="132">
        <v>4</v>
      </c>
      <c r="CU21" s="132">
        <v>12</v>
      </c>
      <c r="CV21" s="132">
        <v>-8</v>
      </c>
      <c r="CW21" s="132">
        <v>0</v>
      </c>
      <c r="CX21" s="132">
        <v>-20</v>
      </c>
      <c r="CY21" s="132">
        <v>-12</v>
      </c>
      <c r="CZ21" s="132">
        <v>-36</v>
      </c>
      <c r="DA21" s="79">
        <v>-28</v>
      </c>
      <c r="DB21" s="79">
        <v>-48</v>
      </c>
      <c r="DC21" s="79">
        <v>-77</v>
      </c>
      <c r="DD21" s="79">
        <v>-107</v>
      </c>
      <c r="DE21" s="162" t="s">
        <v>161</v>
      </c>
      <c r="DF21" s="161" t="s">
        <v>161</v>
      </c>
    </row>
    <row r="22" spans="2:110">
      <c r="B22" s="235"/>
      <c r="C22" s="142" t="s">
        <v>174</v>
      </c>
      <c r="D22" s="79" t="str">
        <f t="shared" si="0"/>
        <v>305/180</v>
      </c>
      <c r="E22" s="79" t="str">
        <f t="shared" si="0"/>
        <v>217/130</v>
      </c>
      <c r="F22" s="79" t="str">
        <f t="shared" si="0"/>
        <v>255/130</v>
      </c>
      <c r="G22" s="79" t="str">
        <f t="shared" si="0"/>
        <v>144/80</v>
      </c>
      <c r="H22" s="79" t="str">
        <f t="shared" si="0"/>
        <v>167/80</v>
      </c>
      <c r="I22" s="79" t="str">
        <f t="shared" si="0"/>
        <v>205/80</v>
      </c>
      <c r="J22" s="79" t="str">
        <f t="shared" si="0"/>
        <v>100/50</v>
      </c>
      <c r="K22" s="79" t="str">
        <f t="shared" si="0"/>
        <v>114/50</v>
      </c>
      <c r="L22" s="79" t="str">
        <f t="shared" si="0"/>
        <v>137/50</v>
      </c>
      <c r="M22" s="79" t="str">
        <f t="shared" si="0"/>
        <v>66/25</v>
      </c>
      <c r="N22" s="79" t="str">
        <f t="shared" si="0"/>
        <v>75/25</v>
      </c>
      <c r="O22" s="79" t="str">
        <f t="shared" si="0"/>
        <v>89/25</v>
      </c>
      <c r="P22" s="79" t="str">
        <f t="shared" si="0"/>
        <v>50/9</v>
      </c>
      <c r="Q22" s="79" t="str">
        <f t="shared" si="0"/>
        <v>59/9</v>
      </c>
      <c r="R22" s="79" t="str">
        <f t="shared" si="0"/>
        <v>41/0</v>
      </c>
      <c r="S22" s="79" t="str">
        <f t="shared" si="0"/>
        <v>50/0</v>
      </c>
      <c r="T22" s="79" t="str">
        <f t="shared" si="1"/>
        <v>64/0</v>
      </c>
      <c r="U22" s="79" t="str">
        <f t="shared" si="1"/>
        <v>87/0</v>
      </c>
      <c r="V22" s="79" t="str">
        <f t="shared" si="1"/>
        <v>125/0</v>
      </c>
      <c r="W22" s="79" t="str">
        <f t="shared" ref="W22:AK38" si="2">VLOOKUP($B$7-0.000001,$BW$8:$DF$32,MATCH(W$7,$BW$7:$DF$7,0))-VLOOKUP($B$7-0.000001,$AO$36:$BU$60,MATCH($C22,$AO$35:$BU$35,0))
&amp;"/"&amp;
VLOOKUP($B$7-0.000001,$BW$36:$DF$60,MATCH(W$7,$BW$35:$DF$35,0))-VLOOKUP($B$7-0.000001,$AO$8:$BU$32,MATCH($C22,$AO$7:$BU$7,0))</f>
        <v>33/-8</v>
      </c>
      <c r="X22" s="79" t="str">
        <f t="shared" si="2"/>
        <v>37/-12</v>
      </c>
      <c r="Y22" s="79" t="str">
        <f t="shared" si="2"/>
        <v>28/-13</v>
      </c>
      <c r="Z22" s="79" t="str">
        <f t="shared" si="2"/>
        <v>32/-18</v>
      </c>
      <c r="AA22" s="79" t="str">
        <f t="shared" si="2"/>
        <v>21/-20</v>
      </c>
      <c r="AB22" s="79" t="str">
        <f t="shared" si="2"/>
        <v>25/-25</v>
      </c>
      <c r="AC22" s="79" t="str">
        <f t="shared" si="2"/>
        <v>13/-28</v>
      </c>
      <c r="AD22" s="79" t="str">
        <f t="shared" si="2"/>
        <v>17/-33</v>
      </c>
      <c r="AE22" s="79" t="str">
        <f t="shared" si="2"/>
        <v>4/-37</v>
      </c>
      <c r="AF22" s="79" t="str">
        <f t="shared" si="2"/>
        <v>8/-42</v>
      </c>
      <c r="AG22" s="79" t="str">
        <f t="shared" si="2"/>
        <v>0/-50</v>
      </c>
      <c r="AH22" s="79" t="str">
        <f t="shared" si="2"/>
        <v>-9/-59</v>
      </c>
      <c r="AI22" s="79" t="str">
        <f t="shared" si="2"/>
        <v>-20/-70</v>
      </c>
      <c r="AJ22" s="79" t="str">
        <f t="shared" si="2"/>
        <v>-36/-86</v>
      </c>
      <c r="AK22" s="79" t="e">
        <f t="shared" si="2"/>
        <v>#VALUE!</v>
      </c>
      <c r="AL22" s="159"/>
      <c r="AM22" s="159"/>
      <c r="AO22" s="149">
        <v>140</v>
      </c>
      <c r="AP22" s="149">
        <v>160</v>
      </c>
      <c r="AQ22">
        <v>-280</v>
      </c>
      <c r="AR22">
        <v>-210</v>
      </c>
      <c r="AS22">
        <v>-145</v>
      </c>
      <c r="AT22">
        <v>-145</v>
      </c>
      <c r="AU22">
        <v>-85</v>
      </c>
      <c r="AV22">
        <v>-85</v>
      </c>
      <c r="AW22" s="141">
        <v>-85</v>
      </c>
      <c r="AX22" s="141">
        <v>-43</v>
      </c>
      <c r="AY22" s="141">
        <v>-43</v>
      </c>
      <c r="AZ22" s="141">
        <v>-43</v>
      </c>
      <c r="BA22" s="141">
        <v>-14</v>
      </c>
      <c r="BB22" s="141">
        <v>-14</v>
      </c>
      <c r="BC22" s="141">
        <v>0</v>
      </c>
      <c r="BD22" s="141">
        <v>0</v>
      </c>
      <c r="BE22" s="141">
        <v>0</v>
      </c>
      <c r="BF22" s="141">
        <v>0</v>
      </c>
      <c r="BG22" s="141">
        <v>0</v>
      </c>
      <c r="BH22" s="141">
        <v>9</v>
      </c>
      <c r="BI22" s="141">
        <v>12.5</v>
      </c>
      <c r="BJ22" s="141">
        <v>20</v>
      </c>
      <c r="BK22" s="141">
        <v>21</v>
      </c>
      <c r="BL22" s="79">
        <v>28</v>
      </c>
      <c r="BM22" s="79">
        <v>33</v>
      </c>
      <c r="BN22" s="79">
        <v>40</v>
      </c>
      <c r="BO22" s="79">
        <v>52</v>
      </c>
      <c r="BP22" s="79">
        <v>68</v>
      </c>
      <c r="BQ22" s="79">
        <v>90</v>
      </c>
      <c r="BR22" s="79">
        <v>125</v>
      </c>
      <c r="BS22" s="79">
        <v>159</v>
      </c>
      <c r="BT22" s="162" t="s">
        <v>112</v>
      </c>
      <c r="BU22" s="162" t="s">
        <v>112</v>
      </c>
      <c r="BW22" s="135">
        <v>140</v>
      </c>
      <c r="BX22" s="135">
        <v>160</v>
      </c>
      <c r="BY22" s="79">
        <v>440</v>
      </c>
      <c r="BZ22" s="79">
        <v>310</v>
      </c>
      <c r="CA22" s="79">
        <v>370</v>
      </c>
      <c r="CB22" s="79">
        <v>208</v>
      </c>
      <c r="CC22" s="79">
        <v>245</v>
      </c>
      <c r="CD22" s="79">
        <v>305</v>
      </c>
      <c r="CE22" s="79">
        <v>125</v>
      </c>
      <c r="CF22" s="79">
        <v>148</v>
      </c>
      <c r="CG22" s="79">
        <v>185</v>
      </c>
      <c r="CH22" s="79">
        <v>68</v>
      </c>
      <c r="CI22" s="79">
        <v>83</v>
      </c>
      <c r="CJ22" s="132">
        <v>106</v>
      </c>
      <c r="CK22" s="132">
        <v>39</v>
      </c>
      <c r="CL22" s="132">
        <v>54</v>
      </c>
      <c r="CM22" s="132">
        <v>25</v>
      </c>
      <c r="CN22" s="132">
        <v>40</v>
      </c>
      <c r="CO22" s="132">
        <v>63</v>
      </c>
      <c r="CP22" s="132">
        <v>100</v>
      </c>
      <c r="CQ22" s="132">
        <v>160</v>
      </c>
      <c r="CR22" s="132">
        <v>12.5</v>
      </c>
      <c r="CS22" s="132">
        <v>20</v>
      </c>
      <c r="CT22" s="132">
        <v>4</v>
      </c>
      <c r="CU22" s="132">
        <v>12</v>
      </c>
      <c r="CV22" s="132">
        <v>-8</v>
      </c>
      <c r="CW22" s="132">
        <v>0</v>
      </c>
      <c r="CX22" s="132">
        <v>-20</v>
      </c>
      <c r="CY22" s="132">
        <v>-12</v>
      </c>
      <c r="CZ22" s="132">
        <v>-36</v>
      </c>
      <c r="DA22" s="79">
        <v>-28</v>
      </c>
      <c r="DB22" s="79">
        <v>-50</v>
      </c>
      <c r="DC22" s="79">
        <v>-85</v>
      </c>
      <c r="DD22" s="79">
        <v>-119</v>
      </c>
      <c r="DE22" s="162" t="s">
        <v>161</v>
      </c>
      <c r="DF22" s="161" t="s">
        <v>161</v>
      </c>
    </row>
    <row r="23" spans="2:110">
      <c r="B23" s="235"/>
      <c r="C23" s="142" t="s">
        <v>175</v>
      </c>
      <c r="D23" s="79" t="str">
        <f t="shared" si="0"/>
        <v>319/180</v>
      </c>
      <c r="E23" s="79" t="str">
        <f t="shared" si="0"/>
        <v>231/130</v>
      </c>
      <c r="F23" s="79" t="str">
        <f t="shared" si="0"/>
        <v>269/130</v>
      </c>
      <c r="G23" s="79" t="str">
        <f t="shared" si="0"/>
        <v>158/80</v>
      </c>
      <c r="H23" s="79" t="str">
        <f t="shared" si="0"/>
        <v>181/80</v>
      </c>
      <c r="I23" s="79" t="str">
        <f t="shared" si="0"/>
        <v>219/80</v>
      </c>
      <c r="J23" s="79" t="str">
        <f t="shared" si="0"/>
        <v>114/50</v>
      </c>
      <c r="K23" s="79" t="str">
        <f t="shared" ref="K23:Z23" si="3">VLOOKUP($B$7-0.000001,$BW$8:$DF$32,MATCH(K$7,$BW$7:$DF$7,0))-VLOOKUP($B$7-0.000001,$AO$36:$BU$60,MATCH($C23,$AO$35:$BU$35,0))
&amp;"/"&amp;
VLOOKUP($B$7-0.000001,$BW$36:$DF$60,MATCH(K$7,$BW$35:$DF$35,0))-VLOOKUP($B$7-0.000001,$AO$8:$BU$32,MATCH($C23,$AO$7:$BU$7,0))</f>
        <v>128/50</v>
      </c>
      <c r="L23" s="79" t="str">
        <f t="shared" si="3"/>
        <v>151/50</v>
      </c>
      <c r="M23" s="79" t="str">
        <f t="shared" si="3"/>
        <v>80/25</v>
      </c>
      <c r="N23" s="79" t="str">
        <f t="shared" si="3"/>
        <v>89/25</v>
      </c>
      <c r="O23" s="79" t="str">
        <f t="shared" si="3"/>
        <v>103/25</v>
      </c>
      <c r="P23" s="79" t="str">
        <f t="shared" si="3"/>
        <v>64/9</v>
      </c>
      <c r="Q23" s="79" t="str">
        <f t="shared" si="3"/>
        <v>73/9</v>
      </c>
      <c r="R23" s="79" t="str">
        <f t="shared" si="3"/>
        <v>55/0</v>
      </c>
      <c r="S23" s="79" t="str">
        <f t="shared" si="3"/>
        <v>64/0</v>
      </c>
      <c r="T23" s="79" t="str">
        <f t="shared" si="3"/>
        <v>78/0</v>
      </c>
      <c r="U23" s="79" t="str">
        <f t="shared" si="3"/>
        <v>101/0</v>
      </c>
      <c r="V23" s="79" t="str">
        <f t="shared" si="3"/>
        <v>139/0</v>
      </c>
      <c r="W23" s="79" t="str">
        <f t="shared" si="3"/>
        <v>47/-8</v>
      </c>
      <c r="X23" s="79" t="str">
        <f t="shared" si="3"/>
        <v>51/-12</v>
      </c>
      <c r="Y23" s="79" t="str">
        <f t="shared" si="3"/>
        <v>42/-13</v>
      </c>
      <c r="Z23" s="79" t="str">
        <f t="shared" si="3"/>
        <v>46/-18</v>
      </c>
      <c r="AA23" s="79" t="str">
        <f t="shared" si="2"/>
        <v>35/-20</v>
      </c>
      <c r="AB23" s="79" t="str">
        <f t="shared" si="2"/>
        <v>39/-25</v>
      </c>
      <c r="AC23" s="79" t="str">
        <f t="shared" si="2"/>
        <v>27/-28</v>
      </c>
      <c r="AD23" s="79" t="str">
        <f t="shared" si="2"/>
        <v>31/-33</v>
      </c>
      <c r="AE23" s="79" t="str">
        <f t="shared" si="2"/>
        <v>18/-37</v>
      </c>
      <c r="AF23" s="79" t="str">
        <f t="shared" si="2"/>
        <v>22/-42</v>
      </c>
      <c r="AG23" s="79" t="str">
        <f t="shared" si="2"/>
        <v>14/-50</v>
      </c>
      <c r="AH23" s="79" t="str">
        <f t="shared" si="2"/>
        <v>5/-59</v>
      </c>
      <c r="AI23" s="79" t="str">
        <f t="shared" si="2"/>
        <v>-6/-70</v>
      </c>
      <c r="AJ23" s="79" t="str">
        <f t="shared" si="2"/>
        <v>-22/-86</v>
      </c>
      <c r="AK23" s="79" t="e">
        <f t="shared" si="2"/>
        <v>#VALUE!</v>
      </c>
      <c r="AL23" s="159"/>
      <c r="AM23" s="159"/>
      <c r="AO23" s="135">
        <v>160</v>
      </c>
      <c r="AP23" s="135">
        <v>180</v>
      </c>
      <c r="AQ23">
        <v>-310</v>
      </c>
      <c r="AR23">
        <v>-230</v>
      </c>
      <c r="AS23">
        <v>-145</v>
      </c>
      <c r="AT23">
        <v>-145</v>
      </c>
      <c r="AU23">
        <v>-85</v>
      </c>
      <c r="AV23">
        <v>-85</v>
      </c>
      <c r="AW23" s="141">
        <v>-85</v>
      </c>
      <c r="AX23" s="141">
        <v>-43</v>
      </c>
      <c r="AY23" s="141">
        <v>-43</v>
      </c>
      <c r="AZ23" s="141">
        <v>-43</v>
      </c>
      <c r="BA23" s="141">
        <v>-14</v>
      </c>
      <c r="BB23" s="141">
        <v>-14</v>
      </c>
      <c r="BC23" s="141">
        <v>0</v>
      </c>
      <c r="BD23" s="141">
        <v>0</v>
      </c>
      <c r="BE23" s="141">
        <v>0</v>
      </c>
      <c r="BF23" s="141">
        <v>0</v>
      </c>
      <c r="BG23" s="141">
        <v>0</v>
      </c>
      <c r="BH23" s="141">
        <v>9</v>
      </c>
      <c r="BI23" s="141">
        <v>12.5</v>
      </c>
      <c r="BJ23" s="141">
        <v>20</v>
      </c>
      <c r="BK23" s="141">
        <v>21</v>
      </c>
      <c r="BL23" s="79">
        <v>28</v>
      </c>
      <c r="BM23" s="79">
        <v>33</v>
      </c>
      <c r="BN23" s="79">
        <v>40</v>
      </c>
      <c r="BO23" s="79">
        <v>52</v>
      </c>
      <c r="BP23" s="79">
        <v>68</v>
      </c>
      <c r="BQ23" s="79">
        <v>93</v>
      </c>
      <c r="BR23" s="79">
        <v>133</v>
      </c>
      <c r="BS23" s="79">
        <v>171</v>
      </c>
      <c r="BT23" s="162" t="s">
        <v>112</v>
      </c>
      <c r="BU23" s="162" t="s">
        <v>112</v>
      </c>
      <c r="BW23" s="135">
        <v>160</v>
      </c>
      <c r="BX23" s="135">
        <v>180</v>
      </c>
      <c r="BY23" s="79">
        <v>470</v>
      </c>
      <c r="BZ23" s="79">
        <v>330</v>
      </c>
      <c r="CA23" s="79">
        <v>390</v>
      </c>
      <c r="CB23" s="79">
        <v>208</v>
      </c>
      <c r="CC23" s="79">
        <v>245</v>
      </c>
      <c r="CD23" s="79">
        <v>305</v>
      </c>
      <c r="CE23" s="79">
        <v>125</v>
      </c>
      <c r="CF23" s="79">
        <v>148</v>
      </c>
      <c r="CG23" s="79">
        <v>185</v>
      </c>
      <c r="CH23" s="79">
        <v>68</v>
      </c>
      <c r="CI23" s="79">
        <v>83</v>
      </c>
      <c r="CJ23" s="132">
        <v>106</v>
      </c>
      <c r="CK23" s="132">
        <v>39</v>
      </c>
      <c r="CL23" s="132">
        <v>54</v>
      </c>
      <c r="CM23" s="132">
        <v>25</v>
      </c>
      <c r="CN23" s="132">
        <v>40</v>
      </c>
      <c r="CO23" s="132">
        <v>63</v>
      </c>
      <c r="CP23" s="132">
        <v>100</v>
      </c>
      <c r="CQ23" s="132">
        <v>160</v>
      </c>
      <c r="CR23" s="132">
        <v>12.5</v>
      </c>
      <c r="CS23" s="132">
        <v>20</v>
      </c>
      <c r="CT23" s="132">
        <v>4</v>
      </c>
      <c r="CU23" s="132">
        <v>12</v>
      </c>
      <c r="CV23" s="132">
        <v>-8</v>
      </c>
      <c r="CW23" s="132">
        <v>0</v>
      </c>
      <c r="CX23" s="132">
        <v>-20</v>
      </c>
      <c r="CY23" s="132">
        <v>-12</v>
      </c>
      <c r="CZ23" s="132">
        <v>-36</v>
      </c>
      <c r="DA23" s="79">
        <v>-28</v>
      </c>
      <c r="DB23" s="79">
        <v>-53</v>
      </c>
      <c r="DC23" s="79">
        <v>-93</v>
      </c>
      <c r="DD23" s="79">
        <v>-131</v>
      </c>
      <c r="DE23" s="162" t="s">
        <v>161</v>
      </c>
      <c r="DF23" s="161" t="s">
        <v>161</v>
      </c>
    </row>
    <row r="24" spans="2:110">
      <c r="B24" s="235"/>
      <c r="C24" s="142" t="s">
        <v>176</v>
      </c>
      <c r="D24" s="79" t="str">
        <f t="shared" ref="D24:S38" si="4">VLOOKUP($B$7-0.000001,$BW$8:$DF$32,MATCH(D$7,$BW$7:$DF$7,0))-VLOOKUP($B$7-0.000001,$AO$36:$BU$60,MATCH($C24,$AO$35:$BU$35,0))
&amp;"/"&amp;
VLOOKUP($B$7-0.000001,$BW$36:$DF$60,MATCH(D$7,$BW$35:$DF$35,0))-VLOOKUP($B$7-0.000001,$AO$8:$BU$32,MATCH($C24,$AO$7:$BU$7,0))</f>
        <v>342/180</v>
      </c>
      <c r="E24" s="79" t="str">
        <f t="shared" si="4"/>
        <v>254/130</v>
      </c>
      <c r="F24" s="79" t="str">
        <f t="shared" si="4"/>
        <v>292/130</v>
      </c>
      <c r="G24" s="79" t="str">
        <f t="shared" si="4"/>
        <v>181/80</v>
      </c>
      <c r="H24" s="79" t="str">
        <f t="shared" si="4"/>
        <v>204/80</v>
      </c>
      <c r="I24" s="79" t="str">
        <f t="shared" si="4"/>
        <v>242/80</v>
      </c>
      <c r="J24" s="79" t="str">
        <f t="shared" si="4"/>
        <v>137/50</v>
      </c>
      <c r="K24" s="79" t="str">
        <f t="shared" si="4"/>
        <v>151/50</v>
      </c>
      <c r="L24" s="79" t="str">
        <f t="shared" si="4"/>
        <v>174/50</v>
      </c>
      <c r="M24" s="79" t="str">
        <f t="shared" si="4"/>
        <v>103/25</v>
      </c>
      <c r="N24" s="79" t="str">
        <f t="shared" si="4"/>
        <v>112/25</v>
      </c>
      <c r="O24" s="79" t="str">
        <f t="shared" si="4"/>
        <v>126/25</v>
      </c>
      <c r="P24" s="79" t="str">
        <f t="shared" si="4"/>
        <v>87/9</v>
      </c>
      <c r="Q24" s="79" t="str">
        <f t="shared" si="4"/>
        <v>96/9</v>
      </c>
      <c r="R24" s="79" t="str">
        <f t="shared" si="4"/>
        <v>78/0</v>
      </c>
      <c r="S24" s="79" t="str">
        <f t="shared" si="4"/>
        <v>87/0</v>
      </c>
      <c r="T24" s="79" t="str">
        <f t="shared" ref="T24:Z38" si="5">VLOOKUP($B$7-0.000001,$BW$8:$DF$32,MATCH(T$7,$BW$7:$DF$7,0))-VLOOKUP($B$7-0.000001,$AO$36:$BU$60,MATCH($C24,$AO$35:$BU$35,0))
&amp;"/"&amp;
VLOOKUP($B$7-0.000001,$BW$36:$DF$60,MATCH(T$7,$BW$35:$DF$35,0))-VLOOKUP($B$7-0.000001,$AO$8:$BU$32,MATCH($C24,$AO$7:$BU$7,0))</f>
        <v>101/0</v>
      </c>
      <c r="U24" s="79" t="str">
        <f t="shared" si="5"/>
        <v>124/0</v>
      </c>
      <c r="V24" s="79" t="str">
        <f t="shared" si="5"/>
        <v>162/0</v>
      </c>
      <c r="W24" s="79" t="str">
        <f t="shared" si="5"/>
        <v>70/-8</v>
      </c>
      <c r="X24" s="79" t="str">
        <f t="shared" si="5"/>
        <v>74/-12</v>
      </c>
      <c r="Y24" s="79" t="str">
        <f t="shared" si="5"/>
        <v>65/-13</v>
      </c>
      <c r="Z24" s="79" t="str">
        <f t="shared" si="5"/>
        <v>69/-18</v>
      </c>
      <c r="AA24" s="79" t="str">
        <f t="shared" si="2"/>
        <v>58/-20</v>
      </c>
      <c r="AB24" s="79" t="str">
        <f t="shared" si="2"/>
        <v>62/-25</v>
      </c>
      <c r="AC24" s="79" t="str">
        <f t="shared" si="2"/>
        <v>50/-28</v>
      </c>
      <c r="AD24" s="79" t="str">
        <f t="shared" si="2"/>
        <v>54/-33</v>
      </c>
      <c r="AE24" s="79" t="str">
        <f t="shared" si="2"/>
        <v>41/-37</v>
      </c>
      <c r="AF24" s="79" t="str">
        <f t="shared" si="2"/>
        <v>45/-42</v>
      </c>
      <c r="AG24" s="79" t="str">
        <f t="shared" si="2"/>
        <v>37/-50</v>
      </c>
      <c r="AH24" s="79" t="str">
        <f t="shared" si="2"/>
        <v>28/-59</v>
      </c>
      <c r="AI24" s="79" t="str">
        <f t="shared" si="2"/>
        <v>17/-70</v>
      </c>
      <c r="AJ24" s="79" t="str">
        <f t="shared" si="2"/>
        <v>1/-86</v>
      </c>
      <c r="AK24" s="79" t="e">
        <f t="shared" si="2"/>
        <v>#VALUE!</v>
      </c>
      <c r="AL24" s="159"/>
      <c r="AM24" s="159"/>
      <c r="AO24" s="135">
        <v>180</v>
      </c>
      <c r="AP24" s="135">
        <v>200</v>
      </c>
      <c r="AQ24">
        <v>-340</v>
      </c>
      <c r="AR24">
        <v>-240</v>
      </c>
      <c r="AS24">
        <v>-170</v>
      </c>
      <c r="AT24">
        <v>-170</v>
      </c>
      <c r="AU24">
        <v>-100</v>
      </c>
      <c r="AV24">
        <v>-100</v>
      </c>
      <c r="AW24" s="141">
        <v>-100</v>
      </c>
      <c r="AX24" s="141">
        <v>-50</v>
      </c>
      <c r="AY24" s="141">
        <v>-50</v>
      </c>
      <c r="AZ24" s="141">
        <v>-50</v>
      </c>
      <c r="BA24" s="141">
        <v>-15</v>
      </c>
      <c r="BB24" s="141">
        <v>-15</v>
      </c>
      <c r="BC24" s="141">
        <v>0</v>
      </c>
      <c r="BD24" s="141">
        <v>0</v>
      </c>
      <c r="BE24" s="141">
        <v>0</v>
      </c>
      <c r="BF24" s="141">
        <v>0</v>
      </c>
      <c r="BG24" s="141">
        <v>0</v>
      </c>
      <c r="BH24" s="141">
        <v>10</v>
      </c>
      <c r="BI24" s="141">
        <v>14.5</v>
      </c>
      <c r="BJ24" s="141">
        <v>23</v>
      </c>
      <c r="BK24" s="141">
        <v>24</v>
      </c>
      <c r="BL24" s="79">
        <v>33</v>
      </c>
      <c r="BM24" s="79">
        <v>37</v>
      </c>
      <c r="BN24" s="79">
        <v>46</v>
      </c>
      <c r="BO24" s="79">
        <v>60</v>
      </c>
      <c r="BP24" s="79">
        <v>79</v>
      </c>
      <c r="BQ24" s="79">
        <v>106</v>
      </c>
      <c r="BR24" s="79">
        <v>151</v>
      </c>
      <c r="BS24" s="162" t="s">
        <v>112</v>
      </c>
      <c r="BT24" s="162" t="s">
        <v>112</v>
      </c>
      <c r="BU24" s="162" t="s">
        <v>112</v>
      </c>
      <c r="BW24" s="135">
        <v>180</v>
      </c>
      <c r="BX24" s="135">
        <v>200</v>
      </c>
      <c r="BY24" s="79">
        <v>525</v>
      </c>
      <c r="BZ24" s="79">
        <v>355</v>
      </c>
      <c r="CA24" s="79">
        <v>425</v>
      </c>
      <c r="CB24" s="79">
        <v>242</v>
      </c>
      <c r="CC24" s="79">
        <v>285</v>
      </c>
      <c r="CD24" s="79">
        <v>355</v>
      </c>
      <c r="CE24" s="79">
        <v>146</v>
      </c>
      <c r="CF24" s="79">
        <v>172</v>
      </c>
      <c r="CG24" s="79">
        <v>215</v>
      </c>
      <c r="CH24" s="79">
        <v>79</v>
      </c>
      <c r="CI24" s="79">
        <v>96</v>
      </c>
      <c r="CJ24" s="132">
        <v>122</v>
      </c>
      <c r="CK24" s="132">
        <v>44</v>
      </c>
      <c r="CL24" s="132">
        <v>61</v>
      </c>
      <c r="CM24" s="132">
        <v>29</v>
      </c>
      <c r="CN24" s="132">
        <v>46</v>
      </c>
      <c r="CO24" s="132">
        <v>72</v>
      </c>
      <c r="CP24" s="132">
        <v>115</v>
      </c>
      <c r="CQ24" s="132">
        <v>185</v>
      </c>
      <c r="CR24" s="132">
        <v>14.5</v>
      </c>
      <c r="CS24" s="132">
        <v>23</v>
      </c>
      <c r="CT24" s="132">
        <v>5</v>
      </c>
      <c r="CU24" s="132">
        <v>13</v>
      </c>
      <c r="CV24" s="132">
        <v>-8</v>
      </c>
      <c r="CW24" s="132">
        <v>0</v>
      </c>
      <c r="CX24" s="132">
        <v>-22</v>
      </c>
      <c r="CY24" s="132">
        <v>-14</v>
      </c>
      <c r="CZ24" s="132">
        <v>-41</v>
      </c>
      <c r="DA24" s="79">
        <v>-33</v>
      </c>
      <c r="DB24" s="79">
        <v>-60</v>
      </c>
      <c r="DC24" s="79">
        <v>-105</v>
      </c>
      <c r="DD24" s="161" t="s">
        <v>161</v>
      </c>
      <c r="DE24" s="162" t="s">
        <v>161</v>
      </c>
      <c r="DF24" s="161" t="s">
        <v>161</v>
      </c>
    </row>
    <row r="25" spans="2:110">
      <c r="B25" s="235"/>
      <c r="C25" s="142" t="s">
        <v>177</v>
      </c>
      <c r="D25" s="79" t="str">
        <f t="shared" si="4"/>
        <v>285.5/174.5</v>
      </c>
      <c r="E25" s="79" t="str">
        <f t="shared" si="4"/>
        <v>197.5/124.5</v>
      </c>
      <c r="F25" s="79" t="str">
        <f t="shared" si="4"/>
        <v>235.5/124.5</v>
      </c>
      <c r="G25" s="79" t="str">
        <f t="shared" si="4"/>
        <v>124.5/74.5</v>
      </c>
      <c r="H25" s="79" t="str">
        <f t="shared" si="4"/>
        <v>147.5/74.5</v>
      </c>
      <c r="I25" s="79" t="str">
        <f t="shared" si="4"/>
        <v>185.5/74.5</v>
      </c>
      <c r="J25" s="79" t="str">
        <f t="shared" si="4"/>
        <v>80.5/44.5</v>
      </c>
      <c r="K25" s="79" t="str">
        <f t="shared" si="4"/>
        <v>94.5/44.5</v>
      </c>
      <c r="L25" s="79" t="str">
        <f t="shared" si="4"/>
        <v>117.5/44.5</v>
      </c>
      <c r="M25" s="79" t="str">
        <f t="shared" si="4"/>
        <v>46.5/19.5</v>
      </c>
      <c r="N25" s="79" t="str">
        <f t="shared" si="4"/>
        <v>55.5/19.5</v>
      </c>
      <c r="O25" s="79" t="str">
        <f t="shared" si="4"/>
        <v>69.5/19.5</v>
      </c>
      <c r="P25" s="79" t="str">
        <f t="shared" si="4"/>
        <v>30.5/3.5</v>
      </c>
      <c r="Q25" s="79" t="str">
        <f t="shared" si="4"/>
        <v>39.5/3.5</v>
      </c>
      <c r="R25" s="79" t="str">
        <f t="shared" si="4"/>
        <v>21.5/-5.5</v>
      </c>
      <c r="S25" s="79" t="str">
        <f t="shared" si="4"/>
        <v>30.5/-5.5</v>
      </c>
      <c r="T25" s="79" t="str">
        <f t="shared" si="5"/>
        <v>44.5/-5.5</v>
      </c>
      <c r="U25" s="79" t="str">
        <f t="shared" si="5"/>
        <v>67.5/-5.5</v>
      </c>
      <c r="V25" s="79" t="str">
        <f t="shared" si="5"/>
        <v>105.5/-5.5</v>
      </c>
      <c r="W25" s="79" t="str">
        <f t="shared" si="5"/>
        <v>13.5/-13.5</v>
      </c>
      <c r="X25" s="79" t="str">
        <f t="shared" si="5"/>
        <v>17.5/-17.5</v>
      </c>
      <c r="Y25" s="79" t="str">
        <f t="shared" si="5"/>
        <v>8.5/-18.5</v>
      </c>
      <c r="Z25" s="79" t="str">
        <f t="shared" si="5"/>
        <v>12.5/-23.5</v>
      </c>
      <c r="AA25" s="79" t="str">
        <f t="shared" si="2"/>
        <v>1.5/-25.5</v>
      </c>
      <c r="AB25" s="79" t="str">
        <f t="shared" si="2"/>
        <v>5.5/-30.5</v>
      </c>
      <c r="AC25" s="79" t="str">
        <f t="shared" si="2"/>
        <v>-6.5/-33.5</v>
      </c>
      <c r="AD25" s="79" t="str">
        <f t="shared" si="2"/>
        <v>-2.5/-38.5</v>
      </c>
      <c r="AE25" s="79" t="str">
        <f t="shared" si="2"/>
        <v>-15.5/-42.5</v>
      </c>
      <c r="AF25" s="79" t="str">
        <f t="shared" si="2"/>
        <v>-11.5/-47.5</v>
      </c>
      <c r="AG25" s="79" t="str">
        <f t="shared" si="2"/>
        <v>-19.5/-55.5</v>
      </c>
      <c r="AH25" s="79" t="str">
        <f t="shared" si="2"/>
        <v>-28.5/-64.5</v>
      </c>
      <c r="AI25" s="79" t="str">
        <f t="shared" si="2"/>
        <v>-39.5/-75.5</v>
      </c>
      <c r="AJ25" s="79" t="str">
        <f t="shared" si="2"/>
        <v>-55.5/-91.5</v>
      </c>
      <c r="AK25" s="79" t="e">
        <f t="shared" si="2"/>
        <v>#VALUE!</v>
      </c>
      <c r="AL25" s="159"/>
      <c r="AM25" s="159"/>
      <c r="AO25" s="135">
        <v>200</v>
      </c>
      <c r="AP25" s="135">
        <v>225</v>
      </c>
      <c r="AQ25">
        <v>-380</v>
      </c>
      <c r="AR25">
        <v>-260</v>
      </c>
      <c r="AS25">
        <v>-170</v>
      </c>
      <c r="AT25">
        <v>-170</v>
      </c>
      <c r="AU25">
        <v>-100</v>
      </c>
      <c r="AV25">
        <v>-100</v>
      </c>
      <c r="AW25" s="141">
        <v>-100</v>
      </c>
      <c r="AX25" s="141">
        <v>-50</v>
      </c>
      <c r="AY25" s="141">
        <v>-50</v>
      </c>
      <c r="AZ25" s="141">
        <v>-50</v>
      </c>
      <c r="BA25" s="141">
        <v>-15</v>
      </c>
      <c r="BB25" s="141">
        <v>-15</v>
      </c>
      <c r="BC25" s="141">
        <v>0</v>
      </c>
      <c r="BD25" s="141">
        <v>0</v>
      </c>
      <c r="BE25" s="141">
        <v>0</v>
      </c>
      <c r="BF25" s="141">
        <v>0</v>
      </c>
      <c r="BG25" s="141">
        <v>0</v>
      </c>
      <c r="BH25" s="141">
        <v>10</v>
      </c>
      <c r="BI25" s="141">
        <v>14.5</v>
      </c>
      <c r="BJ25" s="141">
        <v>23</v>
      </c>
      <c r="BK25" s="141">
        <v>24</v>
      </c>
      <c r="BL25" s="79">
        <v>33</v>
      </c>
      <c r="BM25" s="79">
        <v>37</v>
      </c>
      <c r="BN25" s="79">
        <v>46</v>
      </c>
      <c r="BO25" s="79">
        <v>60</v>
      </c>
      <c r="BP25" s="79">
        <v>79</v>
      </c>
      <c r="BQ25" s="79">
        <v>109</v>
      </c>
      <c r="BR25" s="79">
        <v>159</v>
      </c>
      <c r="BS25" s="162" t="s">
        <v>112</v>
      </c>
      <c r="BT25" s="162" t="s">
        <v>112</v>
      </c>
      <c r="BU25" s="162" t="s">
        <v>112</v>
      </c>
      <c r="BW25" s="135">
        <v>200</v>
      </c>
      <c r="BX25" s="135">
        <v>225</v>
      </c>
      <c r="BY25" s="79">
        <v>565</v>
      </c>
      <c r="BZ25" s="79">
        <v>375</v>
      </c>
      <c r="CA25" s="79">
        <v>445</v>
      </c>
      <c r="CB25" s="79">
        <v>242</v>
      </c>
      <c r="CC25" s="79">
        <v>285</v>
      </c>
      <c r="CD25" s="79">
        <v>355</v>
      </c>
      <c r="CE25" s="79">
        <v>146</v>
      </c>
      <c r="CF25" s="79">
        <v>172</v>
      </c>
      <c r="CG25" s="79">
        <v>215</v>
      </c>
      <c r="CH25" s="79">
        <v>79</v>
      </c>
      <c r="CI25" s="79">
        <v>96</v>
      </c>
      <c r="CJ25" s="132">
        <v>122</v>
      </c>
      <c r="CK25" s="132">
        <v>44</v>
      </c>
      <c r="CL25" s="132">
        <v>61</v>
      </c>
      <c r="CM25" s="132">
        <v>29</v>
      </c>
      <c r="CN25" s="132">
        <v>46</v>
      </c>
      <c r="CO25" s="132">
        <v>72</v>
      </c>
      <c r="CP25" s="132">
        <v>115</v>
      </c>
      <c r="CQ25" s="132">
        <v>185</v>
      </c>
      <c r="CR25" s="132">
        <v>14.5</v>
      </c>
      <c r="CS25" s="132">
        <v>23</v>
      </c>
      <c r="CT25" s="132">
        <v>5</v>
      </c>
      <c r="CU25" s="132">
        <v>13</v>
      </c>
      <c r="CV25" s="132">
        <v>-8</v>
      </c>
      <c r="CW25" s="132">
        <v>0</v>
      </c>
      <c r="CX25" s="132">
        <v>-22</v>
      </c>
      <c r="CY25" s="132">
        <v>-14</v>
      </c>
      <c r="CZ25" s="132">
        <v>-41</v>
      </c>
      <c r="DA25" s="79">
        <v>-33</v>
      </c>
      <c r="DB25" s="79">
        <v>-63</v>
      </c>
      <c r="DC25" s="79">
        <v>-113</v>
      </c>
      <c r="DD25" s="161" t="s">
        <v>161</v>
      </c>
      <c r="DE25" s="162" t="s">
        <v>161</v>
      </c>
      <c r="DF25" s="161" t="s">
        <v>161</v>
      </c>
    </row>
    <row r="26" spans="2:110">
      <c r="B26" s="235"/>
      <c r="C26" s="142" t="s">
        <v>178</v>
      </c>
      <c r="D26" s="79" t="str">
        <f t="shared" si="4"/>
        <v>288/172</v>
      </c>
      <c r="E26" s="79" t="str">
        <f t="shared" si="4"/>
        <v>200/122</v>
      </c>
      <c r="F26" s="79" t="str">
        <f t="shared" si="4"/>
        <v>238/122</v>
      </c>
      <c r="G26" s="79" t="str">
        <f t="shared" si="4"/>
        <v>127/72</v>
      </c>
      <c r="H26" s="79" t="str">
        <f t="shared" si="4"/>
        <v>150/72</v>
      </c>
      <c r="I26" s="79" t="str">
        <f t="shared" si="4"/>
        <v>188/72</v>
      </c>
      <c r="J26" s="79" t="str">
        <f t="shared" si="4"/>
        <v>83/42</v>
      </c>
      <c r="K26" s="79" t="str">
        <f t="shared" si="4"/>
        <v>97/42</v>
      </c>
      <c r="L26" s="79" t="str">
        <f t="shared" si="4"/>
        <v>120/42</v>
      </c>
      <c r="M26" s="79" t="str">
        <f t="shared" si="4"/>
        <v>49/17</v>
      </c>
      <c r="N26" s="79" t="str">
        <f t="shared" si="4"/>
        <v>58/17</v>
      </c>
      <c r="O26" s="79" t="str">
        <f t="shared" si="4"/>
        <v>72/17</v>
      </c>
      <c r="P26" s="79" t="str">
        <f t="shared" si="4"/>
        <v>33/1</v>
      </c>
      <c r="Q26" s="79" t="str">
        <f t="shared" si="4"/>
        <v>42/1</v>
      </c>
      <c r="R26" s="79" t="str">
        <f t="shared" si="4"/>
        <v>24/-8</v>
      </c>
      <c r="S26" s="79" t="str">
        <f t="shared" si="4"/>
        <v>33/-8</v>
      </c>
      <c r="T26" s="79" t="str">
        <f t="shared" si="5"/>
        <v>47/-8</v>
      </c>
      <c r="U26" s="79" t="str">
        <f t="shared" si="5"/>
        <v>70/-8</v>
      </c>
      <c r="V26" s="79" t="str">
        <f t="shared" si="5"/>
        <v>108/-8</v>
      </c>
      <c r="W26" s="79" t="str">
        <f t="shared" si="5"/>
        <v>16/-16</v>
      </c>
      <c r="X26" s="79" t="str">
        <f t="shared" si="5"/>
        <v>20/-20</v>
      </c>
      <c r="Y26" s="79" t="str">
        <f t="shared" si="5"/>
        <v>11/-21</v>
      </c>
      <c r="Z26" s="79" t="str">
        <f t="shared" si="5"/>
        <v>15/-26</v>
      </c>
      <c r="AA26" s="79" t="str">
        <f t="shared" si="2"/>
        <v>4/-28</v>
      </c>
      <c r="AB26" s="79" t="str">
        <f t="shared" si="2"/>
        <v>8/-33</v>
      </c>
      <c r="AC26" s="79" t="str">
        <f t="shared" si="2"/>
        <v>-4/-36</v>
      </c>
      <c r="AD26" s="79" t="str">
        <f t="shared" si="2"/>
        <v>0/-41</v>
      </c>
      <c r="AE26" s="79" t="str">
        <f t="shared" si="2"/>
        <v>-13/-45</v>
      </c>
      <c r="AF26" s="79" t="str">
        <f t="shared" si="2"/>
        <v>-9/-50</v>
      </c>
      <c r="AG26" s="79" t="str">
        <f t="shared" si="2"/>
        <v>-17/-58</v>
      </c>
      <c r="AH26" s="79" t="str">
        <f t="shared" si="2"/>
        <v>-26/-67</v>
      </c>
      <c r="AI26" s="79" t="str">
        <f t="shared" si="2"/>
        <v>-37/-78</v>
      </c>
      <c r="AJ26" s="79" t="str">
        <f t="shared" si="2"/>
        <v>-53/-94</v>
      </c>
      <c r="AK26" s="79" t="e">
        <f t="shared" si="2"/>
        <v>#VALUE!</v>
      </c>
      <c r="AL26" s="159"/>
      <c r="AM26" s="159"/>
      <c r="AO26" s="135">
        <v>225</v>
      </c>
      <c r="AP26" s="135">
        <v>250</v>
      </c>
      <c r="AQ26">
        <v>-420</v>
      </c>
      <c r="AR26">
        <v>-280</v>
      </c>
      <c r="AS26">
        <v>-170</v>
      </c>
      <c r="AT26">
        <v>-170</v>
      </c>
      <c r="AU26">
        <v>-100</v>
      </c>
      <c r="AV26">
        <v>-100</v>
      </c>
      <c r="AW26" s="141">
        <v>-100</v>
      </c>
      <c r="AX26" s="141">
        <v>-50</v>
      </c>
      <c r="AY26" s="141">
        <v>-50</v>
      </c>
      <c r="AZ26" s="141">
        <v>-50</v>
      </c>
      <c r="BA26" s="141">
        <v>-15</v>
      </c>
      <c r="BB26" s="141">
        <v>-15</v>
      </c>
      <c r="BC26" s="141">
        <v>0</v>
      </c>
      <c r="BD26" s="141">
        <v>0</v>
      </c>
      <c r="BE26" s="141">
        <v>0</v>
      </c>
      <c r="BF26" s="141">
        <v>0</v>
      </c>
      <c r="BG26" s="141">
        <v>0</v>
      </c>
      <c r="BH26" s="141">
        <v>10</v>
      </c>
      <c r="BI26" s="141">
        <v>14.5</v>
      </c>
      <c r="BJ26" s="141">
        <v>23</v>
      </c>
      <c r="BK26" s="141">
        <v>24</v>
      </c>
      <c r="BL26" s="79">
        <v>33</v>
      </c>
      <c r="BM26" s="79">
        <v>37</v>
      </c>
      <c r="BN26" s="79">
        <v>46</v>
      </c>
      <c r="BO26" s="79">
        <v>60</v>
      </c>
      <c r="BP26" s="79">
        <v>79</v>
      </c>
      <c r="BQ26" s="79">
        <v>113</v>
      </c>
      <c r="BR26" s="79">
        <v>169</v>
      </c>
      <c r="BS26" s="162" t="s">
        <v>112</v>
      </c>
      <c r="BT26" s="162" t="s">
        <v>112</v>
      </c>
      <c r="BU26" s="162" t="s">
        <v>112</v>
      </c>
      <c r="BW26" s="135">
        <v>225</v>
      </c>
      <c r="BX26" s="135">
        <v>250</v>
      </c>
      <c r="BY26" s="79">
        <v>605</v>
      </c>
      <c r="BZ26" s="79">
        <v>395</v>
      </c>
      <c r="CA26" s="79">
        <v>465</v>
      </c>
      <c r="CB26" s="79">
        <v>242</v>
      </c>
      <c r="CC26" s="79">
        <v>285</v>
      </c>
      <c r="CD26" s="79">
        <v>355</v>
      </c>
      <c r="CE26" s="79">
        <v>146</v>
      </c>
      <c r="CF26" s="79">
        <v>172</v>
      </c>
      <c r="CG26" s="79">
        <v>215</v>
      </c>
      <c r="CH26" s="79">
        <v>79</v>
      </c>
      <c r="CI26" s="79">
        <v>96</v>
      </c>
      <c r="CJ26" s="132">
        <v>122</v>
      </c>
      <c r="CK26" s="132">
        <v>44</v>
      </c>
      <c r="CL26" s="132">
        <v>61</v>
      </c>
      <c r="CM26" s="132">
        <v>29</v>
      </c>
      <c r="CN26" s="132">
        <v>46</v>
      </c>
      <c r="CO26" s="132">
        <v>72</v>
      </c>
      <c r="CP26" s="132">
        <v>115</v>
      </c>
      <c r="CQ26" s="132">
        <v>185</v>
      </c>
      <c r="CR26" s="132">
        <v>14.5</v>
      </c>
      <c r="CS26" s="132">
        <v>23</v>
      </c>
      <c r="CT26" s="132">
        <v>5</v>
      </c>
      <c r="CU26" s="132">
        <v>13</v>
      </c>
      <c r="CV26" s="132">
        <v>-8</v>
      </c>
      <c r="CW26" s="132">
        <v>0</v>
      </c>
      <c r="CX26" s="132">
        <v>-22</v>
      </c>
      <c r="CY26" s="132">
        <v>-14</v>
      </c>
      <c r="CZ26" s="132">
        <v>-41</v>
      </c>
      <c r="DA26" s="79">
        <v>-33</v>
      </c>
      <c r="DB26" s="79">
        <v>-67</v>
      </c>
      <c r="DC26" s="79">
        <v>-123</v>
      </c>
      <c r="DD26" s="161" t="s">
        <v>161</v>
      </c>
      <c r="DE26" s="162" t="s">
        <v>161</v>
      </c>
      <c r="DF26" s="161" t="s">
        <v>161</v>
      </c>
    </row>
    <row r="27" spans="2:110">
      <c r="B27" s="235"/>
      <c r="C27" s="142" t="s">
        <v>179</v>
      </c>
      <c r="D27" s="79" t="str">
        <f t="shared" si="4"/>
        <v>292/168</v>
      </c>
      <c r="E27" s="79" t="str">
        <f t="shared" si="4"/>
        <v>204/118</v>
      </c>
      <c r="F27" s="79" t="str">
        <f t="shared" si="4"/>
        <v>242/118</v>
      </c>
      <c r="G27" s="79" t="str">
        <f t="shared" si="4"/>
        <v>131/68</v>
      </c>
      <c r="H27" s="79" t="str">
        <f t="shared" si="4"/>
        <v>154/68</v>
      </c>
      <c r="I27" s="79" t="str">
        <f t="shared" si="4"/>
        <v>192/68</v>
      </c>
      <c r="J27" s="79" t="str">
        <f t="shared" si="4"/>
        <v>87/38</v>
      </c>
      <c r="K27" s="79" t="str">
        <f t="shared" si="4"/>
        <v>101/38</v>
      </c>
      <c r="L27" s="79" t="str">
        <f t="shared" si="4"/>
        <v>124/38</v>
      </c>
      <c r="M27" s="79" t="str">
        <f t="shared" si="4"/>
        <v>53/13</v>
      </c>
      <c r="N27" s="79" t="str">
        <f t="shared" si="4"/>
        <v>62/13</v>
      </c>
      <c r="O27" s="79" t="str">
        <f t="shared" si="4"/>
        <v>76/13</v>
      </c>
      <c r="P27" s="79" t="str">
        <f t="shared" si="4"/>
        <v>37/-3</v>
      </c>
      <c r="Q27" s="79" t="str">
        <f t="shared" si="4"/>
        <v>46/-3</v>
      </c>
      <c r="R27" s="79" t="str">
        <f t="shared" si="4"/>
        <v>28/-12</v>
      </c>
      <c r="S27" s="79" t="str">
        <f t="shared" si="4"/>
        <v>37/-12</v>
      </c>
      <c r="T27" s="79" t="str">
        <f t="shared" si="5"/>
        <v>51/-12</v>
      </c>
      <c r="U27" s="79" t="str">
        <f t="shared" si="5"/>
        <v>74/-12</v>
      </c>
      <c r="V27" s="79" t="str">
        <f t="shared" si="5"/>
        <v>112/-12</v>
      </c>
      <c r="W27" s="79" t="str">
        <f t="shared" si="5"/>
        <v>20/-20</v>
      </c>
      <c r="X27" s="79" t="str">
        <f t="shared" si="5"/>
        <v>24/-24</v>
      </c>
      <c r="Y27" s="79" t="str">
        <f t="shared" si="5"/>
        <v>15/-25</v>
      </c>
      <c r="Z27" s="79" t="str">
        <f t="shared" si="5"/>
        <v>19/-30</v>
      </c>
      <c r="AA27" s="79" t="str">
        <f t="shared" si="2"/>
        <v>8/-32</v>
      </c>
      <c r="AB27" s="79" t="str">
        <f t="shared" si="2"/>
        <v>12/-37</v>
      </c>
      <c r="AC27" s="79" t="str">
        <f t="shared" si="2"/>
        <v>0/-40</v>
      </c>
      <c r="AD27" s="79" t="str">
        <f t="shared" si="2"/>
        <v>4/-45</v>
      </c>
      <c r="AE27" s="79" t="str">
        <f t="shared" si="2"/>
        <v>-9/-49</v>
      </c>
      <c r="AF27" s="79" t="str">
        <f t="shared" si="2"/>
        <v>-5/-54</v>
      </c>
      <c r="AG27" s="79" t="str">
        <f t="shared" si="2"/>
        <v>-13/-62</v>
      </c>
      <c r="AH27" s="79" t="str">
        <f t="shared" si="2"/>
        <v>-22/-71</v>
      </c>
      <c r="AI27" s="79" t="str">
        <f t="shared" si="2"/>
        <v>-33/-82</v>
      </c>
      <c r="AJ27" s="79" t="str">
        <f t="shared" si="2"/>
        <v>-49/-98</v>
      </c>
      <c r="AK27" s="79" t="e">
        <f t="shared" si="2"/>
        <v>#VALUE!</v>
      </c>
      <c r="AL27" s="159"/>
      <c r="AM27" s="159"/>
      <c r="AO27" s="135">
        <v>250</v>
      </c>
      <c r="AP27" s="135">
        <v>280</v>
      </c>
      <c r="AQ27">
        <v>-480</v>
      </c>
      <c r="AR27">
        <v>-300</v>
      </c>
      <c r="AS27">
        <v>-190</v>
      </c>
      <c r="AT27">
        <v>-190</v>
      </c>
      <c r="AU27">
        <v>-110</v>
      </c>
      <c r="AV27">
        <v>-110</v>
      </c>
      <c r="AW27" s="141">
        <v>-110</v>
      </c>
      <c r="AX27" s="141">
        <v>-56</v>
      </c>
      <c r="AY27" s="141">
        <v>-56</v>
      </c>
      <c r="AZ27" s="141">
        <v>-56</v>
      </c>
      <c r="BA27" s="141">
        <v>-17</v>
      </c>
      <c r="BB27" s="141">
        <v>-17</v>
      </c>
      <c r="BC27" s="141">
        <v>0</v>
      </c>
      <c r="BD27" s="141">
        <v>0</v>
      </c>
      <c r="BE27" s="141">
        <v>0</v>
      </c>
      <c r="BF27" s="141">
        <v>0</v>
      </c>
      <c r="BG27" s="141">
        <v>0</v>
      </c>
      <c r="BH27" s="141">
        <v>11.5</v>
      </c>
      <c r="BI27" s="141">
        <v>16</v>
      </c>
      <c r="BJ27" s="141">
        <v>26</v>
      </c>
      <c r="BK27" s="141">
        <v>27</v>
      </c>
      <c r="BL27" s="79">
        <v>36</v>
      </c>
      <c r="BM27" s="79">
        <v>43</v>
      </c>
      <c r="BN27" s="79">
        <v>52</v>
      </c>
      <c r="BO27" s="79">
        <v>66</v>
      </c>
      <c r="BP27" s="79">
        <v>88</v>
      </c>
      <c r="BQ27" s="79">
        <v>126</v>
      </c>
      <c r="BR27" s="162" t="s">
        <v>112</v>
      </c>
      <c r="BS27" s="162" t="s">
        <v>112</v>
      </c>
      <c r="BT27" s="162" t="s">
        <v>112</v>
      </c>
      <c r="BU27" s="162" t="s">
        <v>112</v>
      </c>
      <c r="BW27" s="135">
        <v>250</v>
      </c>
      <c r="BX27" s="135">
        <v>280</v>
      </c>
      <c r="BY27" s="79">
        <v>690</v>
      </c>
      <c r="BZ27" s="79">
        <v>430</v>
      </c>
      <c r="CA27" s="79">
        <v>510</v>
      </c>
      <c r="CB27" s="79">
        <v>271</v>
      </c>
      <c r="CC27" s="79">
        <v>320</v>
      </c>
      <c r="CD27" s="79">
        <v>400</v>
      </c>
      <c r="CE27" s="79">
        <v>162</v>
      </c>
      <c r="CF27" s="79">
        <v>191</v>
      </c>
      <c r="CG27" s="79">
        <v>240</v>
      </c>
      <c r="CH27" s="79">
        <v>88</v>
      </c>
      <c r="CI27" s="79">
        <v>108</v>
      </c>
      <c r="CJ27" s="132">
        <v>137</v>
      </c>
      <c r="CK27" s="132">
        <v>49</v>
      </c>
      <c r="CL27" s="132">
        <v>69</v>
      </c>
      <c r="CM27" s="132">
        <v>32</v>
      </c>
      <c r="CN27" s="132">
        <v>52</v>
      </c>
      <c r="CO27" s="132">
        <v>81</v>
      </c>
      <c r="CP27" s="132">
        <v>130</v>
      </c>
      <c r="CQ27" s="132">
        <v>210</v>
      </c>
      <c r="CR27" s="132">
        <v>16</v>
      </c>
      <c r="CS27" s="132">
        <v>26</v>
      </c>
      <c r="CT27" s="132">
        <v>5</v>
      </c>
      <c r="CU27" s="132">
        <v>16</v>
      </c>
      <c r="CV27" s="132">
        <v>-9</v>
      </c>
      <c r="CW27" s="132">
        <v>0</v>
      </c>
      <c r="CX27" s="132">
        <v>-25</v>
      </c>
      <c r="CY27" s="132">
        <v>-14</v>
      </c>
      <c r="CZ27" s="132">
        <v>-47</v>
      </c>
      <c r="DA27" s="79">
        <v>-36</v>
      </c>
      <c r="DB27" s="79">
        <v>-74</v>
      </c>
      <c r="DC27" s="161" t="s">
        <v>161</v>
      </c>
      <c r="DD27" s="161" t="s">
        <v>161</v>
      </c>
      <c r="DE27" s="162" t="s">
        <v>161</v>
      </c>
      <c r="DF27" s="161" t="s">
        <v>161</v>
      </c>
    </row>
    <row r="28" spans="2:110">
      <c r="B28" s="235"/>
      <c r="C28" s="142" t="s">
        <v>180</v>
      </c>
      <c r="D28" s="79" t="str">
        <f t="shared" si="4"/>
        <v>278/167</v>
      </c>
      <c r="E28" s="79" t="str">
        <f t="shared" si="4"/>
        <v>190/117</v>
      </c>
      <c r="F28" s="79" t="str">
        <f t="shared" si="4"/>
        <v>228/117</v>
      </c>
      <c r="G28" s="79" t="str">
        <f t="shared" si="4"/>
        <v>117/67</v>
      </c>
      <c r="H28" s="79" t="str">
        <f t="shared" si="4"/>
        <v>140/67</v>
      </c>
      <c r="I28" s="79" t="str">
        <f t="shared" si="4"/>
        <v>178/67</v>
      </c>
      <c r="J28" s="79" t="str">
        <f t="shared" si="4"/>
        <v>73/37</v>
      </c>
      <c r="K28" s="79" t="str">
        <f t="shared" si="4"/>
        <v>87/37</v>
      </c>
      <c r="L28" s="79" t="str">
        <f t="shared" si="4"/>
        <v>110/37</v>
      </c>
      <c r="M28" s="79" t="str">
        <f t="shared" si="4"/>
        <v>39/12</v>
      </c>
      <c r="N28" s="79" t="str">
        <f t="shared" si="4"/>
        <v>48/12</v>
      </c>
      <c r="O28" s="79" t="str">
        <f t="shared" si="4"/>
        <v>62/12</v>
      </c>
      <c r="P28" s="79" t="str">
        <f t="shared" si="4"/>
        <v>23/-4</v>
      </c>
      <c r="Q28" s="79" t="str">
        <f t="shared" si="4"/>
        <v>32/-4</v>
      </c>
      <c r="R28" s="79" t="str">
        <f t="shared" si="4"/>
        <v>14/-13</v>
      </c>
      <c r="S28" s="79" t="str">
        <f t="shared" si="4"/>
        <v>23/-13</v>
      </c>
      <c r="T28" s="79" t="str">
        <f t="shared" si="5"/>
        <v>37/-13</v>
      </c>
      <c r="U28" s="79" t="str">
        <f t="shared" si="5"/>
        <v>60/-13</v>
      </c>
      <c r="V28" s="79" t="str">
        <f t="shared" si="5"/>
        <v>98/-13</v>
      </c>
      <c r="W28" s="79" t="str">
        <f t="shared" si="5"/>
        <v>6/-21</v>
      </c>
      <c r="X28" s="79" t="str">
        <f t="shared" si="5"/>
        <v>10/-25</v>
      </c>
      <c r="Y28" s="79" t="str">
        <f t="shared" si="5"/>
        <v>1/-26</v>
      </c>
      <c r="Z28" s="79" t="str">
        <f t="shared" si="5"/>
        <v>5/-31</v>
      </c>
      <c r="AA28" s="79" t="str">
        <f t="shared" si="2"/>
        <v>-6/-33</v>
      </c>
      <c r="AB28" s="79" t="str">
        <f t="shared" si="2"/>
        <v>-2/-38</v>
      </c>
      <c r="AC28" s="79" t="str">
        <f t="shared" si="2"/>
        <v>-14/-41</v>
      </c>
      <c r="AD28" s="79" t="str">
        <f t="shared" si="2"/>
        <v>-10/-46</v>
      </c>
      <c r="AE28" s="79" t="str">
        <f t="shared" si="2"/>
        <v>-23/-50</v>
      </c>
      <c r="AF28" s="79" t="str">
        <f t="shared" si="2"/>
        <v>-19/-55</v>
      </c>
      <c r="AG28" s="79" t="str">
        <f t="shared" si="2"/>
        <v>-27/-63</v>
      </c>
      <c r="AH28" s="79" t="str">
        <f t="shared" si="2"/>
        <v>-36/-72</v>
      </c>
      <c r="AI28" s="79" t="str">
        <f t="shared" si="2"/>
        <v>-47/-83</v>
      </c>
      <c r="AJ28" s="79" t="str">
        <f t="shared" si="2"/>
        <v>-63/-99</v>
      </c>
      <c r="AK28" s="79" t="e">
        <f t="shared" si="2"/>
        <v>#VALUE!</v>
      </c>
      <c r="AL28" s="159"/>
      <c r="AM28" s="159"/>
      <c r="AO28" s="135">
        <v>280</v>
      </c>
      <c r="AP28" s="135">
        <v>315</v>
      </c>
      <c r="AQ28">
        <v>-540</v>
      </c>
      <c r="AR28">
        <v>-330</v>
      </c>
      <c r="AS28">
        <v>-190</v>
      </c>
      <c r="AT28">
        <v>-190</v>
      </c>
      <c r="AU28">
        <v>-110</v>
      </c>
      <c r="AV28">
        <v>-110</v>
      </c>
      <c r="AW28" s="141">
        <v>-110</v>
      </c>
      <c r="AX28" s="141">
        <v>-56</v>
      </c>
      <c r="AY28" s="141">
        <v>-56</v>
      </c>
      <c r="AZ28" s="141">
        <v>-56</v>
      </c>
      <c r="BA28" s="141">
        <v>-17</v>
      </c>
      <c r="BB28" s="141">
        <v>-17</v>
      </c>
      <c r="BC28" s="141">
        <v>0</v>
      </c>
      <c r="BD28" s="141">
        <v>0</v>
      </c>
      <c r="BE28" s="141">
        <v>0</v>
      </c>
      <c r="BF28" s="141">
        <v>0</v>
      </c>
      <c r="BG28" s="141">
        <v>0</v>
      </c>
      <c r="BH28" s="141">
        <v>11.5</v>
      </c>
      <c r="BI28" s="141">
        <v>16</v>
      </c>
      <c r="BJ28" s="141">
        <v>26</v>
      </c>
      <c r="BK28" s="141">
        <v>27</v>
      </c>
      <c r="BL28" s="79">
        <v>36</v>
      </c>
      <c r="BM28" s="79">
        <v>43</v>
      </c>
      <c r="BN28" s="79">
        <v>52</v>
      </c>
      <c r="BO28" s="79">
        <v>66</v>
      </c>
      <c r="BP28" s="79">
        <v>88</v>
      </c>
      <c r="BQ28" s="79">
        <v>130</v>
      </c>
      <c r="BR28" s="162" t="s">
        <v>112</v>
      </c>
      <c r="BS28" s="162" t="s">
        <v>112</v>
      </c>
      <c r="BT28" s="162" t="s">
        <v>112</v>
      </c>
      <c r="BU28" s="162" t="s">
        <v>112</v>
      </c>
      <c r="BW28" s="135">
        <v>280</v>
      </c>
      <c r="BX28" s="135">
        <v>315</v>
      </c>
      <c r="BY28" s="79">
        <v>750</v>
      </c>
      <c r="BZ28" s="79">
        <v>460</v>
      </c>
      <c r="CA28" s="79">
        <v>540</v>
      </c>
      <c r="CB28" s="79">
        <v>271</v>
      </c>
      <c r="CC28" s="79">
        <v>320</v>
      </c>
      <c r="CD28" s="79">
        <v>400</v>
      </c>
      <c r="CE28" s="79">
        <v>162</v>
      </c>
      <c r="CF28" s="79">
        <v>191</v>
      </c>
      <c r="CG28" s="79">
        <v>240</v>
      </c>
      <c r="CH28" s="79">
        <v>88</v>
      </c>
      <c r="CI28" s="79">
        <v>108</v>
      </c>
      <c r="CJ28" s="132">
        <v>137</v>
      </c>
      <c r="CK28" s="132">
        <v>49</v>
      </c>
      <c r="CL28" s="132">
        <v>69</v>
      </c>
      <c r="CM28" s="132">
        <v>32</v>
      </c>
      <c r="CN28" s="132">
        <v>52</v>
      </c>
      <c r="CO28" s="132">
        <v>81</v>
      </c>
      <c r="CP28" s="132">
        <v>130</v>
      </c>
      <c r="CQ28" s="132">
        <v>210</v>
      </c>
      <c r="CR28" s="132">
        <v>16</v>
      </c>
      <c r="CS28" s="132">
        <v>26</v>
      </c>
      <c r="CT28" s="132">
        <v>5</v>
      </c>
      <c r="CU28" s="132">
        <v>16</v>
      </c>
      <c r="CV28" s="132">
        <v>-9</v>
      </c>
      <c r="CW28" s="132">
        <v>0</v>
      </c>
      <c r="CX28" s="132">
        <v>-25</v>
      </c>
      <c r="CY28" s="132">
        <v>-14</v>
      </c>
      <c r="CZ28" s="132">
        <v>-47</v>
      </c>
      <c r="DA28" s="79">
        <v>-36</v>
      </c>
      <c r="DB28" s="79">
        <v>-78</v>
      </c>
      <c r="DC28" s="161" t="s">
        <v>161</v>
      </c>
      <c r="DD28" s="161" t="s">
        <v>161</v>
      </c>
      <c r="DE28" s="162" t="s">
        <v>161</v>
      </c>
      <c r="DF28" s="161" t="s">
        <v>161</v>
      </c>
    </row>
    <row r="29" spans="2:110">
      <c r="B29" s="235"/>
      <c r="C29" s="142" t="s">
        <v>181</v>
      </c>
      <c r="D29" s="79" t="str">
        <f t="shared" si="4"/>
        <v>278/162</v>
      </c>
      <c r="E29" s="79" t="str">
        <f t="shared" si="4"/>
        <v>190/112</v>
      </c>
      <c r="F29" s="79" t="str">
        <f t="shared" si="4"/>
        <v>228/112</v>
      </c>
      <c r="G29" s="79" t="str">
        <f t="shared" si="4"/>
        <v>117/62</v>
      </c>
      <c r="H29" s="79" t="str">
        <f t="shared" si="4"/>
        <v>140/62</v>
      </c>
      <c r="I29" s="79" t="str">
        <f t="shared" si="4"/>
        <v>178/62</v>
      </c>
      <c r="J29" s="79" t="str">
        <f t="shared" si="4"/>
        <v>73/32</v>
      </c>
      <c r="K29" s="79" t="str">
        <f t="shared" si="4"/>
        <v>87/32</v>
      </c>
      <c r="L29" s="79" t="str">
        <f t="shared" si="4"/>
        <v>110/32</v>
      </c>
      <c r="M29" s="79" t="str">
        <f t="shared" si="4"/>
        <v>39/7</v>
      </c>
      <c r="N29" s="79" t="str">
        <f t="shared" si="4"/>
        <v>48/7</v>
      </c>
      <c r="O29" s="79" t="str">
        <f t="shared" si="4"/>
        <v>62/7</v>
      </c>
      <c r="P29" s="79" t="str">
        <f t="shared" si="4"/>
        <v>23/-9</v>
      </c>
      <c r="Q29" s="79" t="str">
        <f t="shared" si="4"/>
        <v>32/-9</v>
      </c>
      <c r="R29" s="79" t="str">
        <f t="shared" si="4"/>
        <v>14/-18</v>
      </c>
      <c r="S29" s="79" t="str">
        <f t="shared" si="4"/>
        <v>23/-18</v>
      </c>
      <c r="T29" s="79" t="str">
        <f t="shared" si="5"/>
        <v>37/-18</v>
      </c>
      <c r="U29" s="79" t="str">
        <f t="shared" si="5"/>
        <v>60/-18</v>
      </c>
      <c r="V29" s="79" t="str">
        <f t="shared" si="5"/>
        <v>98/-18</v>
      </c>
      <c r="W29" s="79" t="str">
        <f t="shared" si="5"/>
        <v>6/-26</v>
      </c>
      <c r="X29" s="79" t="str">
        <f t="shared" si="5"/>
        <v>10/-30</v>
      </c>
      <c r="Y29" s="79" t="str">
        <f t="shared" si="5"/>
        <v>1/-31</v>
      </c>
      <c r="Z29" s="79" t="str">
        <f t="shared" si="5"/>
        <v>5/-36</v>
      </c>
      <c r="AA29" s="79" t="str">
        <f t="shared" si="2"/>
        <v>-6/-38</v>
      </c>
      <c r="AB29" s="79" t="str">
        <f t="shared" si="2"/>
        <v>-2/-43</v>
      </c>
      <c r="AC29" s="79" t="str">
        <f t="shared" si="2"/>
        <v>-14/-46</v>
      </c>
      <c r="AD29" s="79" t="str">
        <f t="shared" si="2"/>
        <v>-10/-51</v>
      </c>
      <c r="AE29" s="79" t="str">
        <f t="shared" si="2"/>
        <v>-23/-55</v>
      </c>
      <c r="AF29" s="79" t="str">
        <f t="shared" si="2"/>
        <v>-19/-60</v>
      </c>
      <c r="AG29" s="79" t="str">
        <f t="shared" si="2"/>
        <v>-27/-68</v>
      </c>
      <c r="AH29" s="79" t="str">
        <f t="shared" si="2"/>
        <v>-36/-77</v>
      </c>
      <c r="AI29" s="79" t="str">
        <f t="shared" si="2"/>
        <v>-47/-88</v>
      </c>
      <c r="AJ29" s="79" t="str">
        <f t="shared" si="2"/>
        <v>-63/-104</v>
      </c>
      <c r="AK29" s="79" t="e">
        <f t="shared" si="2"/>
        <v>#VALUE!</v>
      </c>
      <c r="AL29" s="159"/>
      <c r="AM29" s="159"/>
      <c r="AO29" s="135">
        <v>315</v>
      </c>
      <c r="AP29" s="135">
        <v>355</v>
      </c>
      <c r="AQ29">
        <v>-600</v>
      </c>
      <c r="AR29">
        <v>-360</v>
      </c>
      <c r="AS29">
        <v>-210</v>
      </c>
      <c r="AT29">
        <v>-210</v>
      </c>
      <c r="AU29">
        <v>-125</v>
      </c>
      <c r="AV29">
        <v>-125</v>
      </c>
      <c r="AW29" s="141">
        <v>-125</v>
      </c>
      <c r="AX29" s="141">
        <v>-62</v>
      </c>
      <c r="AY29" s="141">
        <v>-62</v>
      </c>
      <c r="AZ29" s="141">
        <v>-62</v>
      </c>
      <c r="BA29" s="141">
        <v>-18</v>
      </c>
      <c r="BB29" s="141">
        <v>-18</v>
      </c>
      <c r="BC29" s="141">
        <v>0</v>
      </c>
      <c r="BD29" s="141">
        <v>0</v>
      </c>
      <c r="BE29" s="141">
        <v>0</v>
      </c>
      <c r="BF29" s="141">
        <v>0</v>
      </c>
      <c r="BG29" s="141">
        <v>0</v>
      </c>
      <c r="BH29" s="141">
        <v>12.5</v>
      </c>
      <c r="BI29" s="141">
        <v>18</v>
      </c>
      <c r="BJ29" s="141">
        <v>28</v>
      </c>
      <c r="BK29" s="141">
        <v>29</v>
      </c>
      <c r="BL29" s="79">
        <v>40</v>
      </c>
      <c r="BM29" s="79">
        <v>46</v>
      </c>
      <c r="BN29" s="79">
        <v>57</v>
      </c>
      <c r="BO29" s="79">
        <v>73</v>
      </c>
      <c r="BP29" s="79">
        <v>98</v>
      </c>
      <c r="BQ29" s="79">
        <v>144</v>
      </c>
      <c r="BR29" s="162" t="s">
        <v>112</v>
      </c>
      <c r="BS29" s="162" t="s">
        <v>112</v>
      </c>
      <c r="BT29" s="162" t="s">
        <v>112</v>
      </c>
      <c r="BU29" s="162" t="s">
        <v>112</v>
      </c>
      <c r="BW29" s="135">
        <v>315</v>
      </c>
      <c r="BX29" s="135">
        <v>355</v>
      </c>
      <c r="BY29" s="79">
        <v>830</v>
      </c>
      <c r="BZ29" s="79">
        <v>500</v>
      </c>
      <c r="CA29" s="79">
        <v>590</v>
      </c>
      <c r="CB29" s="79">
        <v>299</v>
      </c>
      <c r="CC29" s="79">
        <v>350</v>
      </c>
      <c r="CD29" s="79">
        <v>440</v>
      </c>
      <c r="CE29" s="79">
        <v>182</v>
      </c>
      <c r="CF29" s="79">
        <v>214</v>
      </c>
      <c r="CG29" s="79">
        <v>265</v>
      </c>
      <c r="CH29" s="79">
        <v>98</v>
      </c>
      <c r="CI29" s="79">
        <v>119</v>
      </c>
      <c r="CJ29" s="132">
        <v>151</v>
      </c>
      <c r="CK29" s="132">
        <v>54</v>
      </c>
      <c r="CL29" s="132">
        <v>75</v>
      </c>
      <c r="CM29" s="132">
        <v>36</v>
      </c>
      <c r="CN29" s="132">
        <v>57</v>
      </c>
      <c r="CO29" s="132">
        <v>89</v>
      </c>
      <c r="CP29" s="132">
        <v>140</v>
      </c>
      <c r="CQ29" s="132">
        <v>230</v>
      </c>
      <c r="CR29" s="132">
        <v>18</v>
      </c>
      <c r="CS29" s="132">
        <v>28</v>
      </c>
      <c r="CT29" s="132">
        <v>7</v>
      </c>
      <c r="CU29" s="132">
        <v>17</v>
      </c>
      <c r="CV29" s="132">
        <v>-10</v>
      </c>
      <c r="CW29" s="132">
        <v>0</v>
      </c>
      <c r="CX29" s="132">
        <v>-26</v>
      </c>
      <c r="CY29" s="132">
        <v>-16</v>
      </c>
      <c r="CZ29" s="132">
        <v>-51</v>
      </c>
      <c r="DA29" s="79">
        <v>-41</v>
      </c>
      <c r="DB29" s="79">
        <v>-87</v>
      </c>
      <c r="DC29" s="161" t="s">
        <v>161</v>
      </c>
      <c r="DD29" s="161" t="s">
        <v>161</v>
      </c>
      <c r="DE29" s="162" t="s">
        <v>161</v>
      </c>
      <c r="DF29" s="161" t="s">
        <v>161</v>
      </c>
    </row>
    <row r="30" spans="2:110">
      <c r="B30" s="235"/>
      <c r="C30" s="142" t="s">
        <v>182</v>
      </c>
      <c r="D30" s="79" t="str">
        <f t="shared" si="4"/>
        <v>271/160</v>
      </c>
      <c r="E30" s="79" t="str">
        <f t="shared" si="4"/>
        <v>183/110</v>
      </c>
      <c r="F30" s="79" t="str">
        <f t="shared" si="4"/>
        <v>221/110</v>
      </c>
      <c r="G30" s="79" t="str">
        <f t="shared" si="4"/>
        <v>110/60</v>
      </c>
      <c r="H30" s="79" t="str">
        <f t="shared" si="4"/>
        <v>133/60</v>
      </c>
      <c r="I30" s="79" t="str">
        <f t="shared" si="4"/>
        <v>171/60</v>
      </c>
      <c r="J30" s="79" t="str">
        <f t="shared" si="4"/>
        <v>66/30</v>
      </c>
      <c r="K30" s="79" t="str">
        <f t="shared" si="4"/>
        <v>80/30</v>
      </c>
      <c r="L30" s="79" t="str">
        <f t="shared" si="4"/>
        <v>103/30</v>
      </c>
      <c r="M30" s="79" t="str">
        <f t="shared" si="4"/>
        <v>32/5</v>
      </c>
      <c r="N30" s="79" t="str">
        <f t="shared" si="4"/>
        <v>41/5</v>
      </c>
      <c r="O30" s="79" t="str">
        <f t="shared" si="4"/>
        <v>55/5</v>
      </c>
      <c r="P30" s="79" t="str">
        <f t="shared" si="4"/>
        <v>16/-11</v>
      </c>
      <c r="Q30" s="79" t="str">
        <f t="shared" si="4"/>
        <v>25/-11</v>
      </c>
      <c r="R30" s="79" t="str">
        <f t="shared" si="4"/>
        <v>7/-20</v>
      </c>
      <c r="S30" s="79" t="str">
        <f t="shared" si="4"/>
        <v>16/-20</v>
      </c>
      <c r="T30" s="79" t="str">
        <f t="shared" si="5"/>
        <v>30/-20</v>
      </c>
      <c r="U30" s="79" t="str">
        <f t="shared" si="5"/>
        <v>53/-20</v>
      </c>
      <c r="V30" s="79" t="str">
        <f t="shared" si="5"/>
        <v>91/-20</v>
      </c>
      <c r="W30" s="79" t="str">
        <f t="shared" si="5"/>
        <v>-1/-28</v>
      </c>
      <c r="X30" s="79" t="str">
        <f t="shared" si="5"/>
        <v>3/-32</v>
      </c>
      <c r="Y30" s="79" t="str">
        <f t="shared" si="5"/>
        <v>-6/-33</v>
      </c>
      <c r="Z30" s="79" t="str">
        <f t="shared" si="5"/>
        <v>-2/-38</v>
      </c>
      <c r="AA30" s="79" t="str">
        <f t="shared" si="2"/>
        <v>-13/-40</v>
      </c>
      <c r="AB30" s="79" t="str">
        <f t="shared" si="2"/>
        <v>-9/-45</v>
      </c>
      <c r="AC30" s="79" t="str">
        <f t="shared" si="2"/>
        <v>-21/-48</v>
      </c>
      <c r="AD30" s="79" t="str">
        <f t="shared" si="2"/>
        <v>-17/-53</v>
      </c>
      <c r="AE30" s="79" t="str">
        <f t="shared" si="2"/>
        <v>-30/-57</v>
      </c>
      <c r="AF30" s="79" t="str">
        <f t="shared" si="2"/>
        <v>-26/-62</v>
      </c>
      <c r="AG30" s="79" t="str">
        <f t="shared" si="2"/>
        <v>-34/-70</v>
      </c>
      <c r="AH30" s="79" t="str">
        <f t="shared" si="2"/>
        <v>-43/-79</v>
      </c>
      <c r="AI30" s="79" t="str">
        <f t="shared" si="2"/>
        <v>-54/-90</v>
      </c>
      <c r="AJ30" s="79" t="str">
        <f t="shared" si="2"/>
        <v>-70/-106</v>
      </c>
      <c r="AK30" s="79" t="e">
        <f t="shared" si="2"/>
        <v>#VALUE!</v>
      </c>
      <c r="AL30" s="159"/>
      <c r="AM30" s="159"/>
      <c r="AO30" s="135">
        <v>355</v>
      </c>
      <c r="AP30" s="135">
        <v>400</v>
      </c>
      <c r="AQ30">
        <v>-680</v>
      </c>
      <c r="AR30">
        <v>-400</v>
      </c>
      <c r="AS30">
        <v>-210</v>
      </c>
      <c r="AT30">
        <v>-210</v>
      </c>
      <c r="AU30">
        <v>-125</v>
      </c>
      <c r="AV30">
        <v>-125</v>
      </c>
      <c r="AW30" s="141">
        <v>-125</v>
      </c>
      <c r="AX30" s="141">
        <v>-62</v>
      </c>
      <c r="AY30" s="141">
        <v>-62</v>
      </c>
      <c r="AZ30" s="141">
        <v>-62</v>
      </c>
      <c r="BA30" s="141">
        <v>-18</v>
      </c>
      <c r="BB30" s="141">
        <v>-18</v>
      </c>
      <c r="BC30" s="141">
        <v>0</v>
      </c>
      <c r="BD30" s="141">
        <v>0</v>
      </c>
      <c r="BE30" s="141">
        <v>0</v>
      </c>
      <c r="BF30" s="141">
        <v>0</v>
      </c>
      <c r="BG30" s="141">
        <v>0</v>
      </c>
      <c r="BH30" s="141">
        <v>12.5</v>
      </c>
      <c r="BI30" s="141">
        <v>18</v>
      </c>
      <c r="BJ30" s="141">
        <v>28</v>
      </c>
      <c r="BK30" s="141">
        <v>29</v>
      </c>
      <c r="BL30" s="79">
        <v>40</v>
      </c>
      <c r="BM30" s="79">
        <v>46</v>
      </c>
      <c r="BN30" s="79">
        <v>57</v>
      </c>
      <c r="BO30" s="79">
        <v>73</v>
      </c>
      <c r="BP30" s="79">
        <v>98</v>
      </c>
      <c r="BQ30" s="79">
        <v>150</v>
      </c>
      <c r="BR30" s="162" t="s">
        <v>112</v>
      </c>
      <c r="BS30" s="162" t="s">
        <v>112</v>
      </c>
      <c r="BT30" s="162" t="s">
        <v>112</v>
      </c>
      <c r="BU30" s="162" t="s">
        <v>112</v>
      </c>
      <c r="BW30" s="135">
        <v>355</v>
      </c>
      <c r="BX30" s="135">
        <v>400</v>
      </c>
      <c r="BY30" s="79">
        <v>910</v>
      </c>
      <c r="BZ30" s="79">
        <v>540</v>
      </c>
      <c r="CA30" s="79">
        <v>630</v>
      </c>
      <c r="CB30" s="79">
        <v>299</v>
      </c>
      <c r="CC30" s="79">
        <v>350</v>
      </c>
      <c r="CD30" s="79">
        <v>440</v>
      </c>
      <c r="CE30" s="79">
        <v>182</v>
      </c>
      <c r="CF30" s="79">
        <v>214</v>
      </c>
      <c r="CG30" s="79">
        <v>265</v>
      </c>
      <c r="CH30" s="79">
        <v>98</v>
      </c>
      <c r="CI30" s="79">
        <v>119</v>
      </c>
      <c r="CJ30" s="132">
        <v>151</v>
      </c>
      <c r="CK30" s="132">
        <v>54</v>
      </c>
      <c r="CL30" s="132">
        <v>75</v>
      </c>
      <c r="CM30" s="132">
        <v>36</v>
      </c>
      <c r="CN30" s="132">
        <v>57</v>
      </c>
      <c r="CO30" s="132">
        <v>89</v>
      </c>
      <c r="CP30" s="132">
        <v>140</v>
      </c>
      <c r="CQ30" s="132">
        <v>230</v>
      </c>
      <c r="CR30" s="132">
        <v>18</v>
      </c>
      <c r="CS30" s="132">
        <v>28</v>
      </c>
      <c r="CT30" s="132">
        <v>7</v>
      </c>
      <c r="CU30" s="132">
        <v>17</v>
      </c>
      <c r="CV30" s="132">
        <v>-10</v>
      </c>
      <c r="CW30" s="132">
        <v>0</v>
      </c>
      <c r="CX30" s="132">
        <v>-26</v>
      </c>
      <c r="CY30" s="132">
        <v>-16</v>
      </c>
      <c r="CZ30" s="132">
        <v>-51</v>
      </c>
      <c r="DA30" s="79">
        <v>-41</v>
      </c>
      <c r="DB30" s="79">
        <v>-93</v>
      </c>
      <c r="DC30" s="161" t="s">
        <v>161</v>
      </c>
      <c r="DD30" s="161" t="s">
        <v>161</v>
      </c>
      <c r="DE30" s="162" t="s">
        <v>161</v>
      </c>
      <c r="DF30" s="161" t="s">
        <v>161</v>
      </c>
    </row>
    <row r="31" spans="2:110">
      <c r="B31" s="235"/>
      <c r="C31" s="142" t="s">
        <v>183</v>
      </c>
      <c r="D31" s="79" t="str">
        <f t="shared" si="4"/>
        <v>271/155</v>
      </c>
      <c r="E31" s="79" t="str">
        <f t="shared" si="4"/>
        <v>183/105</v>
      </c>
      <c r="F31" s="79" t="str">
        <f t="shared" si="4"/>
        <v>221/105</v>
      </c>
      <c r="G31" s="79" t="str">
        <f t="shared" si="4"/>
        <v>110/55</v>
      </c>
      <c r="H31" s="79" t="str">
        <f t="shared" si="4"/>
        <v>133/55</v>
      </c>
      <c r="I31" s="79" t="str">
        <f t="shared" si="4"/>
        <v>171/55</v>
      </c>
      <c r="J31" s="79" t="str">
        <f t="shared" si="4"/>
        <v>66/25</v>
      </c>
      <c r="K31" s="79" t="str">
        <f t="shared" si="4"/>
        <v>80/25</v>
      </c>
      <c r="L31" s="79" t="str">
        <f t="shared" si="4"/>
        <v>103/25</v>
      </c>
      <c r="M31" s="79" t="str">
        <f t="shared" si="4"/>
        <v>32/0</v>
      </c>
      <c r="N31" s="79" t="str">
        <f t="shared" si="4"/>
        <v>41/0</v>
      </c>
      <c r="O31" s="79" t="str">
        <f t="shared" si="4"/>
        <v>55/0</v>
      </c>
      <c r="P31" s="79" t="str">
        <f t="shared" si="4"/>
        <v>16/-16</v>
      </c>
      <c r="Q31" s="79" t="str">
        <f t="shared" si="4"/>
        <v>25/-16</v>
      </c>
      <c r="R31" s="79" t="str">
        <f t="shared" si="4"/>
        <v>7/-25</v>
      </c>
      <c r="S31" s="79" t="str">
        <f t="shared" si="4"/>
        <v>16/-25</v>
      </c>
      <c r="T31" s="79" t="str">
        <f t="shared" si="5"/>
        <v>30/-25</v>
      </c>
      <c r="U31" s="79" t="str">
        <f t="shared" si="5"/>
        <v>53/-25</v>
      </c>
      <c r="V31" s="79" t="str">
        <f t="shared" si="5"/>
        <v>91/-25</v>
      </c>
      <c r="W31" s="79" t="str">
        <f t="shared" si="5"/>
        <v>-1/-33</v>
      </c>
      <c r="X31" s="79" t="str">
        <f t="shared" si="5"/>
        <v>3/-37</v>
      </c>
      <c r="Y31" s="79" t="str">
        <f t="shared" si="5"/>
        <v>-6/-38</v>
      </c>
      <c r="Z31" s="79" t="str">
        <f t="shared" si="5"/>
        <v>-2/-43</v>
      </c>
      <c r="AA31" s="79" t="str">
        <f t="shared" si="2"/>
        <v>-13/-45</v>
      </c>
      <c r="AB31" s="79" t="str">
        <f t="shared" si="2"/>
        <v>-9/-50</v>
      </c>
      <c r="AC31" s="79" t="str">
        <f t="shared" si="2"/>
        <v>-21/-53</v>
      </c>
      <c r="AD31" s="79" t="str">
        <f t="shared" si="2"/>
        <v>-17/-58</v>
      </c>
      <c r="AE31" s="79" t="str">
        <f t="shared" si="2"/>
        <v>-30/-62</v>
      </c>
      <c r="AF31" s="79" t="str">
        <f t="shared" si="2"/>
        <v>-26/-67</v>
      </c>
      <c r="AG31" s="79" t="str">
        <f t="shared" si="2"/>
        <v>-34/-75</v>
      </c>
      <c r="AH31" s="79" t="str">
        <f t="shared" si="2"/>
        <v>-43/-84</v>
      </c>
      <c r="AI31" s="79" t="str">
        <f t="shared" si="2"/>
        <v>-54/-95</v>
      </c>
      <c r="AJ31" s="79" t="str">
        <f t="shared" si="2"/>
        <v>-70/-111</v>
      </c>
      <c r="AK31" s="79" t="e">
        <f t="shared" si="2"/>
        <v>#VALUE!</v>
      </c>
      <c r="AL31" s="159"/>
      <c r="AM31" s="159"/>
      <c r="AO31" s="135">
        <v>400</v>
      </c>
      <c r="AP31" s="135">
        <v>450</v>
      </c>
      <c r="AQ31">
        <v>-760</v>
      </c>
      <c r="AR31">
        <v>-440</v>
      </c>
      <c r="AS31">
        <v>-230</v>
      </c>
      <c r="AT31">
        <v>-230</v>
      </c>
      <c r="AU31">
        <v>-135</v>
      </c>
      <c r="AV31">
        <v>-135</v>
      </c>
      <c r="AW31" s="141">
        <v>-135</v>
      </c>
      <c r="AX31" s="141">
        <v>-68</v>
      </c>
      <c r="AY31" s="141">
        <v>-68</v>
      </c>
      <c r="AZ31" s="141">
        <v>-68</v>
      </c>
      <c r="BA31" s="141">
        <v>-20</v>
      </c>
      <c r="BB31" s="141">
        <v>-20</v>
      </c>
      <c r="BC31" s="141">
        <v>0</v>
      </c>
      <c r="BD31" s="141">
        <v>0</v>
      </c>
      <c r="BE31" s="141">
        <v>0</v>
      </c>
      <c r="BF31" s="141">
        <v>0</v>
      </c>
      <c r="BG31" s="141">
        <v>0</v>
      </c>
      <c r="BH31" s="141">
        <v>13.5</v>
      </c>
      <c r="BI31" s="141">
        <v>20</v>
      </c>
      <c r="BJ31" s="141">
        <v>31</v>
      </c>
      <c r="BK31" s="141">
        <v>32</v>
      </c>
      <c r="BL31" s="79">
        <v>45</v>
      </c>
      <c r="BM31" s="79">
        <v>50</v>
      </c>
      <c r="BN31" s="79">
        <v>63</v>
      </c>
      <c r="BO31" s="79">
        <v>80</v>
      </c>
      <c r="BP31" s="79">
        <v>108</v>
      </c>
      <c r="BQ31" s="79">
        <v>166</v>
      </c>
      <c r="BR31" s="162" t="s">
        <v>112</v>
      </c>
      <c r="BS31" s="162" t="s">
        <v>112</v>
      </c>
      <c r="BT31" s="162" t="s">
        <v>112</v>
      </c>
      <c r="BU31" s="162" t="s">
        <v>112</v>
      </c>
      <c r="BW31" s="135">
        <v>400</v>
      </c>
      <c r="BX31" s="135">
        <v>450</v>
      </c>
      <c r="BY31" s="79">
        <v>1010</v>
      </c>
      <c r="BZ31" s="79">
        <v>595</v>
      </c>
      <c r="CA31" s="79">
        <v>690</v>
      </c>
      <c r="CB31" s="79">
        <v>327</v>
      </c>
      <c r="CC31" s="79">
        <v>385</v>
      </c>
      <c r="CD31" s="79">
        <v>480</v>
      </c>
      <c r="CE31" s="79">
        <v>198</v>
      </c>
      <c r="CF31" s="79">
        <v>232</v>
      </c>
      <c r="CG31" s="79">
        <v>290</v>
      </c>
      <c r="CH31" s="79">
        <v>108</v>
      </c>
      <c r="CI31" s="79">
        <v>131</v>
      </c>
      <c r="CJ31" s="132">
        <v>165</v>
      </c>
      <c r="CK31" s="132">
        <v>60</v>
      </c>
      <c r="CL31" s="132">
        <v>83</v>
      </c>
      <c r="CM31" s="132">
        <v>40</v>
      </c>
      <c r="CN31" s="132">
        <v>63</v>
      </c>
      <c r="CO31" s="132">
        <v>97</v>
      </c>
      <c r="CP31" s="132">
        <v>155</v>
      </c>
      <c r="CQ31" s="132">
        <v>250</v>
      </c>
      <c r="CR31" s="132">
        <v>20</v>
      </c>
      <c r="CS31" s="132">
        <v>31</v>
      </c>
      <c r="CT31" s="132">
        <v>8</v>
      </c>
      <c r="CU31" s="132">
        <v>-18</v>
      </c>
      <c r="CV31" s="132">
        <v>-10</v>
      </c>
      <c r="CW31" s="132">
        <v>0</v>
      </c>
      <c r="CX31" s="132">
        <v>-27</v>
      </c>
      <c r="CY31" s="132">
        <v>-17</v>
      </c>
      <c r="CZ31" s="132">
        <v>-55</v>
      </c>
      <c r="DA31" s="79">
        <v>-45</v>
      </c>
      <c r="DB31" s="79">
        <v>-103</v>
      </c>
      <c r="DC31" s="161" t="s">
        <v>161</v>
      </c>
      <c r="DD31" s="161" t="s">
        <v>161</v>
      </c>
      <c r="DE31" s="162" t="s">
        <v>161</v>
      </c>
      <c r="DF31" s="161" t="s">
        <v>161</v>
      </c>
    </row>
    <row r="32" spans="2:110">
      <c r="B32" s="235"/>
      <c r="C32" s="142" t="s">
        <v>184</v>
      </c>
      <c r="D32" s="79" t="str">
        <f t="shared" si="4"/>
        <v>263/147</v>
      </c>
      <c r="E32" s="79" t="str">
        <f t="shared" si="4"/>
        <v>175/97</v>
      </c>
      <c r="F32" s="79" t="str">
        <f t="shared" si="4"/>
        <v>213/97</v>
      </c>
      <c r="G32" s="79" t="str">
        <f t="shared" si="4"/>
        <v>102/47</v>
      </c>
      <c r="H32" s="79" t="str">
        <f t="shared" si="4"/>
        <v>125/47</v>
      </c>
      <c r="I32" s="79" t="str">
        <f t="shared" si="4"/>
        <v>163/47</v>
      </c>
      <c r="J32" s="79" t="str">
        <f t="shared" si="4"/>
        <v>58/17</v>
      </c>
      <c r="K32" s="79" t="str">
        <f t="shared" si="4"/>
        <v>72/17</v>
      </c>
      <c r="L32" s="79" t="str">
        <f t="shared" si="4"/>
        <v>95/17</v>
      </c>
      <c r="M32" s="79" t="str">
        <f t="shared" si="4"/>
        <v>24/-8</v>
      </c>
      <c r="N32" s="79" t="str">
        <f t="shared" si="4"/>
        <v>33/-8</v>
      </c>
      <c r="O32" s="79" t="str">
        <f t="shared" si="4"/>
        <v>47/-8</v>
      </c>
      <c r="P32" s="79" t="str">
        <f t="shared" si="4"/>
        <v>8/-24</v>
      </c>
      <c r="Q32" s="79" t="str">
        <f t="shared" si="4"/>
        <v>17/-24</v>
      </c>
      <c r="R32" s="79" t="str">
        <f t="shared" si="4"/>
        <v>-1/-33</v>
      </c>
      <c r="S32" s="79" t="str">
        <f t="shared" si="4"/>
        <v>8/-33</v>
      </c>
      <c r="T32" s="79" t="str">
        <f t="shared" si="5"/>
        <v>22/-33</v>
      </c>
      <c r="U32" s="79" t="str">
        <f t="shared" si="5"/>
        <v>45/-33</v>
      </c>
      <c r="V32" s="79" t="str">
        <f t="shared" si="5"/>
        <v>83/-33</v>
      </c>
      <c r="W32" s="79" t="str">
        <f t="shared" si="5"/>
        <v>-9/-41</v>
      </c>
      <c r="X32" s="79" t="str">
        <f t="shared" si="5"/>
        <v>-5/-45</v>
      </c>
      <c r="Y32" s="79" t="str">
        <f t="shared" si="5"/>
        <v>-14/-46</v>
      </c>
      <c r="Z32" s="79" t="str">
        <f t="shared" si="5"/>
        <v>-10/-51</v>
      </c>
      <c r="AA32" s="79" t="str">
        <f t="shared" si="2"/>
        <v>-21/-53</v>
      </c>
      <c r="AB32" s="79" t="str">
        <f t="shared" si="2"/>
        <v>-17/-58</v>
      </c>
      <c r="AC32" s="79" t="str">
        <f t="shared" si="2"/>
        <v>-29/-61</v>
      </c>
      <c r="AD32" s="79" t="str">
        <f t="shared" si="2"/>
        <v>-25/-66</v>
      </c>
      <c r="AE32" s="79" t="str">
        <f t="shared" si="2"/>
        <v>-38/-70</v>
      </c>
      <c r="AF32" s="79" t="str">
        <f t="shared" si="2"/>
        <v>-34/-75</v>
      </c>
      <c r="AG32" s="79" t="str">
        <f t="shared" si="2"/>
        <v>-42/-83</v>
      </c>
      <c r="AH32" s="79" t="str">
        <f t="shared" si="2"/>
        <v>-51/-92</v>
      </c>
      <c r="AI32" s="79" t="str">
        <f t="shared" si="2"/>
        <v>-62/-103</v>
      </c>
      <c r="AJ32" s="79" t="str">
        <f t="shared" si="2"/>
        <v>-78/-119</v>
      </c>
      <c r="AK32" s="79" t="e">
        <f t="shared" si="2"/>
        <v>#VALUE!</v>
      </c>
      <c r="AL32" s="159"/>
      <c r="AM32" s="159"/>
      <c r="AO32" s="135">
        <v>450</v>
      </c>
      <c r="AP32" s="135">
        <v>500</v>
      </c>
      <c r="AQ32">
        <v>-840</v>
      </c>
      <c r="AR32">
        <v>-480</v>
      </c>
      <c r="AS32">
        <v>-230</v>
      </c>
      <c r="AT32">
        <v>-230</v>
      </c>
      <c r="AU32">
        <v>-135</v>
      </c>
      <c r="AV32">
        <v>-135</v>
      </c>
      <c r="AW32" s="141">
        <v>-135</v>
      </c>
      <c r="AX32" s="141">
        <v>-68</v>
      </c>
      <c r="AY32" s="141">
        <v>-68</v>
      </c>
      <c r="AZ32" s="141">
        <v>-68</v>
      </c>
      <c r="BA32" s="141">
        <v>-20</v>
      </c>
      <c r="BB32" s="141">
        <v>-20</v>
      </c>
      <c r="BC32" s="141">
        <v>0</v>
      </c>
      <c r="BD32" s="141">
        <v>0</v>
      </c>
      <c r="BE32" s="141">
        <v>0</v>
      </c>
      <c r="BF32" s="141">
        <v>0</v>
      </c>
      <c r="BG32" s="141">
        <v>0</v>
      </c>
      <c r="BH32" s="141">
        <v>13.5</v>
      </c>
      <c r="BI32" s="141">
        <v>20</v>
      </c>
      <c r="BJ32" s="141">
        <v>31</v>
      </c>
      <c r="BK32" s="141">
        <v>32</v>
      </c>
      <c r="BL32" s="79">
        <v>45</v>
      </c>
      <c r="BM32" s="79">
        <v>50</v>
      </c>
      <c r="BN32" s="79">
        <v>63</v>
      </c>
      <c r="BO32" s="79">
        <v>80</v>
      </c>
      <c r="BP32" s="79">
        <v>108</v>
      </c>
      <c r="BQ32" s="79">
        <v>172</v>
      </c>
      <c r="BR32" s="162" t="s">
        <v>112</v>
      </c>
      <c r="BS32" s="162" t="s">
        <v>112</v>
      </c>
      <c r="BT32" s="162" t="s">
        <v>112</v>
      </c>
      <c r="BU32" s="162" t="s">
        <v>112</v>
      </c>
      <c r="BW32" s="135">
        <v>450</v>
      </c>
      <c r="BX32" s="135">
        <v>500</v>
      </c>
      <c r="BY32" s="79">
        <v>1090</v>
      </c>
      <c r="BZ32" s="79">
        <v>635</v>
      </c>
      <c r="CA32" s="79">
        <v>730</v>
      </c>
      <c r="CB32" s="79">
        <v>327</v>
      </c>
      <c r="CC32" s="79">
        <v>385</v>
      </c>
      <c r="CD32" s="79">
        <v>480</v>
      </c>
      <c r="CE32" s="79">
        <v>198</v>
      </c>
      <c r="CF32" s="79">
        <v>232</v>
      </c>
      <c r="CG32" s="79">
        <v>290</v>
      </c>
      <c r="CH32" s="79">
        <v>108</v>
      </c>
      <c r="CI32" s="79">
        <v>131</v>
      </c>
      <c r="CJ32" s="132">
        <v>165</v>
      </c>
      <c r="CK32" s="132">
        <v>60</v>
      </c>
      <c r="CL32" s="132">
        <v>83</v>
      </c>
      <c r="CM32" s="132">
        <v>40</v>
      </c>
      <c r="CN32" s="132">
        <v>63</v>
      </c>
      <c r="CO32" s="132">
        <v>97</v>
      </c>
      <c r="CP32" s="132">
        <v>155</v>
      </c>
      <c r="CQ32" s="132">
        <v>250</v>
      </c>
      <c r="CR32" s="132">
        <v>20</v>
      </c>
      <c r="CS32" s="132">
        <v>31</v>
      </c>
      <c r="CT32" s="132">
        <v>8</v>
      </c>
      <c r="CU32" s="132">
        <v>-18</v>
      </c>
      <c r="CV32" s="132">
        <v>-10</v>
      </c>
      <c r="CW32" s="132">
        <v>0</v>
      </c>
      <c r="CX32" s="132">
        <v>-27</v>
      </c>
      <c r="CY32" s="132">
        <v>-17</v>
      </c>
      <c r="CZ32" s="132">
        <v>-55</v>
      </c>
      <c r="DA32" s="79">
        <v>-45</v>
      </c>
      <c r="DB32" s="79">
        <v>-109</v>
      </c>
      <c r="DC32" s="161" t="s">
        <v>161</v>
      </c>
      <c r="DD32" s="161" t="s">
        <v>161</v>
      </c>
      <c r="DE32" s="162" t="s">
        <v>161</v>
      </c>
      <c r="DF32" s="161" t="s">
        <v>161</v>
      </c>
    </row>
    <row r="33" spans="2:114">
      <c r="B33" s="235"/>
      <c r="C33" s="142" t="s">
        <v>185</v>
      </c>
      <c r="D33" s="79" t="str">
        <f t="shared" si="4"/>
        <v>254/138</v>
      </c>
      <c r="E33" s="79" t="str">
        <f t="shared" si="4"/>
        <v>166/88</v>
      </c>
      <c r="F33" s="79" t="str">
        <f t="shared" si="4"/>
        <v>204/88</v>
      </c>
      <c r="G33" s="79" t="str">
        <f t="shared" si="4"/>
        <v>93/38</v>
      </c>
      <c r="H33" s="79" t="str">
        <f t="shared" si="4"/>
        <v>116/38</v>
      </c>
      <c r="I33" s="79" t="str">
        <f t="shared" si="4"/>
        <v>154/38</v>
      </c>
      <c r="J33" s="79" t="str">
        <f t="shared" si="4"/>
        <v>49/8</v>
      </c>
      <c r="K33" s="79" t="str">
        <f t="shared" si="4"/>
        <v>63/8</v>
      </c>
      <c r="L33" s="79" t="str">
        <f t="shared" si="4"/>
        <v>86/8</v>
      </c>
      <c r="M33" s="79" t="str">
        <f t="shared" si="4"/>
        <v>15/-17</v>
      </c>
      <c r="N33" s="79" t="str">
        <f t="shared" si="4"/>
        <v>24/-17</v>
      </c>
      <c r="O33" s="79" t="str">
        <f t="shared" si="4"/>
        <v>38/-17</v>
      </c>
      <c r="P33" s="79" t="str">
        <f t="shared" si="4"/>
        <v>-1/-33</v>
      </c>
      <c r="Q33" s="79" t="str">
        <f t="shared" si="4"/>
        <v>8/-33</v>
      </c>
      <c r="R33" s="79" t="str">
        <f t="shared" si="4"/>
        <v>-10/-42</v>
      </c>
      <c r="S33" s="79" t="str">
        <f t="shared" si="4"/>
        <v>-1/-42</v>
      </c>
      <c r="T33" s="79" t="str">
        <f t="shared" si="5"/>
        <v>13/-42</v>
      </c>
      <c r="U33" s="79" t="str">
        <f t="shared" si="5"/>
        <v>36/-42</v>
      </c>
      <c r="V33" s="79" t="str">
        <f t="shared" si="5"/>
        <v>74/-42</v>
      </c>
      <c r="W33" s="79" t="str">
        <f t="shared" si="5"/>
        <v>-18/-50</v>
      </c>
      <c r="X33" s="79" t="str">
        <f t="shared" si="5"/>
        <v>-14/-54</v>
      </c>
      <c r="Y33" s="79" t="str">
        <f t="shared" si="5"/>
        <v>-23/-55</v>
      </c>
      <c r="Z33" s="79" t="str">
        <f t="shared" si="5"/>
        <v>-19/-60</v>
      </c>
      <c r="AA33" s="79" t="str">
        <f t="shared" si="2"/>
        <v>-30/-62</v>
      </c>
      <c r="AB33" s="79" t="str">
        <f t="shared" si="2"/>
        <v>-26/-67</v>
      </c>
      <c r="AC33" s="79" t="str">
        <f t="shared" si="2"/>
        <v>-38/-70</v>
      </c>
      <c r="AD33" s="79" t="str">
        <f t="shared" si="2"/>
        <v>-34/-75</v>
      </c>
      <c r="AE33" s="79" t="str">
        <f t="shared" si="2"/>
        <v>-47/-79</v>
      </c>
      <c r="AF33" s="79" t="str">
        <f t="shared" si="2"/>
        <v>-43/-84</v>
      </c>
      <c r="AG33" s="79" t="str">
        <f t="shared" si="2"/>
        <v>-51/-92</v>
      </c>
      <c r="AH33" s="79" t="str">
        <f t="shared" si="2"/>
        <v>-60/-101</v>
      </c>
      <c r="AI33" s="79" t="str">
        <f t="shared" si="2"/>
        <v>-71/-112</v>
      </c>
      <c r="AJ33" s="79" t="str">
        <f t="shared" si="2"/>
        <v>-87/-128</v>
      </c>
      <c r="AK33" s="79" t="e">
        <f t="shared" si="2"/>
        <v>#VALUE!</v>
      </c>
      <c r="AL33" s="159"/>
      <c r="AM33" s="159"/>
      <c r="BY33" s="148"/>
      <c r="BZ33" s="148"/>
      <c r="CA33" s="148"/>
    </row>
    <row r="34" spans="2:114">
      <c r="B34" s="235"/>
      <c r="C34" s="136" t="s">
        <v>236</v>
      </c>
      <c r="D34" s="79" t="str">
        <f t="shared" si="4"/>
        <v>246/130</v>
      </c>
      <c r="E34" s="79" t="str">
        <f t="shared" si="4"/>
        <v>158/80</v>
      </c>
      <c r="F34" s="79" t="str">
        <f t="shared" si="4"/>
        <v>196/80</v>
      </c>
      <c r="G34" s="79" t="str">
        <f t="shared" si="4"/>
        <v>85/30</v>
      </c>
      <c r="H34" s="79" t="str">
        <f t="shared" si="4"/>
        <v>108/30</v>
      </c>
      <c r="I34" s="79" t="str">
        <f t="shared" si="4"/>
        <v>146/30</v>
      </c>
      <c r="J34" s="79" t="str">
        <f t="shared" si="4"/>
        <v>41/0</v>
      </c>
      <c r="K34" s="79" t="str">
        <f t="shared" si="4"/>
        <v>55/0</v>
      </c>
      <c r="L34" s="79" t="str">
        <f t="shared" si="4"/>
        <v>78/0</v>
      </c>
      <c r="M34" s="79" t="str">
        <f t="shared" si="4"/>
        <v>7/-25</v>
      </c>
      <c r="N34" s="79" t="str">
        <f t="shared" si="4"/>
        <v>16/-25</v>
      </c>
      <c r="O34" s="79" t="str">
        <f t="shared" si="4"/>
        <v>30/-25</v>
      </c>
      <c r="P34" s="79" t="str">
        <f t="shared" si="4"/>
        <v>-9/-41</v>
      </c>
      <c r="Q34" s="79" t="str">
        <f t="shared" si="4"/>
        <v>0/-41</v>
      </c>
      <c r="R34" s="79" t="str">
        <f t="shared" si="4"/>
        <v>-18/-50</v>
      </c>
      <c r="S34" s="79" t="str">
        <f t="shared" si="4"/>
        <v>-9/-50</v>
      </c>
      <c r="T34" s="79" t="str">
        <f t="shared" si="5"/>
        <v>5/-50</v>
      </c>
      <c r="U34" s="79" t="str">
        <f t="shared" si="5"/>
        <v>28/-50</v>
      </c>
      <c r="V34" s="79" t="str">
        <f t="shared" si="5"/>
        <v>66/-50</v>
      </c>
      <c r="W34" s="79" t="str">
        <f t="shared" si="5"/>
        <v>-26/-58</v>
      </c>
      <c r="X34" s="79" t="str">
        <f t="shared" si="5"/>
        <v>-22/-62</v>
      </c>
      <c r="Y34" s="79" t="str">
        <f t="shared" si="5"/>
        <v>-31/-63</v>
      </c>
      <c r="Z34" s="79" t="str">
        <f t="shared" si="5"/>
        <v>-27/-68</v>
      </c>
      <c r="AA34" s="79" t="str">
        <f t="shared" si="2"/>
        <v>-38/-70</v>
      </c>
      <c r="AB34" s="79" t="str">
        <f t="shared" si="2"/>
        <v>-34/-75</v>
      </c>
      <c r="AC34" s="79" t="str">
        <f t="shared" si="2"/>
        <v>-46/-78</v>
      </c>
      <c r="AD34" s="79" t="str">
        <f t="shared" si="2"/>
        <v>-42/-83</v>
      </c>
      <c r="AE34" s="79" t="str">
        <f t="shared" si="2"/>
        <v>-55/-87</v>
      </c>
      <c r="AF34" s="79" t="str">
        <f t="shared" si="2"/>
        <v>-51/-92</v>
      </c>
      <c r="AG34" s="79" t="str">
        <f t="shared" si="2"/>
        <v>-59/-100</v>
      </c>
      <c r="AH34" s="79" t="str">
        <f t="shared" si="2"/>
        <v>-68/-109</v>
      </c>
      <c r="AI34" s="79" t="str">
        <f t="shared" si="2"/>
        <v>-79/-120</v>
      </c>
      <c r="AJ34" s="79" t="str">
        <f t="shared" si="2"/>
        <v>-95/-136</v>
      </c>
      <c r="AK34" s="79" t="e">
        <f t="shared" si="2"/>
        <v>#VALUE!</v>
      </c>
      <c r="AL34" s="159"/>
      <c r="AM34" s="159"/>
      <c r="AO34" s="139" t="s">
        <v>209</v>
      </c>
      <c r="AP34" s="139"/>
      <c r="AQ34" s="152" t="s">
        <v>206</v>
      </c>
      <c r="AR34" s="153"/>
      <c r="AS34" s="153"/>
      <c r="AT34" s="153"/>
      <c r="AU34" s="153"/>
      <c r="AV34" s="153"/>
      <c r="AW34" s="153"/>
      <c r="AX34" s="153"/>
      <c r="AY34" s="153"/>
      <c r="AZ34" s="153"/>
      <c r="BA34" s="153"/>
      <c r="BB34" s="153"/>
      <c r="BC34" s="153"/>
      <c r="BD34" s="153"/>
      <c r="BE34" s="153"/>
      <c r="BF34" s="153"/>
      <c r="BG34" s="153"/>
      <c r="BH34" s="153"/>
      <c r="BI34" s="153"/>
      <c r="BJ34" s="153"/>
      <c r="BK34" s="153"/>
      <c r="BL34" s="153"/>
      <c r="BM34" s="153"/>
      <c r="BN34" s="140"/>
      <c r="BO34" s="140"/>
      <c r="BP34" s="140"/>
      <c r="BQ34" s="140"/>
      <c r="BR34" s="140"/>
      <c r="BS34" s="140"/>
      <c r="BT34" s="140"/>
      <c r="BU34" s="140"/>
      <c r="BW34" s="139" t="s">
        <v>209</v>
      </c>
      <c r="BX34" s="139"/>
      <c r="BY34" s="156" t="s">
        <v>207</v>
      </c>
      <c r="BZ34" s="157"/>
      <c r="CA34" s="157"/>
      <c r="CB34" s="157"/>
      <c r="CC34" s="157"/>
      <c r="CD34" s="157"/>
      <c r="CE34" s="157"/>
      <c r="CF34" s="157"/>
      <c r="CG34" s="157"/>
      <c r="CH34" s="157"/>
      <c r="CI34" s="157"/>
      <c r="CJ34" s="157"/>
      <c r="CK34" s="157"/>
      <c r="CL34" s="157"/>
      <c r="CM34" s="157"/>
      <c r="CN34" s="157"/>
      <c r="CO34" s="157"/>
      <c r="CP34" s="157"/>
      <c r="CQ34" s="157"/>
      <c r="CR34" s="157"/>
      <c r="CS34" s="157"/>
      <c r="CT34" s="157"/>
      <c r="CU34" s="157"/>
      <c r="CV34" s="157"/>
      <c r="CW34" s="157"/>
      <c r="CX34" s="157"/>
      <c r="CY34" s="157"/>
      <c r="CZ34" s="157"/>
      <c r="DA34" s="157"/>
      <c r="DB34" s="157"/>
      <c r="DC34" s="157"/>
      <c r="DD34" s="157"/>
      <c r="DE34" s="157"/>
      <c r="DF34" s="158"/>
    </row>
    <row r="35" spans="2:114">
      <c r="B35" s="235"/>
      <c r="C35" s="151" t="s">
        <v>232</v>
      </c>
      <c r="D35" s="79" t="str">
        <f t="shared" si="4"/>
        <v>237/121</v>
      </c>
      <c r="E35" s="79" t="str">
        <f t="shared" si="4"/>
        <v>149/71</v>
      </c>
      <c r="F35" s="79" t="str">
        <f t="shared" si="4"/>
        <v>187/71</v>
      </c>
      <c r="G35" s="79" t="str">
        <f t="shared" si="4"/>
        <v>76/21</v>
      </c>
      <c r="H35" s="79" t="str">
        <f t="shared" si="4"/>
        <v>99/21</v>
      </c>
      <c r="I35" s="79" t="str">
        <f t="shared" si="4"/>
        <v>137/21</v>
      </c>
      <c r="J35" s="79" t="str">
        <f t="shared" si="4"/>
        <v>32/-9</v>
      </c>
      <c r="K35" s="79" t="str">
        <f t="shared" si="4"/>
        <v>46/-9</v>
      </c>
      <c r="L35" s="79" t="str">
        <f t="shared" si="4"/>
        <v>69/-9</v>
      </c>
      <c r="M35" s="79" t="str">
        <f t="shared" si="4"/>
        <v>-2/-34</v>
      </c>
      <c r="N35" s="79" t="str">
        <f t="shared" si="4"/>
        <v>7/-34</v>
      </c>
      <c r="O35" s="79" t="str">
        <f t="shared" si="4"/>
        <v>21/-34</v>
      </c>
      <c r="P35" s="79" t="str">
        <f t="shared" si="4"/>
        <v>-18/-50</v>
      </c>
      <c r="Q35" s="79" t="str">
        <f t="shared" si="4"/>
        <v>-9/-50</v>
      </c>
      <c r="R35" s="79" t="str">
        <f t="shared" si="4"/>
        <v>-27/-59</v>
      </c>
      <c r="S35" s="79" t="str">
        <f t="shared" si="4"/>
        <v>-18/-59</v>
      </c>
      <c r="T35" s="79" t="str">
        <f t="shared" si="5"/>
        <v>-4/-59</v>
      </c>
      <c r="U35" s="79" t="str">
        <f t="shared" si="5"/>
        <v>19/-59</v>
      </c>
      <c r="V35" s="79" t="str">
        <f t="shared" si="5"/>
        <v>57/-59</v>
      </c>
      <c r="W35" s="79" t="str">
        <f t="shared" si="5"/>
        <v>-35/-67</v>
      </c>
      <c r="X35" s="79" t="str">
        <f t="shared" si="5"/>
        <v>-31/-71</v>
      </c>
      <c r="Y35" s="79" t="str">
        <f t="shared" si="5"/>
        <v>-40/-72</v>
      </c>
      <c r="Z35" s="79" t="str">
        <f t="shared" si="5"/>
        <v>-36/-77</v>
      </c>
      <c r="AA35" s="79" t="str">
        <f t="shared" si="2"/>
        <v>-47/-79</v>
      </c>
      <c r="AB35" s="79" t="str">
        <f t="shared" si="2"/>
        <v>-43/-84</v>
      </c>
      <c r="AC35" s="79" t="str">
        <f t="shared" si="2"/>
        <v>-55/-87</v>
      </c>
      <c r="AD35" s="79" t="str">
        <f t="shared" si="2"/>
        <v>-51/-92</v>
      </c>
      <c r="AE35" s="79" t="str">
        <f t="shared" si="2"/>
        <v>-64/-96</v>
      </c>
      <c r="AF35" s="79" t="str">
        <f t="shared" si="2"/>
        <v>-60/-101</v>
      </c>
      <c r="AG35" s="79" t="str">
        <f t="shared" si="2"/>
        <v>-68/-109</v>
      </c>
      <c r="AH35" s="79" t="str">
        <f t="shared" si="2"/>
        <v>-77/-118</v>
      </c>
      <c r="AI35" s="79" t="str">
        <f t="shared" si="2"/>
        <v>-88/-129</v>
      </c>
      <c r="AJ35" s="79" t="str">
        <f t="shared" si="2"/>
        <v>-104/-145</v>
      </c>
      <c r="AK35" s="79" t="e">
        <f t="shared" si="2"/>
        <v>#VALUE!</v>
      </c>
      <c r="AL35" s="159"/>
      <c r="AM35" s="159"/>
      <c r="AO35" s="133" t="s">
        <v>164</v>
      </c>
      <c r="AP35" s="133" t="s">
        <v>165</v>
      </c>
      <c r="AQ35" s="133" t="s">
        <v>217</v>
      </c>
      <c r="AR35" s="133" t="s">
        <v>219</v>
      </c>
      <c r="AS35" s="133" t="s">
        <v>221</v>
      </c>
      <c r="AT35" s="133" t="s">
        <v>223</v>
      </c>
      <c r="AU35" s="133" t="s">
        <v>225</v>
      </c>
      <c r="AV35" s="133" t="s">
        <v>227</v>
      </c>
      <c r="AW35" s="142" t="s">
        <v>166</v>
      </c>
      <c r="AX35" s="142" t="s">
        <v>167</v>
      </c>
      <c r="AY35" s="142" t="s">
        <v>168</v>
      </c>
      <c r="AZ35" s="142" t="s">
        <v>169</v>
      </c>
      <c r="BA35" s="142" t="s">
        <v>170</v>
      </c>
      <c r="BB35" s="142" t="s">
        <v>171</v>
      </c>
      <c r="BC35" s="142" t="s">
        <v>172</v>
      </c>
      <c r="BD35" s="142" t="s">
        <v>173</v>
      </c>
      <c r="BE35" s="142" t="s">
        <v>174</v>
      </c>
      <c r="BF35" s="142" t="s">
        <v>175</v>
      </c>
      <c r="BG35" s="142" t="s">
        <v>176</v>
      </c>
      <c r="BH35" s="142" t="s">
        <v>177</v>
      </c>
      <c r="BI35" s="142" t="s">
        <v>178</v>
      </c>
      <c r="BJ35" s="142" t="s">
        <v>179</v>
      </c>
      <c r="BK35" s="142" t="s">
        <v>180</v>
      </c>
      <c r="BL35" s="142" t="s">
        <v>181</v>
      </c>
      <c r="BM35" s="154" t="s">
        <v>182</v>
      </c>
      <c r="BN35" s="142" t="s">
        <v>183</v>
      </c>
      <c r="BO35" s="142" t="s">
        <v>184</v>
      </c>
      <c r="BP35" s="142" t="s">
        <v>185</v>
      </c>
      <c r="BQ35" s="136" t="s">
        <v>236</v>
      </c>
      <c r="BR35" s="151" t="s">
        <v>232</v>
      </c>
      <c r="BS35" s="136" t="s">
        <v>233</v>
      </c>
      <c r="BT35" s="136" t="s">
        <v>234</v>
      </c>
      <c r="BU35" s="136" t="s">
        <v>235</v>
      </c>
      <c r="BW35" s="133" t="s">
        <v>164</v>
      </c>
      <c r="BX35" s="133" t="s">
        <v>165</v>
      </c>
      <c r="BY35" s="133" t="s">
        <v>237</v>
      </c>
      <c r="BZ35" s="133" t="s">
        <v>238</v>
      </c>
      <c r="CA35" s="133" t="s">
        <v>239</v>
      </c>
      <c r="CB35" s="133" t="s">
        <v>240</v>
      </c>
      <c r="CC35" s="133" t="s">
        <v>241</v>
      </c>
      <c r="CD35" s="133" t="s">
        <v>242</v>
      </c>
      <c r="CE35" s="133" t="s">
        <v>243</v>
      </c>
      <c r="CF35" s="133" t="s">
        <v>244</v>
      </c>
      <c r="CG35" s="142" t="s">
        <v>186</v>
      </c>
      <c r="CH35" s="142" t="s">
        <v>187</v>
      </c>
      <c r="CI35" s="142" t="s">
        <v>188</v>
      </c>
      <c r="CJ35" s="142" t="s">
        <v>189</v>
      </c>
      <c r="CK35" s="142" t="s">
        <v>190</v>
      </c>
      <c r="CL35" s="142" t="s">
        <v>191</v>
      </c>
      <c r="CM35" s="142" t="s">
        <v>192</v>
      </c>
      <c r="CN35" s="142" t="s">
        <v>193</v>
      </c>
      <c r="CO35" s="142" t="s">
        <v>194</v>
      </c>
      <c r="CP35" s="142" t="s">
        <v>195</v>
      </c>
      <c r="CQ35" s="142" t="s">
        <v>196</v>
      </c>
      <c r="CR35" s="142" t="s">
        <v>197</v>
      </c>
      <c r="CS35" s="142" t="s">
        <v>198</v>
      </c>
      <c r="CT35" s="143" t="s">
        <v>199</v>
      </c>
      <c r="CU35" s="143" t="s">
        <v>200</v>
      </c>
      <c r="CV35" s="136" t="s">
        <v>201</v>
      </c>
      <c r="CW35" s="136" t="s">
        <v>202</v>
      </c>
      <c r="CX35" s="136" t="s">
        <v>203</v>
      </c>
      <c r="CY35" s="136" t="s">
        <v>204</v>
      </c>
      <c r="CZ35" s="136" t="s">
        <v>205</v>
      </c>
      <c r="DA35" s="151" t="s">
        <v>250</v>
      </c>
      <c r="DB35" s="136" t="s">
        <v>245</v>
      </c>
      <c r="DC35" s="136" t="s">
        <v>246</v>
      </c>
      <c r="DD35" s="136" t="s">
        <v>247</v>
      </c>
      <c r="DE35" s="136" t="s">
        <v>248</v>
      </c>
      <c r="DF35" s="136" t="s">
        <v>249</v>
      </c>
    </row>
    <row r="36" spans="2:114">
      <c r="B36" s="235"/>
      <c r="C36" s="136" t="s">
        <v>233</v>
      </c>
      <c r="D36" s="79" t="str">
        <f t="shared" si="4"/>
        <v>226/110</v>
      </c>
      <c r="E36" s="79" t="str">
        <f t="shared" si="4"/>
        <v>138/60</v>
      </c>
      <c r="F36" s="79" t="str">
        <f t="shared" si="4"/>
        <v>176/60</v>
      </c>
      <c r="G36" s="79" t="str">
        <f t="shared" si="4"/>
        <v>65/10</v>
      </c>
      <c r="H36" s="79" t="str">
        <f t="shared" si="4"/>
        <v>88/10</v>
      </c>
      <c r="I36" s="79" t="str">
        <f t="shared" si="4"/>
        <v>126/10</v>
      </c>
      <c r="J36" s="79" t="str">
        <f t="shared" si="4"/>
        <v>21/-20</v>
      </c>
      <c r="K36" s="79" t="str">
        <f t="shared" si="4"/>
        <v>35/-20</v>
      </c>
      <c r="L36" s="79" t="str">
        <f t="shared" si="4"/>
        <v>58/-20</v>
      </c>
      <c r="M36" s="79" t="str">
        <f t="shared" si="4"/>
        <v>-13/-45</v>
      </c>
      <c r="N36" s="79" t="str">
        <f t="shared" si="4"/>
        <v>-4/-45</v>
      </c>
      <c r="O36" s="79" t="str">
        <f t="shared" si="4"/>
        <v>10/-45</v>
      </c>
      <c r="P36" s="79" t="str">
        <f t="shared" si="4"/>
        <v>-29/-61</v>
      </c>
      <c r="Q36" s="79" t="str">
        <f t="shared" si="4"/>
        <v>-20/-61</v>
      </c>
      <c r="R36" s="79" t="str">
        <f t="shared" si="4"/>
        <v>-38/-70</v>
      </c>
      <c r="S36" s="79" t="str">
        <f t="shared" si="4"/>
        <v>-29/-70</v>
      </c>
      <c r="T36" s="79" t="str">
        <f t="shared" si="5"/>
        <v>-15/-70</v>
      </c>
      <c r="U36" s="79" t="str">
        <f t="shared" si="5"/>
        <v>8/-70</v>
      </c>
      <c r="V36" s="79" t="str">
        <f t="shared" si="5"/>
        <v>46/-70</v>
      </c>
      <c r="W36" s="79" t="str">
        <f t="shared" si="5"/>
        <v>-46/-78</v>
      </c>
      <c r="X36" s="79" t="str">
        <f t="shared" si="5"/>
        <v>-42/-82</v>
      </c>
      <c r="Y36" s="79" t="str">
        <f t="shared" si="5"/>
        <v>-51/-83</v>
      </c>
      <c r="Z36" s="79" t="str">
        <f t="shared" si="5"/>
        <v>-47/-88</v>
      </c>
      <c r="AA36" s="79" t="str">
        <f t="shared" si="2"/>
        <v>-58/-90</v>
      </c>
      <c r="AB36" s="79" t="str">
        <f t="shared" si="2"/>
        <v>-54/-95</v>
      </c>
      <c r="AC36" s="79" t="str">
        <f t="shared" si="2"/>
        <v>-66/-98</v>
      </c>
      <c r="AD36" s="79" t="str">
        <f t="shared" si="2"/>
        <v>-62/-103</v>
      </c>
      <c r="AE36" s="79" t="str">
        <f t="shared" si="2"/>
        <v>-75/-107</v>
      </c>
      <c r="AF36" s="79" t="str">
        <f t="shared" si="2"/>
        <v>-71/-112</v>
      </c>
      <c r="AG36" s="79" t="str">
        <f t="shared" si="2"/>
        <v>-79/-120</v>
      </c>
      <c r="AH36" s="79" t="str">
        <f t="shared" si="2"/>
        <v>-88/-129</v>
      </c>
      <c r="AI36" s="79" t="str">
        <f t="shared" si="2"/>
        <v>-99/-140</v>
      </c>
      <c r="AJ36" s="79" t="str">
        <f t="shared" si="2"/>
        <v>-115/-156</v>
      </c>
      <c r="AK36" s="79" t="e">
        <f t="shared" si="2"/>
        <v>#VALUE!</v>
      </c>
      <c r="AL36" s="159"/>
      <c r="AM36" s="159"/>
      <c r="AO36" s="134">
        <v>0</v>
      </c>
      <c r="AP36" s="134">
        <v>3</v>
      </c>
      <c r="AQ36">
        <v>-165</v>
      </c>
      <c r="AR36">
        <v>-85</v>
      </c>
      <c r="AS36">
        <v>-34</v>
      </c>
      <c r="AT36">
        <v>-45</v>
      </c>
      <c r="AU36">
        <v>-24</v>
      </c>
      <c r="AV36">
        <v>-28</v>
      </c>
      <c r="AW36" s="145">
        <v>-39</v>
      </c>
      <c r="AX36" s="132">
        <v>-12</v>
      </c>
      <c r="AY36" s="132">
        <v>-16</v>
      </c>
      <c r="AZ36" s="132">
        <v>-20</v>
      </c>
      <c r="BA36" s="132">
        <v>-6</v>
      </c>
      <c r="BB36" s="132">
        <v>-8</v>
      </c>
      <c r="BC36" s="132">
        <v>-4</v>
      </c>
      <c r="BD36" s="132">
        <v>-6</v>
      </c>
      <c r="BE36" s="132">
        <v>-10</v>
      </c>
      <c r="BF36" s="132">
        <v>-14</v>
      </c>
      <c r="BG36" s="132">
        <v>-25</v>
      </c>
      <c r="BH36" s="132">
        <v>-2</v>
      </c>
      <c r="BI36" s="132">
        <v>-3</v>
      </c>
      <c r="BJ36" s="132">
        <v>-5</v>
      </c>
      <c r="BK36" s="132">
        <v>0</v>
      </c>
      <c r="BL36" s="132">
        <v>0</v>
      </c>
      <c r="BM36" s="155">
        <v>2</v>
      </c>
      <c r="BN36" s="132">
        <v>2</v>
      </c>
      <c r="BO36" s="132">
        <v>4</v>
      </c>
      <c r="BP36" s="132">
        <v>6</v>
      </c>
      <c r="BQ36" s="79">
        <v>10</v>
      </c>
      <c r="BR36" s="79">
        <v>14</v>
      </c>
      <c r="BS36" s="162" t="s">
        <v>112</v>
      </c>
      <c r="BT36" s="79">
        <v>18</v>
      </c>
      <c r="BU36" s="79">
        <v>20</v>
      </c>
      <c r="BW36" s="134">
        <v>0</v>
      </c>
      <c r="BX36" s="134">
        <v>3</v>
      </c>
      <c r="BY36" s="79">
        <v>140</v>
      </c>
      <c r="BZ36" s="79">
        <v>60</v>
      </c>
      <c r="CA36" s="79">
        <v>60</v>
      </c>
      <c r="CB36" s="79">
        <v>20</v>
      </c>
      <c r="CC36" s="79">
        <v>20</v>
      </c>
      <c r="CD36" s="79">
        <v>20</v>
      </c>
      <c r="CE36" s="79">
        <v>14</v>
      </c>
      <c r="CF36" s="79">
        <v>14</v>
      </c>
      <c r="CG36" s="132">
        <v>14</v>
      </c>
      <c r="CH36" s="132">
        <v>6</v>
      </c>
      <c r="CI36" s="132">
        <v>6</v>
      </c>
      <c r="CJ36" s="132">
        <v>6</v>
      </c>
      <c r="CK36" s="132">
        <v>2</v>
      </c>
      <c r="CL36" s="132">
        <v>2</v>
      </c>
      <c r="CM36" s="132">
        <v>0</v>
      </c>
      <c r="CN36" s="132">
        <v>0</v>
      </c>
      <c r="CO36" s="132">
        <v>0</v>
      </c>
      <c r="CP36" s="132">
        <v>0</v>
      </c>
      <c r="CQ36" s="132">
        <v>0</v>
      </c>
      <c r="CR36" s="132">
        <v>-3</v>
      </c>
      <c r="CS36" s="132">
        <v>-5</v>
      </c>
      <c r="CT36" s="132">
        <v>-6</v>
      </c>
      <c r="CU36" s="132">
        <v>-10</v>
      </c>
      <c r="CV36" s="132">
        <v>-8</v>
      </c>
      <c r="CW36" s="132">
        <v>-12</v>
      </c>
      <c r="CX36" s="132">
        <v>-10</v>
      </c>
      <c r="CY36" s="132">
        <v>-14</v>
      </c>
      <c r="CZ36" s="79">
        <v>-12</v>
      </c>
      <c r="DA36" s="79">
        <v>-16</v>
      </c>
      <c r="DB36" s="79">
        <v>-20</v>
      </c>
      <c r="DC36" s="79">
        <v>-24</v>
      </c>
      <c r="DD36" s="161" t="s">
        <v>161</v>
      </c>
      <c r="DE36" s="79">
        <v>-28</v>
      </c>
      <c r="DF36" s="79">
        <v>-30</v>
      </c>
    </row>
    <row r="37" spans="2:114">
      <c r="B37" s="235"/>
      <c r="C37" s="136" t="s">
        <v>234</v>
      </c>
      <c r="D37" s="79" t="str">
        <f t="shared" si="4"/>
        <v>210/94</v>
      </c>
      <c r="E37" s="79" t="str">
        <f t="shared" si="4"/>
        <v>122/44</v>
      </c>
      <c r="F37" s="79" t="str">
        <f t="shared" si="4"/>
        <v>160/44</v>
      </c>
      <c r="G37" s="79" t="str">
        <f t="shared" si="4"/>
        <v>49/-6</v>
      </c>
      <c r="H37" s="79" t="str">
        <f t="shared" si="4"/>
        <v>72/-6</v>
      </c>
      <c r="I37" s="79" t="str">
        <f t="shared" si="4"/>
        <v>110/-6</v>
      </c>
      <c r="J37" s="79" t="str">
        <f t="shared" si="4"/>
        <v>5/-36</v>
      </c>
      <c r="K37" s="79" t="str">
        <f t="shared" si="4"/>
        <v>19/-36</v>
      </c>
      <c r="L37" s="79" t="str">
        <f t="shared" si="4"/>
        <v>42/-36</v>
      </c>
      <c r="M37" s="79" t="str">
        <f t="shared" si="4"/>
        <v>-29/-61</v>
      </c>
      <c r="N37" s="79" t="str">
        <f t="shared" si="4"/>
        <v>-20/-61</v>
      </c>
      <c r="O37" s="79" t="str">
        <f t="shared" si="4"/>
        <v>-6/-61</v>
      </c>
      <c r="P37" s="79" t="str">
        <f t="shared" si="4"/>
        <v>-45/-77</v>
      </c>
      <c r="Q37" s="79" t="str">
        <f t="shared" si="4"/>
        <v>-36/-77</v>
      </c>
      <c r="R37" s="79" t="str">
        <f t="shared" si="4"/>
        <v>-54/-86</v>
      </c>
      <c r="S37" s="79" t="str">
        <f t="shared" si="4"/>
        <v>-45/-86</v>
      </c>
      <c r="T37" s="79" t="str">
        <f t="shared" si="5"/>
        <v>-31/-86</v>
      </c>
      <c r="U37" s="79" t="str">
        <f t="shared" si="5"/>
        <v>-8/-86</v>
      </c>
      <c r="V37" s="79" t="str">
        <f t="shared" si="5"/>
        <v>30/-86</v>
      </c>
      <c r="W37" s="79" t="str">
        <f t="shared" si="5"/>
        <v>-62/-94</v>
      </c>
      <c r="X37" s="79" t="str">
        <f t="shared" si="5"/>
        <v>-58/-98</v>
      </c>
      <c r="Y37" s="79" t="str">
        <f t="shared" si="5"/>
        <v>-67/-99</v>
      </c>
      <c r="Z37" s="79" t="str">
        <f t="shared" si="5"/>
        <v>-63/-104</v>
      </c>
      <c r="AA37" s="79" t="str">
        <f t="shared" si="2"/>
        <v>-74/-106</v>
      </c>
      <c r="AB37" s="79" t="str">
        <f t="shared" si="2"/>
        <v>-70/-111</v>
      </c>
      <c r="AC37" s="79" t="str">
        <f t="shared" si="2"/>
        <v>-82/-114</v>
      </c>
      <c r="AD37" s="79" t="str">
        <f t="shared" si="2"/>
        <v>-78/-119</v>
      </c>
      <c r="AE37" s="79" t="str">
        <f t="shared" si="2"/>
        <v>-91/-123</v>
      </c>
      <c r="AF37" s="79" t="str">
        <f t="shared" si="2"/>
        <v>-87/-128</v>
      </c>
      <c r="AG37" s="79" t="str">
        <f t="shared" si="2"/>
        <v>-95/-136</v>
      </c>
      <c r="AH37" s="79" t="str">
        <f t="shared" si="2"/>
        <v>-104/-145</v>
      </c>
      <c r="AI37" s="79" t="str">
        <f t="shared" si="2"/>
        <v>-115/-156</v>
      </c>
      <c r="AJ37" s="79" t="str">
        <f t="shared" si="2"/>
        <v>-131/-172</v>
      </c>
      <c r="AK37" s="79" t="e">
        <f t="shared" si="2"/>
        <v>#VALUE!</v>
      </c>
      <c r="AL37" s="159"/>
      <c r="AM37" s="159"/>
      <c r="AO37" s="134">
        <v>3</v>
      </c>
      <c r="AP37" s="134">
        <v>6</v>
      </c>
      <c r="AQ37">
        <v>-170</v>
      </c>
      <c r="AR37">
        <v>-100</v>
      </c>
      <c r="AS37">
        <v>-48</v>
      </c>
      <c r="AT37">
        <v>-60</v>
      </c>
      <c r="AU37">
        <v>-32</v>
      </c>
      <c r="AV37">
        <v>-38</v>
      </c>
      <c r="AW37" s="145">
        <v>-50</v>
      </c>
      <c r="AX37" s="132">
        <v>-18</v>
      </c>
      <c r="AY37" s="132">
        <v>-22</v>
      </c>
      <c r="AZ37" s="132">
        <v>-28</v>
      </c>
      <c r="BA37" s="132">
        <v>-9</v>
      </c>
      <c r="BB37" s="132">
        <v>-12</v>
      </c>
      <c r="BC37" s="132">
        <v>-5</v>
      </c>
      <c r="BD37" s="132">
        <v>-8</v>
      </c>
      <c r="BE37" s="132">
        <v>-12</v>
      </c>
      <c r="BF37" s="132">
        <v>-18</v>
      </c>
      <c r="BG37" s="132">
        <v>-30</v>
      </c>
      <c r="BH37" s="132">
        <v>-2.5</v>
      </c>
      <c r="BI37" s="132">
        <v>-4</v>
      </c>
      <c r="BJ37" s="132">
        <v>-6</v>
      </c>
      <c r="BK37" s="132">
        <v>1</v>
      </c>
      <c r="BL37" s="132">
        <v>1</v>
      </c>
      <c r="BM37" s="155">
        <v>4</v>
      </c>
      <c r="BN37" s="132">
        <v>4</v>
      </c>
      <c r="BO37" s="132">
        <v>8</v>
      </c>
      <c r="BP37" s="132">
        <v>12</v>
      </c>
      <c r="BQ37" s="79">
        <v>15</v>
      </c>
      <c r="BR37" s="79">
        <v>19</v>
      </c>
      <c r="BS37" s="162" t="s">
        <v>112</v>
      </c>
      <c r="BT37" s="79">
        <v>23</v>
      </c>
      <c r="BU37" s="79">
        <v>28</v>
      </c>
      <c r="BW37" s="134">
        <v>3</v>
      </c>
      <c r="BX37" s="134">
        <v>6</v>
      </c>
      <c r="BY37" s="79">
        <v>140</v>
      </c>
      <c r="BZ37" s="79">
        <v>70</v>
      </c>
      <c r="CA37" s="79">
        <v>70</v>
      </c>
      <c r="CB37" s="79">
        <v>30</v>
      </c>
      <c r="CC37" s="79">
        <v>30</v>
      </c>
      <c r="CD37" s="79">
        <v>30</v>
      </c>
      <c r="CE37" s="79">
        <v>20</v>
      </c>
      <c r="CF37" s="79">
        <v>20</v>
      </c>
      <c r="CG37" s="132">
        <v>20</v>
      </c>
      <c r="CH37" s="132">
        <v>10</v>
      </c>
      <c r="CI37" s="132">
        <v>10</v>
      </c>
      <c r="CJ37" s="132">
        <v>10</v>
      </c>
      <c r="CK37" s="132">
        <v>4</v>
      </c>
      <c r="CL37" s="132">
        <v>4</v>
      </c>
      <c r="CM37" s="132">
        <v>0</v>
      </c>
      <c r="CN37" s="132">
        <v>0</v>
      </c>
      <c r="CO37" s="132">
        <v>0</v>
      </c>
      <c r="CP37" s="132">
        <v>0</v>
      </c>
      <c r="CQ37" s="132">
        <v>0</v>
      </c>
      <c r="CR37" s="132">
        <v>-4</v>
      </c>
      <c r="CS37" s="132">
        <v>-6</v>
      </c>
      <c r="CT37" s="132">
        <v>-6</v>
      </c>
      <c r="CU37" s="132">
        <v>-9</v>
      </c>
      <c r="CV37" s="132">
        <v>-9</v>
      </c>
      <c r="CW37" s="132">
        <v>-12</v>
      </c>
      <c r="CX37" s="132">
        <v>-13</v>
      </c>
      <c r="CY37" s="132">
        <v>-16</v>
      </c>
      <c r="CZ37" s="79">
        <v>-17</v>
      </c>
      <c r="DA37" s="79">
        <v>-20</v>
      </c>
      <c r="DB37" s="79">
        <v>-23</v>
      </c>
      <c r="DC37" s="79">
        <v>-27</v>
      </c>
      <c r="DD37" s="161" t="s">
        <v>161</v>
      </c>
      <c r="DE37" s="79">
        <v>-31</v>
      </c>
      <c r="DF37" s="79">
        <v>-36</v>
      </c>
    </row>
    <row r="38" spans="2:114">
      <c r="B38" s="236"/>
      <c r="C38" s="136" t="s">
        <v>235</v>
      </c>
      <c r="D38" s="79" t="e">
        <f t="shared" si="4"/>
        <v>#VALUE!</v>
      </c>
      <c r="E38" s="79" t="e">
        <f t="shared" si="4"/>
        <v>#VALUE!</v>
      </c>
      <c r="F38" s="79" t="e">
        <f t="shared" si="4"/>
        <v>#VALUE!</v>
      </c>
      <c r="G38" s="79" t="e">
        <f t="shared" si="4"/>
        <v>#VALUE!</v>
      </c>
      <c r="H38" s="79" t="e">
        <f t="shared" si="4"/>
        <v>#VALUE!</v>
      </c>
      <c r="I38" s="79" t="e">
        <f t="shared" si="4"/>
        <v>#VALUE!</v>
      </c>
      <c r="J38" s="79" t="e">
        <f t="shared" si="4"/>
        <v>#VALUE!</v>
      </c>
      <c r="K38" s="79" t="e">
        <f t="shared" si="4"/>
        <v>#VALUE!</v>
      </c>
      <c r="L38" s="79" t="e">
        <f t="shared" si="4"/>
        <v>#VALUE!</v>
      </c>
      <c r="M38" s="79" t="e">
        <f t="shared" si="4"/>
        <v>#VALUE!</v>
      </c>
      <c r="N38" s="79" t="e">
        <f t="shared" si="4"/>
        <v>#VALUE!</v>
      </c>
      <c r="O38" s="79" t="e">
        <f t="shared" si="4"/>
        <v>#VALUE!</v>
      </c>
      <c r="P38" s="79" t="e">
        <f t="shared" si="4"/>
        <v>#VALUE!</v>
      </c>
      <c r="Q38" s="79" t="e">
        <f t="shared" si="4"/>
        <v>#VALUE!</v>
      </c>
      <c r="R38" s="79" t="e">
        <f t="shared" si="4"/>
        <v>#VALUE!</v>
      </c>
      <c r="S38" s="79" t="e">
        <f t="shared" si="4"/>
        <v>#VALUE!</v>
      </c>
      <c r="T38" s="79" t="e">
        <f t="shared" si="5"/>
        <v>#VALUE!</v>
      </c>
      <c r="U38" s="79" t="e">
        <f t="shared" si="5"/>
        <v>#VALUE!</v>
      </c>
      <c r="V38" s="79" t="e">
        <f t="shared" si="5"/>
        <v>#VALUE!</v>
      </c>
      <c r="W38" s="79" t="e">
        <f t="shared" si="5"/>
        <v>#VALUE!</v>
      </c>
      <c r="X38" s="79" t="e">
        <f t="shared" si="5"/>
        <v>#VALUE!</v>
      </c>
      <c r="Y38" s="79" t="e">
        <f t="shared" si="5"/>
        <v>#VALUE!</v>
      </c>
      <c r="Z38" s="79" t="e">
        <f t="shared" si="5"/>
        <v>#VALUE!</v>
      </c>
      <c r="AA38" s="79" t="e">
        <f t="shared" si="2"/>
        <v>#VALUE!</v>
      </c>
      <c r="AB38" s="79" t="e">
        <f t="shared" si="2"/>
        <v>#VALUE!</v>
      </c>
      <c r="AC38" s="79" t="e">
        <f t="shared" si="2"/>
        <v>#VALUE!</v>
      </c>
      <c r="AD38" s="79" t="e">
        <f t="shared" si="2"/>
        <v>#VALUE!</v>
      </c>
      <c r="AE38" s="79" t="e">
        <f t="shared" si="2"/>
        <v>#VALUE!</v>
      </c>
      <c r="AF38" s="79" t="e">
        <f t="shared" si="2"/>
        <v>#VALUE!</v>
      </c>
      <c r="AG38" s="79" t="e">
        <f t="shared" si="2"/>
        <v>#VALUE!</v>
      </c>
      <c r="AH38" s="79" t="e">
        <f t="shared" si="2"/>
        <v>#VALUE!</v>
      </c>
      <c r="AI38" s="79" t="e">
        <f t="shared" si="2"/>
        <v>#VALUE!</v>
      </c>
      <c r="AJ38" s="79" t="e">
        <f t="shared" si="2"/>
        <v>#VALUE!</v>
      </c>
      <c r="AK38" s="79" t="e">
        <f t="shared" si="2"/>
        <v>#VALUE!</v>
      </c>
      <c r="AL38" s="159"/>
      <c r="AM38" s="159"/>
      <c r="AO38" s="134">
        <v>6</v>
      </c>
      <c r="AP38" s="134">
        <v>10</v>
      </c>
      <c r="AQ38">
        <v>-186</v>
      </c>
      <c r="AR38">
        <v>-116</v>
      </c>
      <c r="AS38">
        <v>-62</v>
      </c>
      <c r="AT38">
        <v>-76</v>
      </c>
      <c r="AU38">
        <v>-40</v>
      </c>
      <c r="AV38">
        <v>-47</v>
      </c>
      <c r="AW38" s="145">
        <v>-61</v>
      </c>
      <c r="AX38" s="132">
        <v>-22</v>
      </c>
      <c r="AY38" s="132">
        <v>-28</v>
      </c>
      <c r="AZ38" s="132">
        <v>-35</v>
      </c>
      <c r="BA38" s="132">
        <v>-11</v>
      </c>
      <c r="BB38" s="132">
        <v>-14</v>
      </c>
      <c r="BC38" s="132">
        <v>-6</v>
      </c>
      <c r="BD38" s="132">
        <v>-9</v>
      </c>
      <c r="BE38" s="132">
        <v>-15</v>
      </c>
      <c r="BF38" s="132">
        <v>-22</v>
      </c>
      <c r="BG38" s="132">
        <v>-36</v>
      </c>
      <c r="BH38" s="132">
        <v>-3</v>
      </c>
      <c r="BI38" s="132">
        <v>-4.5</v>
      </c>
      <c r="BJ38" s="132">
        <v>-7</v>
      </c>
      <c r="BK38" s="132">
        <v>1</v>
      </c>
      <c r="BL38" s="132">
        <v>1</v>
      </c>
      <c r="BM38" s="155">
        <v>6</v>
      </c>
      <c r="BN38" s="132">
        <v>6</v>
      </c>
      <c r="BO38" s="132">
        <v>10</v>
      </c>
      <c r="BP38" s="132">
        <v>15</v>
      </c>
      <c r="BQ38" s="79">
        <v>19</v>
      </c>
      <c r="BR38" s="79">
        <v>23</v>
      </c>
      <c r="BS38" s="162" t="s">
        <v>112</v>
      </c>
      <c r="BT38" s="79">
        <v>28</v>
      </c>
      <c r="BU38" s="79">
        <v>34</v>
      </c>
      <c r="BW38" s="134">
        <v>6</v>
      </c>
      <c r="BX38" s="134">
        <v>10</v>
      </c>
      <c r="BY38" s="79">
        <v>150</v>
      </c>
      <c r="BZ38" s="79">
        <v>80</v>
      </c>
      <c r="CA38" s="79">
        <v>80</v>
      </c>
      <c r="CB38" s="79">
        <v>40</v>
      </c>
      <c r="CC38" s="79">
        <v>40</v>
      </c>
      <c r="CD38" s="79">
        <v>40</v>
      </c>
      <c r="CE38" s="79">
        <v>25</v>
      </c>
      <c r="CF38" s="79">
        <v>25</v>
      </c>
      <c r="CG38" s="132">
        <v>25</v>
      </c>
      <c r="CH38" s="132">
        <v>13</v>
      </c>
      <c r="CI38" s="132">
        <v>13</v>
      </c>
      <c r="CJ38" s="132">
        <v>13</v>
      </c>
      <c r="CK38" s="132">
        <v>5</v>
      </c>
      <c r="CL38" s="132">
        <v>5</v>
      </c>
      <c r="CM38" s="132">
        <v>0</v>
      </c>
      <c r="CN38" s="132">
        <v>0</v>
      </c>
      <c r="CO38" s="132">
        <v>0</v>
      </c>
      <c r="CP38" s="132">
        <v>0</v>
      </c>
      <c r="CQ38" s="132">
        <v>0</v>
      </c>
      <c r="CR38" s="132">
        <v>-4.5</v>
      </c>
      <c r="CS38" s="132">
        <v>-7</v>
      </c>
      <c r="CT38" s="132">
        <v>-7</v>
      </c>
      <c r="CU38" s="132">
        <v>-10</v>
      </c>
      <c r="CV38" s="132">
        <v>-12</v>
      </c>
      <c r="CW38" s="132">
        <v>-15</v>
      </c>
      <c r="CX38" s="132">
        <v>-16</v>
      </c>
      <c r="CY38" s="132">
        <v>-19</v>
      </c>
      <c r="CZ38" s="79">
        <v>-21</v>
      </c>
      <c r="DA38" s="79">
        <v>-24</v>
      </c>
      <c r="DB38" s="79">
        <v>-28</v>
      </c>
      <c r="DC38" s="79">
        <v>-32</v>
      </c>
      <c r="DD38" s="161" t="s">
        <v>161</v>
      </c>
      <c r="DE38" s="79">
        <v>-37</v>
      </c>
      <c r="DF38" s="79">
        <v>-43</v>
      </c>
      <c r="DH38" s="148"/>
      <c r="DI38" s="148"/>
      <c r="DJ38" s="148"/>
    </row>
    <row r="39" spans="2:114">
      <c r="Z39" s="159"/>
      <c r="AA39" s="159"/>
      <c r="AB39" s="159"/>
      <c r="AC39" s="159"/>
      <c r="AD39" s="159"/>
      <c r="AE39" s="159"/>
      <c r="AF39" s="159"/>
      <c r="AG39" s="159"/>
      <c r="AH39" s="159"/>
      <c r="AI39" s="159"/>
      <c r="AJ39" s="159"/>
      <c r="AK39" s="159"/>
      <c r="AL39" s="159"/>
      <c r="AM39" s="159"/>
      <c r="AO39" s="135">
        <v>10</v>
      </c>
      <c r="AP39" s="135">
        <v>14</v>
      </c>
      <c r="AQ39">
        <v>-138</v>
      </c>
      <c r="AR39">
        <v>-138</v>
      </c>
      <c r="AS39">
        <v>-77</v>
      </c>
      <c r="AT39">
        <v>-93</v>
      </c>
      <c r="AU39">
        <v>-50</v>
      </c>
      <c r="AV39">
        <v>-59</v>
      </c>
      <c r="AW39" s="145">
        <v>-75</v>
      </c>
      <c r="AX39" s="132">
        <v>-27</v>
      </c>
      <c r="AY39" s="132">
        <v>-34</v>
      </c>
      <c r="AZ39" s="132">
        <v>-43</v>
      </c>
      <c r="BA39" s="132">
        <v>-14</v>
      </c>
      <c r="BB39" s="132">
        <v>-17</v>
      </c>
      <c r="BC39" s="132">
        <v>-8</v>
      </c>
      <c r="BD39" s="132">
        <v>-11</v>
      </c>
      <c r="BE39" s="132">
        <v>-18</v>
      </c>
      <c r="BF39" s="132">
        <v>-27</v>
      </c>
      <c r="BG39" s="132">
        <v>-43</v>
      </c>
      <c r="BH39" s="132">
        <v>-1</v>
      </c>
      <c r="BI39" s="132">
        <v>-5.5</v>
      </c>
      <c r="BJ39" s="132">
        <v>-9</v>
      </c>
      <c r="BK39" s="132">
        <v>1</v>
      </c>
      <c r="BL39" s="132">
        <v>1</v>
      </c>
      <c r="BM39" s="155">
        <v>7</v>
      </c>
      <c r="BN39" s="132">
        <v>7</v>
      </c>
      <c r="BO39" s="132">
        <v>12</v>
      </c>
      <c r="BP39" s="132">
        <v>18</v>
      </c>
      <c r="BQ39" s="79">
        <v>23</v>
      </c>
      <c r="BR39" s="79">
        <v>28</v>
      </c>
      <c r="BS39" s="162" t="s">
        <v>112</v>
      </c>
      <c r="BT39" s="79">
        <v>33</v>
      </c>
      <c r="BU39" s="79">
        <v>40</v>
      </c>
      <c r="BW39" s="135">
        <v>10</v>
      </c>
      <c r="BX39" s="135">
        <v>14</v>
      </c>
      <c r="BY39" s="79">
        <v>150</v>
      </c>
      <c r="BZ39" s="79">
        <v>95</v>
      </c>
      <c r="CA39" s="79">
        <v>95</v>
      </c>
      <c r="CB39" s="79">
        <v>50</v>
      </c>
      <c r="CC39" s="79">
        <v>50</v>
      </c>
      <c r="CD39" s="79">
        <v>50</v>
      </c>
      <c r="CE39" s="79">
        <v>32</v>
      </c>
      <c r="CF39" s="79">
        <v>32</v>
      </c>
      <c r="CG39" s="132">
        <v>32</v>
      </c>
      <c r="CH39" s="132">
        <v>16</v>
      </c>
      <c r="CI39" s="132">
        <v>16</v>
      </c>
      <c r="CJ39" s="132">
        <v>16</v>
      </c>
      <c r="CK39" s="132">
        <v>6</v>
      </c>
      <c r="CL39" s="132">
        <v>6</v>
      </c>
      <c r="CM39" s="132">
        <v>0</v>
      </c>
      <c r="CN39" s="132">
        <v>0</v>
      </c>
      <c r="CO39" s="132">
        <v>0</v>
      </c>
      <c r="CP39" s="132">
        <v>0</v>
      </c>
      <c r="CQ39" s="132">
        <v>0</v>
      </c>
      <c r="CR39" s="132">
        <v>-5.5</v>
      </c>
      <c r="CS39" s="132">
        <v>-9</v>
      </c>
      <c r="CT39" s="132">
        <v>-9</v>
      </c>
      <c r="CU39" s="132">
        <v>-12</v>
      </c>
      <c r="CV39" s="132">
        <v>-15</v>
      </c>
      <c r="CW39" s="132">
        <v>-18</v>
      </c>
      <c r="CX39" s="132">
        <v>-20</v>
      </c>
      <c r="CY39" s="132">
        <v>-23</v>
      </c>
      <c r="CZ39" s="79">
        <v>-26</v>
      </c>
      <c r="DA39" s="79">
        <v>-29</v>
      </c>
      <c r="DB39" s="79">
        <v>-34</v>
      </c>
      <c r="DC39" s="79">
        <v>-39</v>
      </c>
      <c r="DD39" s="161" t="s">
        <v>161</v>
      </c>
      <c r="DE39" s="79">
        <v>-44</v>
      </c>
      <c r="DF39" s="79">
        <v>-51</v>
      </c>
    </row>
    <row r="40" spans="2:114">
      <c r="Z40" s="159"/>
      <c r="AA40" s="159"/>
      <c r="AB40" s="159"/>
      <c r="AC40" s="159"/>
      <c r="AD40" s="159"/>
      <c r="AE40" s="159"/>
      <c r="AF40" s="159"/>
      <c r="AG40" s="159"/>
      <c r="AH40" s="159"/>
      <c r="AI40" s="159"/>
      <c r="AJ40" s="159"/>
      <c r="AK40" s="159"/>
      <c r="AL40" s="159"/>
      <c r="AM40" s="159"/>
      <c r="AO40" s="135">
        <v>14</v>
      </c>
      <c r="AP40" s="135">
        <v>18</v>
      </c>
      <c r="AQ40">
        <v>-138</v>
      </c>
      <c r="AR40">
        <v>-138</v>
      </c>
      <c r="AS40">
        <v>-77</v>
      </c>
      <c r="AT40">
        <v>-93</v>
      </c>
      <c r="AU40">
        <v>-50</v>
      </c>
      <c r="AV40">
        <v>-59</v>
      </c>
      <c r="AW40" s="145">
        <v>-75</v>
      </c>
      <c r="AX40" s="132">
        <v>-27</v>
      </c>
      <c r="AY40" s="132">
        <v>-34</v>
      </c>
      <c r="AZ40" s="132">
        <v>-43</v>
      </c>
      <c r="BA40" s="132">
        <v>-14</v>
      </c>
      <c r="BB40" s="132">
        <v>-17</v>
      </c>
      <c r="BC40" s="132">
        <v>-8</v>
      </c>
      <c r="BD40" s="132">
        <v>-11</v>
      </c>
      <c r="BE40" s="132">
        <v>-18</v>
      </c>
      <c r="BF40" s="132">
        <v>-27</v>
      </c>
      <c r="BG40" s="132">
        <v>-43</v>
      </c>
      <c r="BH40" s="132">
        <v>-1</v>
      </c>
      <c r="BI40" s="132">
        <v>-5.5</v>
      </c>
      <c r="BJ40" s="132">
        <v>-9</v>
      </c>
      <c r="BK40" s="132">
        <v>1</v>
      </c>
      <c r="BL40" s="132">
        <v>1</v>
      </c>
      <c r="BM40" s="155">
        <v>7</v>
      </c>
      <c r="BN40" s="132">
        <v>7</v>
      </c>
      <c r="BO40" s="132">
        <v>12</v>
      </c>
      <c r="BP40" s="132">
        <v>18</v>
      </c>
      <c r="BQ40" s="79">
        <v>23</v>
      </c>
      <c r="BR40" s="79">
        <v>28</v>
      </c>
      <c r="BS40" s="162" t="s">
        <v>112</v>
      </c>
      <c r="BT40" s="79">
        <v>33</v>
      </c>
      <c r="BU40" s="79">
        <v>45</v>
      </c>
      <c r="BW40" s="135">
        <v>14</v>
      </c>
      <c r="BX40" s="135">
        <v>18</v>
      </c>
      <c r="BY40" s="79">
        <v>150</v>
      </c>
      <c r="BZ40" s="79">
        <v>95</v>
      </c>
      <c r="CA40" s="79">
        <v>95</v>
      </c>
      <c r="CB40" s="79">
        <v>50</v>
      </c>
      <c r="CC40" s="79">
        <v>50</v>
      </c>
      <c r="CD40" s="79">
        <v>50</v>
      </c>
      <c r="CE40" s="79">
        <v>32</v>
      </c>
      <c r="CF40" s="79">
        <v>32</v>
      </c>
      <c r="CG40" s="132">
        <v>32</v>
      </c>
      <c r="CH40" s="132">
        <v>16</v>
      </c>
      <c r="CI40" s="132">
        <v>16</v>
      </c>
      <c r="CJ40" s="132">
        <v>16</v>
      </c>
      <c r="CK40" s="132">
        <v>6</v>
      </c>
      <c r="CL40" s="132">
        <v>6</v>
      </c>
      <c r="CM40" s="132">
        <v>0</v>
      </c>
      <c r="CN40" s="132">
        <v>0</v>
      </c>
      <c r="CO40" s="132">
        <v>0</v>
      </c>
      <c r="CP40" s="132">
        <v>0</v>
      </c>
      <c r="CQ40" s="132">
        <v>0</v>
      </c>
      <c r="CR40" s="132">
        <v>-5.5</v>
      </c>
      <c r="CS40" s="132">
        <v>-9</v>
      </c>
      <c r="CT40" s="132">
        <v>-9</v>
      </c>
      <c r="CU40" s="132">
        <v>-12</v>
      </c>
      <c r="CV40" s="132">
        <v>-15</v>
      </c>
      <c r="CW40" s="132">
        <v>-18</v>
      </c>
      <c r="CX40" s="132">
        <v>-20</v>
      </c>
      <c r="CY40" s="132">
        <v>-23</v>
      </c>
      <c r="CZ40" s="79">
        <v>-26</v>
      </c>
      <c r="DA40" s="79">
        <v>-29</v>
      </c>
      <c r="DB40" s="79">
        <v>-34</v>
      </c>
      <c r="DC40" s="79">
        <v>-39</v>
      </c>
      <c r="DD40" s="161" t="s">
        <v>161</v>
      </c>
      <c r="DE40" s="79">
        <v>-44</v>
      </c>
      <c r="DF40" s="79">
        <v>-56</v>
      </c>
    </row>
    <row r="41" spans="2:114">
      <c r="M41" t="e" cm="1">
        <f t="array" ref="M41">iserr</f>
        <v>#NAME?</v>
      </c>
      <c r="AO41" s="135">
        <v>18</v>
      </c>
      <c r="AP41" s="135">
        <v>24</v>
      </c>
      <c r="AQ41">
        <v>-212</v>
      </c>
      <c r="AR41">
        <v>-162</v>
      </c>
      <c r="AS41">
        <v>-98</v>
      </c>
      <c r="AT41">
        <v>-117</v>
      </c>
      <c r="AU41">
        <v>-61</v>
      </c>
      <c r="AV41">
        <v>-73</v>
      </c>
      <c r="AW41" s="145">
        <v>-92</v>
      </c>
      <c r="AX41" s="132">
        <v>-33</v>
      </c>
      <c r="AY41" s="132">
        <v>-41</v>
      </c>
      <c r="AZ41" s="132">
        <v>-53</v>
      </c>
      <c r="BA41" s="132">
        <v>-16</v>
      </c>
      <c r="BB41" s="132">
        <v>-20</v>
      </c>
      <c r="BC41" s="132">
        <v>-9</v>
      </c>
      <c r="BD41" s="132">
        <v>-13</v>
      </c>
      <c r="BE41" s="132">
        <v>-21</v>
      </c>
      <c r="BF41" s="132">
        <v>-33</v>
      </c>
      <c r="BG41" s="132">
        <v>-52</v>
      </c>
      <c r="BH41" s="132">
        <v>-4.5</v>
      </c>
      <c r="BI41" s="132">
        <v>-6.5</v>
      </c>
      <c r="BJ41" s="132">
        <v>-10</v>
      </c>
      <c r="BK41" s="132">
        <v>2</v>
      </c>
      <c r="BL41" s="132">
        <v>2</v>
      </c>
      <c r="BM41" s="155">
        <v>8</v>
      </c>
      <c r="BN41" s="132">
        <v>8</v>
      </c>
      <c r="BO41" s="132">
        <v>15</v>
      </c>
      <c r="BP41" s="132">
        <v>22</v>
      </c>
      <c r="BQ41" s="79">
        <v>28</v>
      </c>
      <c r="BR41" s="79">
        <v>35</v>
      </c>
      <c r="BS41" s="162" t="s">
        <v>112</v>
      </c>
      <c r="BT41" s="79">
        <v>41</v>
      </c>
      <c r="BU41" s="79">
        <v>54</v>
      </c>
      <c r="BW41" s="135">
        <v>18</v>
      </c>
      <c r="BX41" s="135">
        <v>24</v>
      </c>
      <c r="BY41" s="79">
        <v>160</v>
      </c>
      <c r="BZ41" s="79">
        <v>110</v>
      </c>
      <c r="CA41" s="79">
        <v>110</v>
      </c>
      <c r="CB41" s="79">
        <v>65</v>
      </c>
      <c r="CC41" s="79">
        <v>65</v>
      </c>
      <c r="CD41" s="79">
        <v>65</v>
      </c>
      <c r="CE41" s="79">
        <v>40</v>
      </c>
      <c r="CF41" s="79">
        <v>40</v>
      </c>
      <c r="CG41" s="132">
        <v>40</v>
      </c>
      <c r="CH41" s="132">
        <v>20</v>
      </c>
      <c r="CI41" s="132">
        <v>20</v>
      </c>
      <c r="CJ41" s="132">
        <v>20</v>
      </c>
      <c r="CK41" s="132">
        <v>7</v>
      </c>
      <c r="CL41" s="132">
        <v>7</v>
      </c>
      <c r="CM41" s="132">
        <v>0</v>
      </c>
      <c r="CN41" s="132">
        <v>0</v>
      </c>
      <c r="CO41" s="132">
        <v>0</v>
      </c>
      <c r="CP41" s="132">
        <v>0</v>
      </c>
      <c r="CQ41" s="132">
        <v>0</v>
      </c>
      <c r="CR41" s="132">
        <v>-6.5</v>
      </c>
      <c r="CS41" s="132">
        <v>-10</v>
      </c>
      <c r="CT41" s="132">
        <v>-11</v>
      </c>
      <c r="CU41" s="132">
        <v>-15</v>
      </c>
      <c r="CV41" s="132">
        <v>-17</v>
      </c>
      <c r="CW41" s="132">
        <v>-21</v>
      </c>
      <c r="CX41" s="132">
        <v>-24</v>
      </c>
      <c r="CY41" s="132">
        <v>-28</v>
      </c>
      <c r="CZ41" s="79">
        <v>-31</v>
      </c>
      <c r="DA41" s="79">
        <v>-35</v>
      </c>
      <c r="DB41" s="79">
        <v>-41</v>
      </c>
      <c r="DC41" s="79">
        <v>-48</v>
      </c>
      <c r="DD41" s="161" t="s">
        <v>161</v>
      </c>
      <c r="DE41" s="79">
        <v>-54</v>
      </c>
      <c r="DF41" s="79">
        <v>-67</v>
      </c>
    </row>
    <row r="42" spans="2:114">
      <c r="AO42" s="135">
        <v>24</v>
      </c>
      <c r="AP42" s="135">
        <v>30</v>
      </c>
      <c r="AQ42">
        <v>-212</v>
      </c>
      <c r="AR42">
        <v>-162</v>
      </c>
      <c r="AS42">
        <v>-98</v>
      </c>
      <c r="AT42">
        <v>-117</v>
      </c>
      <c r="AU42">
        <v>-61</v>
      </c>
      <c r="AV42">
        <v>-73</v>
      </c>
      <c r="AW42" s="145">
        <v>-92</v>
      </c>
      <c r="AX42" s="132">
        <v>-33</v>
      </c>
      <c r="AY42" s="132">
        <v>-41</v>
      </c>
      <c r="AZ42" s="132">
        <v>-53</v>
      </c>
      <c r="BA42" s="132">
        <v>-16</v>
      </c>
      <c r="BB42" s="132">
        <v>-20</v>
      </c>
      <c r="BC42" s="132">
        <v>-9</v>
      </c>
      <c r="BD42" s="132">
        <v>-13</v>
      </c>
      <c r="BE42" s="132">
        <v>-21</v>
      </c>
      <c r="BF42" s="132">
        <v>-33</v>
      </c>
      <c r="BG42" s="132">
        <v>-52</v>
      </c>
      <c r="BH42" s="132">
        <v>-4.5</v>
      </c>
      <c r="BI42" s="132">
        <v>-6.5</v>
      </c>
      <c r="BJ42" s="132">
        <v>-10</v>
      </c>
      <c r="BK42" s="132">
        <v>2</v>
      </c>
      <c r="BL42" s="132">
        <v>2</v>
      </c>
      <c r="BM42" s="155">
        <v>8</v>
      </c>
      <c r="BN42" s="132">
        <v>8</v>
      </c>
      <c r="BO42" s="132">
        <v>15</v>
      </c>
      <c r="BP42" s="132">
        <v>22</v>
      </c>
      <c r="BQ42" s="79">
        <v>28</v>
      </c>
      <c r="BR42" s="79">
        <v>35</v>
      </c>
      <c r="BS42" s="79">
        <v>41</v>
      </c>
      <c r="BT42" s="79">
        <v>48</v>
      </c>
      <c r="BU42" s="79">
        <v>64</v>
      </c>
      <c r="BW42" s="135">
        <v>24</v>
      </c>
      <c r="BX42" s="135">
        <v>30</v>
      </c>
      <c r="BY42" s="79">
        <v>160</v>
      </c>
      <c r="BZ42" s="79">
        <v>110</v>
      </c>
      <c r="CA42" s="79">
        <v>110</v>
      </c>
      <c r="CB42" s="79">
        <v>65</v>
      </c>
      <c r="CC42" s="79">
        <v>65</v>
      </c>
      <c r="CD42" s="79">
        <v>65</v>
      </c>
      <c r="CE42" s="79">
        <v>40</v>
      </c>
      <c r="CF42" s="79">
        <v>40</v>
      </c>
      <c r="CG42" s="132">
        <v>40</v>
      </c>
      <c r="CH42" s="132">
        <v>20</v>
      </c>
      <c r="CI42" s="132">
        <v>20</v>
      </c>
      <c r="CJ42" s="132">
        <v>20</v>
      </c>
      <c r="CK42" s="132">
        <v>7</v>
      </c>
      <c r="CL42" s="132">
        <v>7</v>
      </c>
      <c r="CM42" s="132">
        <v>0</v>
      </c>
      <c r="CN42" s="132">
        <v>0</v>
      </c>
      <c r="CO42" s="132">
        <v>0</v>
      </c>
      <c r="CP42" s="132">
        <v>0</v>
      </c>
      <c r="CQ42" s="132">
        <v>0</v>
      </c>
      <c r="CR42" s="132">
        <v>-6.5</v>
      </c>
      <c r="CS42" s="132">
        <v>-10</v>
      </c>
      <c r="CT42" s="132">
        <v>-11</v>
      </c>
      <c r="CU42" s="132">
        <v>-15</v>
      </c>
      <c r="CV42" s="132">
        <v>-17</v>
      </c>
      <c r="CW42" s="132">
        <v>-21</v>
      </c>
      <c r="CX42" s="132">
        <v>-24</v>
      </c>
      <c r="CY42" s="132">
        <v>-28</v>
      </c>
      <c r="CZ42" s="79">
        <v>-31</v>
      </c>
      <c r="DA42" s="79">
        <v>-35</v>
      </c>
      <c r="DB42" s="79">
        <v>-41</v>
      </c>
      <c r="DC42" s="79">
        <v>-48</v>
      </c>
      <c r="DD42" s="79">
        <v>-54</v>
      </c>
      <c r="DE42" s="79">
        <v>-61</v>
      </c>
      <c r="DF42" s="79">
        <v>-77</v>
      </c>
    </row>
    <row r="43" spans="2:114">
      <c r="AO43" s="135">
        <v>30</v>
      </c>
      <c r="AP43" s="135">
        <v>40</v>
      </c>
      <c r="AQ43">
        <v>-232</v>
      </c>
      <c r="AR43">
        <v>-182</v>
      </c>
      <c r="AS43">
        <v>-119</v>
      </c>
      <c r="AT43">
        <v>-142</v>
      </c>
      <c r="AU43">
        <v>-75</v>
      </c>
      <c r="AV43">
        <v>-89</v>
      </c>
      <c r="AW43" s="145">
        <v>-112</v>
      </c>
      <c r="AX43" s="132">
        <v>-41</v>
      </c>
      <c r="AY43" s="132">
        <v>-50</v>
      </c>
      <c r="AZ43" s="132">
        <v>-64</v>
      </c>
      <c r="BA43" s="132">
        <v>-20</v>
      </c>
      <c r="BB43" s="132">
        <v>-25</v>
      </c>
      <c r="BC43" s="132">
        <v>-11</v>
      </c>
      <c r="BD43" s="132">
        <v>-16</v>
      </c>
      <c r="BE43" s="132">
        <v>-25</v>
      </c>
      <c r="BF43" s="132">
        <v>-39</v>
      </c>
      <c r="BG43" s="132">
        <v>-62</v>
      </c>
      <c r="BH43" s="132">
        <v>-5.5</v>
      </c>
      <c r="BI43" s="132">
        <v>-8</v>
      </c>
      <c r="BJ43" s="132">
        <v>-12</v>
      </c>
      <c r="BK43" s="132">
        <v>2</v>
      </c>
      <c r="BL43" s="132">
        <v>2</v>
      </c>
      <c r="BM43" s="155">
        <v>9</v>
      </c>
      <c r="BN43" s="132">
        <v>9</v>
      </c>
      <c r="BO43" s="132">
        <v>17</v>
      </c>
      <c r="BP43" s="132">
        <v>26</v>
      </c>
      <c r="BQ43" s="79">
        <v>34</v>
      </c>
      <c r="BR43" s="79">
        <v>43</v>
      </c>
      <c r="BS43" s="79">
        <v>48</v>
      </c>
      <c r="BT43" s="79">
        <v>60</v>
      </c>
      <c r="BU43" s="162" t="s">
        <v>112</v>
      </c>
      <c r="BW43" s="135">
        <v>30</v>
      </c>
      <c r="BX43" s="135">
        <v>40</v>
      </c>
      <c r="BY43" s="79">
        <v>170</v>
      </c>
      <c r="BZ43" s="79">
        <v>120</v>
      </c>
      <c r="CA43" s="79">
        <v>120</v>
      </c>
      <c r="CB43" s="79">
        <v>80</v>
      </c>
      <c r="CC43" s="79">
        <v>80</v>
      </c>
      <c r="CD43" s="79">
        <v>80</v>
      </c>
      <c r="CE43" s="79">
        <v>50</v>
      </c>
      <c r="CF43" s="79">
        <v>50</v>
      </c>
      <c r="CG43" s="132">
        <v>50</v>
      </c>
      <c r="CH43" s="132">
        <v>25</v>
      </c>
      <c r="CI43" s="132">
        <v>25</v>
      </c>
      <c r="CJ43" s="132">
        <v>25</v>
      </c>
      <c r="CK43" s="132">
        <v>9</v>
      </c>
      <c r="CL43" s="132">
        <v>9</v>
      </c>
      <c r="CM43" s="132">
        <v>0</v>
      </c>
      <c r="CN43" s="132">
        <v>0</v>
      </c>
      <c r="CO43" s="132">
        <v>0</v>
      </c>
      <c r="CP43" s="132">
        <v>0</v>
      </c>
      <c r="CQ43" s="132">
        <v>0</v>
      </c>
      <c r="CR43" s="132">
        <v>-8</v>
      </c>
      <c r="CS43" s="132">
        <v>-12</v>
      </c>
      <c r="CT43" s="132">
        <v>-13</v>
      </c>
      <c r="CU43" s="132">
        <v>-18</v>
      </c>
      <c r="CV43" s="132">
        <v>-20</v>
      </c>
      <c r="CW43" s="132">
        <v>-25</v>
      </c>
      <c r="CX43" s="132">
        <v>-28</v>
      </c>
      <c r="CY43" s="132">
        <v>-33</v>
      </c>
      <c r="CZ43" s="79">
        <v>-37</v>
      </c>
      <c r="DA43" s="79">
        <v>-42</v>
      </c>
      <c r="DB43" s="79">
        <v>-50</v>
      </c>
      <c r="DC43" s="79">
        <v>-59</v>
      </c>
      <c r="DD43" s="79">
        <v>-64</v>
      </c>
      <c r="DE43" s="79">
        <v>-76</v>
      </c>
      <c r="DF43" s="161" t="s">
        <v>161</v>
      </c>
    </row>
    <row r="44" spans="2:114">
      <c r="AO44" s="135">
        <v>40</v>
      </c>
      <c r="AP44" s="135">
        <v>50</v>
      </c>
      <c r="AQ44">
        <v>-242</v>
      </c>
      <c r="AR44">
        <v>-192</v>
      </c>
      <c r="AS44">
        <v>-119</v>
      </c>
      <c r="AT44">
        <v>-142</v>
      </c>
      <c r="AU44">
        <v>-75</v>
      </c>
      <c r="AV44">
        <v>-89</v>
      </c>
      <c r="AW44" s="145">
        <v>-112</v>
      </c>
      <c r="AX44" s="132">
        <v>-41</v>
      </c>
      <c r="AY44" s="132">
        <v>-50</v>
      </c>
      <c r="AZ44" s="132">
        <v>-64</v>
      </c>
      <c r="BA44" s="132">
        <v>-20</v>
      </c>
      <c r="BB44" s="132">
        <v>-25</v>
      </c>
      <c r="BC44" s="132">
        <v>-11</v>
      </c>
      <c r="BD44" s="132">
        <v>-16</v>
      </c>
      <c r="BE44" s="132">
        <v>-25</v>
      </c>
      <c r="BF44" s="132">
        <v>-39</v>
      </c>
      <c r="BG44" s="132">
        <v>-62</v>
      </c>
      <c r="BH44" s="132">
        <v>-5.5</v>
      </c>
      <c r="BI44" s="132">
        <v>-8</v>
      </c>
      <c r="BJ44" s="132">
        <v>-12</v>
      </c>
      <c r="BK44" s="132">
        <v>2</v>
      </c>
      <c r="BL44" s="132">
        <v>2</v>
      </c>
      <c r="BM44" s="155">
        <v>9</v>
      </c>
      <c r="BN44" s="132">
        <v>9</v>
      </c>
      <c r="BO44" s="132">
        <v>17</v>
      </c>
      <c r="BP44" s="132">
        <v>26</v>
      </c>
      <c r="BQ44" s="79">
        <v>34</v>
      </c>
      <c r="BR44" s="79">
        <v>43</v>
      </c>
      <c r="BS44" s="79">
        <v>54</v>
      </c>
      <c r="BT44" s="79">
        <v>70</v>
      </c>
      <c r="BU44" s="162" t="s">
        <v>112</v>
      </c>
      <c r="BW44" s="135">
        <v>40</v>
      </c>
      <c r="BX44" s="135">
        <v>50</v>
      </c>
      <c r="BY44" s="79">
        <v>180</v>
      </c>
      <c r="BZ44" s="79">
        <v>130</v>
      </c>
      <c r="CA44" s="79">
        <v>130</v>
      </c>
      <c r="CB44" s="79">
        <v>80</v>
      </c>
      <c r="CC44" s="79">
        <v>80</v>
      </c>
      <c r="CD44" s="79">
        <v>80</v>
      </c>
      <c r="CE44" s="79">
        <v>50</v>
      </c>
      <c r="CF44" s="79">
        <v>50</v>
      </c>
      <c r="CG44" s="132">
        <v>50</v>
      </c>
      <c r="CH44" s="132">
        <v>25</v>
      </c>
      <c r="CI44" s="132">
        <v>25</v>
      </c>
      <c r="CJ44" s="132">
        <v>25</v>
      </c>
      <c r="CK44" s="132">
        <v>9</v>
      </c>
      <c r="CL44" s="132">
        <v>9</v>
      </c>
      <c r="CM44" s="132">
        <v>0</v>
      </c>
      <c r="CN44" s="132">
        <v>0</v>
      </c>
      <c r="CO44" s="132">
        <v>0</v>
      </c>
      <c r="CP44" s="132">
        <v>0</v>
      </c>
      <c r="CQ44" s="132">
        <v>0</v>
      </c>
      <c r="CR44" s="132">
        <v>-8</v>
      </c>
      <c r="CS44" s="132">
        <v>-12</v>
      </c>
      <c r="CT44" s="132">
        <v>-13</v>
      </c>
      <c r="CU44" s="132">
        <v>-18</v>
      </c>
      <c r="CV44" s="132">
        <v>-20</v>
      </c>
      <c r="CW44" s="132">
        <v>-25</v>
      </c>
      <c r="CX44" s="132">
        <v>-28</v>
      </c>
      <c r="CY44" s="132">
        <v>-33</v>
      </c>
      <c r="CZ44" s="79">
        <v>-37</v>
      </c>
      <c r="DA44" s="79">
        <v>-42</v>
      </c>
      <c r="DB44" s="79">
        <v>-50</v>
      </c>
      <c r="DC44" s="79">
        <v>-59</v>
      </c>
      <c r="DD44" s="79">
        <v>-70</v>
      </c>
      <c r="DE44" s="79">
        <v>-86</v>
      </c>
      <c r="DF44" s="161" t="s">
        <v>161</v>
      </c>
    </row>
    <row r="45" spans="2:114">
      <c r="AO45" s="135">
        <v>50</v>
      </c>
      <c r="AP45" s="135">
        <v>65</v>
      </c>
      <c r="AQ45">
        <v>-264</v>
      </c>
      <c r="AR45">
        <v>-214</v>
      </c>
      <c r="AS45">
        <v>-146</v>
      </c>
      <c r="AT45">
        <v>-174</v>
      </c>
      <c r="AU45">
        <v>-90</v>
      </c>
      <c r="AV45">
        <v>-106</v>
      </c>
      <c r="AW45" s="145">
        <v>-134</v>
      </c>
      <c r="AX45" s="132">
        <v>-49</v>
      </c>
      <c r="AY45" s="132">
        <v>-60</v>
      </c>
      <c r="AZ45" s="132">
        <v>-76</v>
      </c>
      <c r="BA45" s="132">
        <v>-23</v>
      </c>
      <c r="BB45" s="132">
        <v>-29</v>
      </c>
      <c r="BC45" s="132">
        <v>-13</v>
      </c>
      <c r="BD45" s="132">
        <v>-19</v>
      </c>
      <c r="BE45" s="132">
        <v>-30</v>
      </c>
      <c r="BF45" s="132">
        <v>-46</v>
      </c>
      <c r="BG45" s="132">
        <v>-74</v>
      </c>
      <c r="BH45" s="132">
        <v>-6.5</v>
      </c>
      <c r="BI45" s="132">
        <v>-9.5</v>
      </c>
      <c r="BJ45" s="132">
        <v>-15</v>
      </c>
      <c r="BK45" s="132">
        <v>2</v>
      </c>
      <c r="BL45" s="132">
        <v>2</v>
      </c>
      <c r="BM45" s="155">
        <v>11</v>
      </c>
      <c r="BN45" s="132">
        <v>11</v>
      </c>
      <c r="BO45" s="132">
        <v>20</v>
      </c>
      <c r="BP45" s="132">
        <v>32</v>
      </c>
      <c r="BQ45" s="79">
        <v>41</v>
      </c>
      <c r="BR45" s="79">
        <v>53</v>
      </c>
      <c r="BS45" s="79">
        <v>66</v>
      </c>
      <c r="BT45" s="79">
        <v>87</v>
      </c>
      <c r="BU45" s="162" t="s">
        <v>112</v>
      </c>
      <c r="BW45" s="135">
        <v>50</v>
      </c>
      <c r="BX45" s="135">
        <v>65</v>
      </c>
      <c r="BY45" s="79">
        <v>190</v>
      </c>
      <c r="BZ45" s="79">
        <v>140</v>
      </c>
      <c r="CA45" s="79">
        <v>140</v>
      </c>
      <c r="CB45" s="79">
        <v>100</v>
      </c>
      <c r="CC45" s="79">
        <v>100</v>
      </c>
      <c r="CD45" s="79">
        <v>100</v>
      </c>
      <c r="CE45" s="79">
        <v>60</v>
      </c>
      <c r="CF45" s="79">
        <v>60</v>
      </c>
      <c r="CG45" s="132">
        <v>60</v>
      </c>
      <c r="CH45" s="132">
        <v>30</v>
      </c>
      <c r="CI45" s="132">
        <v>30</v>
      </c>
      <c r="CJ45" s="132">
        <v>30</v>
      </c>
      <c r="CK45" s="132">
        <v>10</v>
      </c>
      <c r="CL45" s="132">
        <v>10</v>
      </c>
      <c r="CM45" s="132">
        <v>0</v>
      </c>
      <c r="CN45" s="132">
        <v>0</v>
      </c>
      <c r="CO45" s="132">
        <v>0</v>
      </c>
      <c r="CP45" s="132">
        <v>0</v>
      </c>
      <c r="CQ45" s="132">
        <v>0</v>
      </c>
      <c r="CR45" s="132">
        <v>-9.5</v>
      </c>
      <c r="CS45" s="132">
        <v>-15</v>
      </c>
      <c r="CT45" s="132">
        <v>-15</v>
      </c>
      <c r="CU45" s="132">
        <v>-21</v>
      </c>
      <c r="CV45" s="132">
        <v>-24</v>
      </c>
      <c r="CW45" s="132">
        <v>-30</v>
      </c>
      <c r="CX45" s="132">
        <v>-33</v>
      </c>
      <c r="CY45" s="132">
        <v>-39</v>
      </c>
      <c r="CZ45" s="79">
        <v>-45</v>
      </c>
      <c r="DA45" s="79">
        <v>-51</v>
      </c>
      <c r="DB45" s="79">
        <v>-60</v>
      </c>
      <c r="DC45" s="79">
        <v>-72</v>
      </c>
      <c r="DD45" s="79">
        <v>-85</v>
      </c>
      <c r="DE45" s="79">
        <v>-106</v>
      </c>
      <c r="DF45" s="161" t="s">
        <v>161</v>
      </c>
    </row>
    <row r="46" spans="2:114">
      <c r="AO46" s="135">
        <v>65</v>
      </c>
      <c r="AP46" s="135">
        <v>80</v>
      </c>
      <c r="AQ46">
        <v>-274</v>
      </c>
      <c r="AR46">
        <v>-224</v>
      </c>
      <c r="AS46">
        <v>-146</v>
      </c>
      <c r="AT46">
        <v>-174</v>
      </c>
      <c r="AU46">
        <v>-90</v>
      </c>
      <c r="AV46">
        <v>-106</v>
      </c>
      <c r="AW46" s="145">
        <v>-134</v>
      </c>
      <c r="AX46" s="132">
        <v>-49</v>
      </c>
      <c r="AY46" s="132">
        <v>-60</v>
      </c>
      <c r="AZ46" s="132">
        <v>-76</v>
      </c>
      <c r="BA46" s="132">
        <v>-23</v>
      </c>
      <c r="BB46" s="132">
        <v>-29</v>
      </c>
      <c r="BC46" s="132">
        <v>-13</v>
      </c>
      <c r="BD46" s="132">
        <v>-19</v>
      </c>
      <c r="BE46" s="132">
        <v>-30</v>
      </c>
      <c r="BF46" s="132">
        <v>-46</v>
      </c>
      <c r="BG46" s="132">
        <v>-74</v>
      </c>
      <c r="BH46" s="132">
        <v>-6.5</v>
      </c>
      <c r="BI46" s="132">
        <v>-9.5</v>
      </c>
      <c r="BJ46" s="132">
        <v>-15</v>
      </c>
      <c r="BK46" s="132">
        <v>2</v>
      </c>
      <c r="BL46" s="132">
        <v>2</v>
      </c>
      <c r="BM46" s="155">
        <v>11</v>
      </c>
      <c r="BN46" s="132">
        <v>11</v>
      </c>
      <c r="BO46" s="132">
        <v>20</v>
      </c>
      <c r="BP46" s="132">
        <v>32</v>
      </c>
      <c r="BQ46" s="79">
        <v>43</v>
      </c>
      <c r="BR46" s="79">
        <v>59</v>
      </c>
      <c r="BS46" s="79">
        <v>75</v>
      </c>
      <c r="BT46" s="79">
        <v>102</v>
      </c>
      <c r="BU46" s="162" t="s">
        <v>112</v>
      </c>
      <c r="BW46" s="135">
        <v>65</v>
      </c>
      <c r="BX46" s="135">
        <v>80</v>
      </c>
      <c r="BY46" s="79">
        <v>200</v>
      </c>
      <c r="BZ46" s="79">
        <v>150</v>
      </c>
      <c r="CA46" s="79">
        <v>150</v>
      </c>
      <c r="CB46" s="79">
        <v>100</v>
      </c>
      <c r="CC46" s="79">
        <v>100</v>
      </c>
      <c r="CD46" s="79">
        <v>100</v>
      </c>
      <c r="CE46" s="79">
        <v>60</v>
      </c>
      <c r="CF46" s="79">
        <v>60</v>
      </c>
      <c r="CG46" s="132">
        <v>60</v>
      </c>
      <c r="CH46" s="132">
        <v>30</v>
      </c>
      <c r="CI46" s="132">
        <v>30</v>
      </c>
      <c r="CJ46" s="132">
        <v>30</v>
      </c>
      <c r="CK46" s="132">
        <v>10</v>
      </c>
      <c r="CL46" s="132">
        <v>10</v>
      </c>
      <c r="CM46" s="132">
        <v>0</v>
      </c>
      <c r="CN46" s="132">
        <v>0</v>
      </c>
      <c r="CO46" s="132">
        <v>0</v>
      </c>
      <c r="CP46" s="132">
        <v>0</v>
      </c>
      <c r="CQ46" s="132">
        <v>0</v>
      </c>
      <c r="CR46" s="132">
        <v>-9.5</v>
      </c>
      <c r="CS46" s="132">
        <v>-15</v>
      </c>
      <c r="CT46" s="132">
        <v>-15</v>
      </c>
      <c r="CU46" s="132">
        <v>-21</v>
      </c>
      <c r="CV46" s="132">
        <v>-24</v>
      </c>
      <c r="CW46" s="132">
        <v>-30</v>
      </c>
      <c r="CX46" s="132">
        <v>-33</v>
      </c>
      <c r="CY46" s="132">
        <v>-39</v>
      </c>
      <c r="CZ46" s="79">
        <v>-45</v>
      </c>
      <c r="DA46" s="79">
        <v>-51</v>
      </c>
      <c r="DB46" s="79">
        <v>-62</v>
      </c>
      <c r="DC46" s="79">
        <v>-78</v>
      </c>
      <c r="DD46" s="79">
        <v>-94</v>
      </c>
      <c r="DE46" s="79">
        <v>-121</v>
      </c>
      <c r="DF46" s="161" t="s">
        <v>161</v>
      </c>
    </row>
    <row r="47" spans="2:114">
      <c r="AO47" s="135">
        <v>80</v>
      </c>
      <c r="AP47" s="135">
        <v>100</v>
      </c>
      <c r="AQ47">
        <v>-307</v>
      </c>
      <c r="AR47">
        <v>-257</v>
      </c>
      <c r="AS47">
        <v>-174</v>
      </c>
      <c r="AT47">
        <v>-207</v>
      </c>
      <c r="AU47">
        <v>-107</v>
      </c>
      <c r="AV47">
        <v>-107</v>
      </c>
      <c r="AW47" s="145">
        <v>-159</v>
      </c>
      <c r="AX47" s="132">
        <v>-58</v>
      </c>
      <c r="AY47" s="132">
        <v>-71</v>
      </c>
      <c r="AZ47" s="132">
        <v>-90</v>
      </c>
      <c r="BA47" s="132">
        <v>-27</v>
      </c>
      <c r="BB47" s="132">
        <v>-34</v>
      </c>
      <c r="BC47" s="132">
        <v>-15</v>
      </c>
      <c r="BD47" s="132">
        <v>-22</v>
      </c>
      <c r="BE47" s="132">
        <v>-35</v>
      </c>
      <c r="BF47" s="132">
        <v>-54</v>
      </c>
      <c r="BG47" s="132">
        <v>-87</v>
      </c>
      <c r="BH47" s="132">
        <v>-7.5</v>
      </c>
      <c r="BI47" s="132">
        <v>-11</v>
      </c>
      <c r="BJ47" s="132">
        <v>-17</v>
      </c>
      <c r="BK47" s="132">
        <v>3</v>
      </c>
      <c r="BL47" s="132">
        <v>3</v>
      </c>
      <c r="BM47" s="155">
        <v>13</v>
      </c>
      <c r="BN47" s="132">
        <v>13</v>
      </c>
      <c r="BO47" s="132">
        <v>23</v>
      </c>
      <c r="BP47" s="132">
        <v>37</v>
      </c>
      <c r="BQ47" s="79">
        <v>51</v>
      </c>
      <c r="BR47" s="79">
        <v>71</v>
      </c>
      <c r="BS47" s="79">
        <v>91</v>
      </c>
      <c r="BT47" s="79">
        <v>124</v>
      </c>
      <c r="BU47" s="162" t="s">
        <v>112</v>
      </c>
      <c r="BW47" s="135">
        <v>80</v>
      </c>
      <c r="BX47" s="135">
        <v>100</v>
      </c>
      <c r="BY47" s="79">
        <v>220</v>
      </c>
      <c r="BZ47" s="79">
        <v>170</v>
      </c>
      <c r="CA47" s="79">
        <v>170</v>
      </c>
      <c r="CB47" s="79">
        <v>120</v>
      </c>
      <c r="CC47" s="79">
        <v>120</v>
      </c>
      <c r="CD47" s="79">
        <v>120</v>
      </c>
      <c r="CE47" s="79">
        <v>72</v>
      </c>
      <c r="CF47" s="79">
        <v>72</v>
      </c>
      <c r="CG47" s="132">
        <v>72</v>
      </c>
      <c r="CH47" s="132">
        <v>36</v>
      </c>
      <c r="CI47" s="132">
        <v>36</v>
      </c>
      <c r="CJ47" s="132">
        <v>36</v>
      </c>
      <c r="CK47" s="132">
        <v>12</v>
      </c>
      <c r="CL47" s="132">
        <v>12</v>
      </c>
      <c r="CM47" s="132">
        <v>0</v>
      </c>
      <c r="CN47" s="132">
        <v>0</v>
      </c>
      <c r="CO47" s="132">
        <v>0</v>
      </c>
      <c r="CP47" s="132">
        <v>0</v>
      </c>
      <c r="CQ47" s="132">
        <v>0</v>
      </c>
      <c r="CR47" s="132">
        <v>-11</v>
      </c>
      <c r="CS47" s="132">
        <v>-17</v>
      </c>
      <c r="CT47" s="132">
        <v>-18</v>
      </c>
      <c r="CU47" s="132">
        <v>-25</v>
      </c>
      <c r="CV47" s="132">
        <v>-28</v>
      </c>
      <c r="CW47" s="132">
        <v>-35</v>
      </c>
      <c r="CX47" s="132">
        <v>-38</v>
      </c>
      <c r="CY47" s="132">
        <v>-45</v>
      </c>
      <c r="CZ47" s="79">
        <v>-52</v>
      </c>
      <c r="DA47" s="79">
        <v>-59</v>
      </c>
      <c r="DB47" s="79">
        <v>-73</v>
      </c>
      <c r="DC47" s="79">
        <v>-93</v>
      </c>
      <c r="DD47" s="79">
        <v>-113</v>
      </c>
      <c r="DE47" s="79">
        <v>-146</v>
      </c>
      <c r="DF47" s="161" t="s">
        <v>161</v>
      </c>
    </row>
    <row r="48" spans="2:114">
      <c r="AO48" s="135">
        <v>100</v>
      </c>
      <c r="AP48" s="135">
        <v>120</v>
      </c>
      <c r="AQ48">
        <v>-327</v>
      </c>
      <c r="AR48">
        <v>-267</v>
      </c>
      <c r="AS48">
        <v>-174</v>
      </c>
      <c r="AT48">
        <v>-207</v>
      </c>
      <c r="AU48">
        <v>-107</v>
      </c>
      <c r="AV48">
        <v>-107</v>
      </c>
      <c r="AW48" s="145">
        <v>-159</v>
      </c>
      <c r="AX48" s="132">
        <v>-58</v>
      </c>
      <c r="AY48" s="132">
        <v>-71</v>
      </c>
      <c r="AZ48" s="132">
        <v>-90</v>
      </c>
      <c r="BA48" s="132">
        <v>-27</v>
      </c>
      <c r="BB48" s="132">
        <v>-34</v>
      </c>
      <c r="BC48" s="132">
        <v>-15</v>
      </c>
      <c r="BD48" s="132">
        <v>-22</v>
      </c>
      <c r="BE48" s="132">
        <v>-35</v>
      </c>
      <c r="BF48" s="132">
        <v>-54</v>
      </c>
      <c r="BG48" s="132">
        <v>-87</v>
      </c>
      <c r="BH48" s="132">
        <v>-7.5</v>
      </c>
      <c r="BI48" s="132">
        <v>-11</v>
      </c>
      <c r="BJ48" s="132">
        <v>-17</v>
      </c>
      <c r="BK48" s="132">
        <v>3</v>
      </c>
      <c r="BL48" s="132">
        <v>3</v>
      </c>
      <c r="BM48" s="155">
        <v>13</v>
      </c>
      <c r="BN48" s="132">
        <v>13</v>
      </c>
      <c r="BO48" s="132">
        <v>23</v>
      </c>
      <c r="BP48" s="132">
        <v>37</v>
      </c>
      <c r="BQ48" s="79">
        <v>54</v>
      </c>
      <c r="BR48" s="79">
        <v>79</v>
      </c>
      <c r="BS48" s="79">
        <v>104</v>
      </c>
      <c r="BT48" s="79">
        <v>144</v>
      </c>
      <c r="BU48" s="162" t="s">
        <v>112</v>
      </c>
      <c r="BW48" s="135">
        <v>100</v>
      </c>
      <c r="BX48" s="135">
        <v>120</v>
      </c>
      <c r="BY48" s="79">
        <v>240</v>
      </c>
      <c r="BZ48" s="79">
        <v>180</v>
      </c>
      <c r="CA48" s="79">
        <v>180</v>
      </c>
      <c r="CB48" s="79">
        <v>120</v>
      </c>
      <c r="CC48" s="79">
        <v>120</v>
      </c>
      <c r="CD48" s="79">
        <v>120</v>
      </c>
      <c r="CE48" s="79">
        <v>72</v>
      </c>
      <c r="CF48" s="79">
        <v>72</v>
      </c>
      <c r="CG48" s="132">
        <v>72</v>
      </c>
      <c r="CH48" s="132">
        <v>36</v>
      </c>
      <c r="CI48" s="132">
        <v>36</v>
      </c>
      <c r="CJ48" s="132">
        <v>36</v>
      </c>
      <c r="CK48" s="132">
        <v>12</v>
      </c>
      <c r="CL48" s="132">
        <v>12</v>
      </c>
      <c r="CM48" s="132">
        <v>0</v>
      </c>
      <c r="CN48" s="132">
        <v>0</v>
      </c>
      <c r="CO48" s="132">
        <v>0</v>
      </c>
      <c r="CP48" s="132">
        <v>0</v>
      </c>
      <c r="CQ48" s="132">
        <v>0</v>
      </c>
      <c r="CR48" s="132">
        <v>-11</v>
      </c>
      <c r="CS48" s="132">
        <v>-17</v>
      </c>
      <c r="CT48" s="132">
        <v>-18</v>
      </c>
      <c r="CU48" s="132">
        <v>-25</v>
      </c>
      <c r="CV48" s="132">
        <v>-28</v>
      </c>
      <c r="CW48" s="132">
        <v>-35</v>
      </c>
      <c r="CX48" s="132">
        <v>-38</v>
      </c>
      <c r="CY48" s="132">
        <v>-45</v>
      </c>
      <c r="CZ48" s="79">
        <v>-52</v>
      </c>
      <c r="DA48" s="79">
        <v>-59</v>
      </c>
      <c r="DB48" s="79">
        <v>-76</v>
      </c>
      <c r="DC48" s="79">
        <v>-101</v>
      </c>
      <c r="DD48" s="79">
        <v>-126</v>
      </c>
      <c r="DE48" s="79">
        <v>-166</v>
      </c>
      <c r="DF48" s="161" t="s">
        <v>161</v>
      </c>
    </row>
    <row r="49" spans="41:110">
      <c r="AO49" s="135">
        <v>120</v>
      </c>
      <c r="AP49" s="135">
        <v>140</v>
      </c>
      <c r="AQ49">
        <v>-360</v>
      </c>
      <c r="AR49">
        <v>-300</v>
      </c>
      <c r="AS49">
        <v>-208</v>
      </c>
      <c r="AT49">
        <v>-245</v>
      </c>
      <c r="AU49">
        <v>-125</v>
      </c>
      <c r="AV49">
        <v>-148</v>
      </c>
      <c r="AW49" s="145">
        <v>-185</v>
      </c>
      <c r="AX49" s="132">
        <v>-68</v>
      </c>
      <c r="AY49" s="132">
        <v>-83</v>
      </c>
      <c r="AZ49" s="132">
        <v>-106</v>
      </c>
      <c r="BA49" s="132">
        <v>-32</v>
      </c>
      <c r="BB49" s="132">
        <v>-39</v>
      </c>
      <c r="BC49" s="132">
        <v>-18</v>
      </c>
      <c r="BD49" s="132">
        <v>-25</v>
      </c>
      <c r="BE49" s="132">
        <v>-40</v>
      </c>
      <c r="BF49" s="132">
        <v>-63</v>
      </c>
      <c r="BG49" s="132">
        <v>-100</v>
      </c>
      <c r="BH49" s="132">
        <v>-9</v>
      </c>
      <c r="BI49" s="132">
        <v>-12.5</v>
      </c>
      <c r="BJ49" s="132">
        <v>-20</v>
      </c>
      <c r="BK49" s="132">
        <v>3</v>
      </c>
      <c r="BL49" s="132">
        <v>3</v>
      </c>
      <c r="BM49" s="155">
        <v>15</v>
      </c>
      <c r="BN49" s="132">
        <v>15</v>
      </c>
      <c r="BO49" s="132">
        <v>27</v>
      </c>
      <c r="BP49" s="132">
        <v>43</v>
      </c>
      <c r="BQ49" s="79">
        <v>63</v>
      </c>
      <c r="BR49" s="79">
        <v>92</v>
      </c>
      <c r="BS49" s="79">
        <v>122</v>
      </c>
      <c r="BT49" s="162" t="s">
        <v>112</v>
      </c>
      <c r="BU49" s="162" t="s">
        <v>112</v>
      </c>
      <c r="BW49" s="135">
        <v>120</v>
      </c>
      <c r="BX49" s="135">
        <v>140</v>
      </c>
      <c r="BY49" s="79">
        <v>260</v>
      </c>
      <c r="BZ49" s="79">
        <v>200</v>
      </c>
      <c r="CA49" s="79">
        <v>200</v>
      </c>
      <c r="CB49" s="79">
        <v>145</v>
      </c>
      <c r="CC49" s="79">
        <v>145</v>
      </c>
      <c r="CD49" s="79">
        <v>145</v>
      </c>
      <c r="CE49" s="79">
        <v>85</v>
      </c>
      <c r="CF49" s="79">
        <v>85</v>
      </c>
      <c r="CG49" s="132">
        <v>85</v>
      </c>
      <c r="CH49" s="132">
        <v>43</v>
      </c>
      <c r="CI49" s="132">
        <v>43</v>
      </c>
      <c r="CJ49" s="132">
        <v>43</v>
      </c>
      <c r="CK49" s="132">
        <v>14</v>
      </c>
      <c r="CL49" s="132">
        <v>14</v>
      </c>
      <c r="CM49" s="132">
        <v>0</v>
      </c>
      <c r="CN49" s="132">
        <v>0</v>
      </c>
      <c r="CO49" s="132">
        <v>0</v>
      </c>
      <c r="CP49" s="132">
        <v>0</v>
      </c>
      <c r="CQ49" s="132">
        <v>0</v>
      </c>
      <c r="CR49" s="132">
        <v>-12.5</v>
      </c>
      <c r="CS49" s="132">
        <v>-20</v>
      </c>
      <c r="CT49" s="132">
        <v>-21</v>
      </c>
      <c r="CU49" s="132">
        <v>-28</v>
      </c>
      <c r="CV49" s="132">
        <v>-33</v>
      </c>
      <c r="CW49" s="132">
        <v>-40</v>
      </c>
      <c r="CX49" s="132">
        <v>-45</v>
      </c>
      <c r="CY49" s="132">
        <v>-52</v>
      </c>
      <c r="CZ49" s="79">
        <v>-61</v>
      </c>
      <c r="DA49" s="79">
        <v>-68</v>
      </c>
      <c r="DB49" s="79">
        <v>-88</v>
      </c>
      <c r="DC49" s="79">
        <v>-117</v>
      </c>
      <c r="DD49" s="79">
        <v>-147</v>
      </c>
      <c r="DE49" s="161" t="s">
        <v>161</v>
      </c>
      <c r="DF49" s="161" t="s">
        <v>161</v>
      </c>
    </row>
    <row r="50" spans="41:110">
      <c r="AO50" s="149">
        <v>140</v>
      </c>
      <c r="AP50" s="149">
        <v>160</v>
      </c>
      <c r="AQ50">
        <v>-380</v>
      </c>
      <c r="AR50">
        <v>-310</v>
      </c>
      <c r="AS50">
        <v>-208</v>
      </c>
      <c r="AT50">
        <v>-245</v>
      </c>
      <c r="AU50">
        <v>-125</v>
      </c>
      <c r="AV50">
        <v>-148</v>
      </c>
      <c r="AW50" s="145">
        <v>-185</v>
      </c>
      <c r="AX50" s="132">
        <v>-68</v>
      </c>
      <c r="AY50" s="132">
        <v>-83</v>
      </c>
      <c r="AZ50" s="132">
        <v>-106</v>
      </c>
      <c r="BA50" s="132">
        <v>-32</v>
      </c>
      <c r="BB50" s="132">
        <v>-39</v>
      </c>
      <c r="BC50" s="132">
        <v>-18</v>
      </c>
      <c r="BD50" s="132">
        <v>-25</v>
      </c>
      <c r="BE50" s="132">
        <v>-40</v>
      </c>
      <c r="BF50" s="132">
        <v>-63</v>
      </c>
      <c r="BG50" s="132">
        <v>-100</v>
      </c>
      <c r="BH50" s="132">
        <v>-9</v>
      </c>
      <c r="BI50" s="132">
        <v>-12.5</v>
      </c>
      <c r="BJ50" s="132">
        <v>-20</v>
      </c>
      <c r="BK50" s="132">
        <v>3</v>
      </c>
      <c r="BL50" s="132">
        <v>3</v>
      </c>
      <c r="BM50" s="155">
        <v>15</v>
      </c>
      <c r="BN50" s="132">
        <v>15</v>
      </c>
      <c r="BO50" s="132">
        <v>27</v>
      </c>
      <c r="BP50" s="132">
        <v>43</v>
      </c>
      <c r="BQ50" s="79">
        <v>65</v>
      </c>
      <c r="BR50" s="79">
        <v>100</v>
      </c>
      <c r="BS50" s="79">
        <v>134</v>
      </c>
      <c r="BT50" s="162" t="s">
        <v>112</v>
      </c>
      <c r="BU50" s="162" t="s">
        <v>112</v>
      </c>
      <c r="BW50" s="149">
        <v>140</v>
      </c>
      <c r="BX50" s="149">
        <v>160</v>
      </c>
      <c r="BY50" s="79">
        <v>280</v>
      </c>
      <c r="BZ50" s="79">
        <v>210</v>
      </c>
      <c r="CA50" s="79">
        <v>210</v>
      </c>
      <c r="CB50" s="79">
        <v>145</v>
      </c>
      <c r="CC50" s="79">
        <v>145</v>
      </c>
      <c r="CD50" s="79">
        <v>145</v>
      </c>
      <c r="CE50" s="79">
        <v>85</v>
      </c>
      <c r="CF50" s="79">
        <v>85</v>
      </c>
      <c r="CG50" s="132">
        <v>85</v>
      </c>
      <c r="CH50" s="132">
        <v>43</v>
      </c>
      <c r="CI50" s="132">
        <v>43</v>
      </c>
      <c r="CJ50" s="132">
        <v>43</v>
      </c>
      <c r="CK50" s="132">
        <v>14</v>
      </c>
      <c r="CL50" s="132">
        <v>14</v>
      </c>
      <c r="CM50" s="132">
        <v>0</v>
      </c>
      <c r="CN50" s="132">
        <v>0</v>
      </c>
      <c r="CO50" s="132">
        <v>0</v>
      </c>
      <c r="CP50" s="132">
        <v>0</v>
      </c>
      <c r="CQ50" s="132">
        <v>0</v>
      </c>
      <c r="CR50" s="132">
        <v>-12.5</v>
      </c>
      <c r="CS50" s="132">
        <v>-20</v>
      </c>
      <c r="CT50" s="132">
        <v>-21</v>
      </c>
      <c r="CU50" s="132">
        <v>-28</v>
      </c>
      <c r="CV50" s="132">
        <v>-33</v>
      </c>
      <c r="CW50" s="132">
        <v>-40</v>
      </c>
      <c r="CX50" s="132">
        <v>-45</v>
      </c>
      <c r="CY50" s="132">
        <v>-52</v>
      </c>
      <c r="CZ50" s="79">
        <v>-61</v>
      </c>
      <c r="DA50" s="79">
        <v>-68</v>
      </c>
      <c r="DB50" s="79">
        <v>-90</v>
      </c>
      <c r="DC50" s="79">
        <v>-125</v>
      </c>
      <c r="DD50" s="79">
        <v>-159</v>
      </c>
      <c r="DE50" s="161" t="s">
        <v>161</v>
      </c>
      <c r="DF50" s="161" t="s">
        <v>161</v>
      </c>
    </row>
    <row r="51" spans="41:110">
      <c r="AO51" s="135">
        <v>160</v>
      </c>
      <c r="AP51" s="135">
        <v>180</v>
      </c>
      <c r="AQ51">
        <v>-410</v>
      </c>
      <c r="AR51">
        <v>-330</v>
      </c>
      <c r="AS51">
        <v>-208</v>
      </c>
      <c r="AT51">
        <v>-245</v>
      </c>
      <c r="AU51">
        <v>-125</v>
      </c>
      <c r="AV51">
        <v>-148</v>
      </c>
      <c r="AW51" s="145">
        <v>-185</v>
      </c>
      <c r="AX51" s="132">
        <v>-68</v>
      </c>
      <c r="AY51" s="132">
        <v>-83</v>
      </c>
      <c r="AZ51" s="132">
        <v>-106</v>
      </c>
      <c r="BA51" s="132">
        <v>-32</v>
      </c>
      <c r="BB51" s="132">
        <v>-39</v>
      </c>
      <c r="BC51" s="132">
        <v>-18</v>
      </c>
      <c r="BD51" s="132">
        <v>-25</v>
      </c>
      <c r="BE51" s="132">
        <v>-40</v>
      </c>
      <c r="BF51" s="132">
        <v>-63</v>
      </c>
      <c r="BG51" s="132">
        <v>-100</v>
      </c>
      <c r="BH51" s="132">
        <v>-9</v>
      </c>
      <c r="BI51" s="132">
        <v>-12.5</v>
      </c>
      <c r="BJ51" s="132">
        <v>-20</v>
      </c>
      <c r="BK51" s="132">
        <v>3</v>
      </c>
      <c r="BL51" s="132">
        <v>3</v>
      </c>
      <c r="BM51" s="155">
        <v>15</v>
      </c>
      <c r="BN51" s="132">
        <v>15</v>
      </c>
      <c r="BO51" s="132">
        <v>27</v>
      </c>
      <c r="BP51" s="132">
        <v>43</v>
      </c>
      <c r="BQ51" s="79">
        <v>68</v>
      </c>
      <c r="BR51" s="79">
        <v>108</v>
      </c>
      <c r="BS51" s="79">
        <v>146</v>
      </c>
      <c r="BT51" s="162" t="s">
        <v>112</v>
      </c>
      <c r="BU51" s="162" t="s">
        <v>112</v>
      </c>
      <c r="BW51" s="135">
        <v>160</v>
      </c>
      <c r="BX51" s="135">
        <v>180</v>
      </c>
      <c r="BY51" s="79">
        <v>310</v>
      </c>
      <c r="BZ51" s="79">
        <v>230</v>
      </c>
      <c r="CA51" s="79">
        <v>230</v>
      </c>
      <c r="CB51" s="79">
        <v>145</v>
      </c>
      <c r="CC51" s="79">
        <v>145</v>
      </c>
      <c r="CD51" s="79">
        <v>145</v>
      </c>
      <c r="CE51" s="79">
        <v>85</v>
      </c>
      <c r="CF51" s="79">
        <v>85</v>
      </c>
      <c r="CG51" s="132">
        <v>85</v>
      </c>
      <c r="CH51" s="132">
        <v>43</v>
      </c>
      <c r="CI51" s="132">
        <v>43</v>
      </c>
      <c r="CJ51" s="132">
        <v>43</v>
      </c>
      <c r="CK51" s="132">
        <v>14</v>
      </c>
      <c r="CL51" s="132">
        <v>14</v>
      </c>
      <c r="CM51" s="132">
        <v>0</v>
      </c>
      <c r="CN51" s="132">
        <v>0</v>
      </c>
      <c r="CO51" s="132">
        <v>0</v>
      </c>
      <c r="CP51" s="132">
        <v>0</v>
      </c>
      <c r="CQ51" s="132">
        <v>0</v>
      </c>
      <c r="CR51" s="132">
        <v>-12.5</v>
      </c>
      <c r="CS51" s="132">
        <v>-20</v>
      </c>
      <c r="CT51" s="132">
        <v>-21</v>
      </c>
      <c r="CU51" s="132">
        <v>-28</v>
      </c>
      <c r="CV51" s="132">
        <v>-33</v>
      </c>
      <c r="CW51" s="132">
        <v>-40</v>
      </c>
      <c r="CX51" s="132">
        <v>-45</v>
      </c>
      <c r="CY51" s="132">
        <v>-52</v>
      </c>
      <c r="CZ51" s="79">
        <v>-61</v>
      </c>
      <c r="DA51" s="79">
        <v>-68</v>
      </c>
      <c r="DB51" s="79">
        <v>-93</v>
      </c>
      <c r="DC51" s="79">
        <v>-133</v>
      </c>
      <c r="DD51" s="79">
        <v>-171</v>
      </c>
      <c r="DE51" s="161" t="s">
        <v>161</v>
      </c>
      <c r="DF51" s="161" t="s">
        <v>161</v>
      </c>
    </row>
    <row r="52" spans="41:110">
      <c r="AO52" s="135">
        <v>180</v>
      </c>
      <c r="AP52" s="135">
        <v>200</v>
      </c>
      <c r="AQ52">
        <v>-455</v>
      </c>
      <c r="AR52">
        <v>-355</v>
      </c>
      <c r="AS52">
        <v>-242</v>
      </c>
      <c r="AT52">
        <v>-285</v>
      </c>
      <c r="AU52">
        <v>-146</v>
      </c>
      <c r="AV52">
        <v>-172</v>
      </c>
      <c r="AW52" s="145">
        <v>-215</v>
      </c>
      <c r="AX52" s="132">
        <v>-79</v>
      </c>
      <c r="AY52" s="132">
        <v>-96</v>
      </c>
      <c r="AZ52" s="132">
        <v>-122</v>
      </c>
      <c r="BA52" s="132">
        <v>-35</v>
      </c>
      <c r="BB52" s="132">
        <v>-44</v>
      </c>
      <c r="BC52" s="132">
        <v>-20</v>
      </c>
      <c r="BD52" s="132">
        <v>-29</v>
      </c>
      <c r="BE52" s="132">
        <v>-46</v>
      </c>
      <c r="BF52" s="132">
        <v>-72</v>
      </c>
      <c r="BG52" s="132">
        <v>-115</v>
      </c>
      <c r="BH52" s="132">
        <v>-10</v>
      </c>
      <c r="BI52" s="132">
        <v>-14.5</v>
      </c>
      <c r="BJ52" s="132">
        <v>-23</v>
      </c>
      <c r="BK52" s="132">
        <v>4</v>
      </c>
      <c r="BL52" s="132">
        <v>4</v>
      </c>
      <c r="BM52" s="155">
        <v>17</v>
      </c>
      <c r="BN52" s="132">
        <v>17</v>
      </c>
      <c r="BO52" s="132">
        <v>31</v>
      </c>
      <c r="BP52" s="132">
        <v>50</v>
      </c>
      <c r="BQ52" s="79">
        <v>77</v>
      </c>
      <c r="BR52" s="79">
        <v>122</v>
      </c>
      <c r="BS52" s="162" t="s">
        <v>112</v>
      </c>
      <c r="BT52" s="162" t="s">
        <v>112</v>
      </c>
      <c r="BU52" s="162" t="s">
        <v>112</v>
      </c>
      <c r="BW52" s="135">
        <v>180</v>
      </c>
      <c r="BX52" s="135">
        <v>200</v>
      </c>
      <c r="BY52" s="79">
        <v>340</v>
      </c>
      <c r="BZ52" s="79">
        <v>240</v>
      </c>
      <c r="CA52" s="79">
        <v>240</v>
      </c>
      <c r="CB52" s="79">
        <v>170</v>
      </c>
      <c r="CC52" s="79">
        <v>170</v>
      </c>
      <c r="CD52" s="79">
        <v>170</v>
      </c>
      <c r="CE52" s="79">
        <v>100</v>
      </c>
      <c r="CF52" s="79">
        <v>100</v>
      </c>
      <c r="CG52" s="132">
        <v>100</v>
      </c>
      <c r="CH52" s="132">
        <v>50</v>
      </c>
      <c r="CI52" s="132">
        <v>50</v>
      </c>
      <c r="CJ52" s="132">
        <v>50</v>
      </c>
      <c r="CK52" s="132">
        <v>15</v>
      </c>
      <c r="CL52" s="132">
        <v>15</v>
      </c>
      <c r="CM52" s="132">
        <v>0</v>
      </c>
      <c r="CN52" s="132">
        <v>0</v>
      </c>
      <c r="CO52" s="132">
        <v>0</v>
      </c>
      <c r="CP52" s="132">
        <v>0</v>
      </c>
      <c r="CQ52" s="132">
        <v>0</v>
      </c>
      <c r="CR52" s="132">
        <v>-14.5</v>
      </c>
      <c r="CS52" s="132">
        <v>-23</v>
      </c>
      <c r="CT52" s="132">
        <v>-24</v>
      </c>
      <c r="CU52" s="132">
        <v>-33</v>
      </c>
      <c r="CV52" s="132">
        <v>-37</v>
      </c>
      <c r="CW52" s="132">
        <v>-46</v>
      </c>
      <c r="CX52" s="132">
        <v>-51</v>
      </c>
      <c r="CY52" s="132">
        <v>-60</v>
      </c>
      <c r="CZ52" s="79">
        <v>-70</v>
      </c>
      <c r="DA52" s="79">
        <v>-79</v>
      </c>
      <c r="DB52" s="79">
        <v>-106</v>
      </c>
      <c r="DC52" s="79">
        <v>-151</v>
      </c>
      <c r="DD52" s="161" t="s">
        <v>161</v>
      </c>
      <c r="DE52" s="161" t="s">
        <v>161</v>
      </c>
      <c r="DF52" s="161" t="s">
        <v>161</v>
      </c>
    </row>
    <row r="53" spans="41:110">
      <c r="AO53" s="135">
        <v>200</v>
      </c>
      <c r="AP53" s="135">
        <v>225</v>
      </c>
      <c r="AQ53">
        <v>-495</v>
      </c>
      <c r="AR53">
        <v>-375</v>
      </c>
      <c r="AS53">
        <v>-242</v>
      </c>
      <c r="AT53">
        <v>-285</v>
      </c>
      <c r="AU53">
        <v>-146</v>
      </c>
      <c r="AV53">
        <v>-172</v>
      </c>
      <c r="AW53" s="145">
        <v>-215</v>
      </c>
      <c r="AX53" s="132">
        <v>-79</v>
      </c>
      <c r="AY53" s="132">
        <v>-96</v>
      </c>
      <c r="AZ53" s="132">
        <v>-122</v>
      </c>
      <c r="BA53" s="132">
        <v>-35</v>
      </c>
      <c r="BB53" s="132">
        <v>-44</v>
      </c>
      <c r="BC53" s="132">
        <v>-20</v>
      </c>
      <c r="BD53" s="132">
        <v>-29</v>
      </c>
      <c r="BE53" s="132">
        <v>-46</v>
      </c>
      <c r="BF53" s="132">
        <v>-72</v>
      </c>
      <c r="BG53" s="132">
        <v>-115</v>
      </c>
      <c r="BH53" s="132">
        <v>-10</v>
      </c>
      <c r="BI53" s="132">
        <v>-14.5</v>
      </c>
      <c r="BJ53" s="132">
        <v>-23</v>
      </c>
      <c r="BK53" s="132">
        <v>4</v>
      </c>
      <c r="BL53" s="132">
        <v>4</v>
      </c>
      <c r="BM53" s="155">
        <v>17</v>
      </c>
      <c r="BN53" s="132">
        <v>17</v>
      </c>
      <c r="BO53" s="132">
        <v>31</v>
      </c>
      <c r="BP53" s="132">
        <v>50</v>
      </c>
      <c r="BQ53" s="79">
        <v>80</v>
      </c>
      <c r="BR53" s="79">
        <v>130</v>
      </c>
      <c r="BS53" s="162" t="s">
        <v>112</v>
      </c>
      <c r="BT53" s="162" t="s">
        <v>112</v>
      </c>
      <c r="BU53" s="162" t="s">
        <v>112</v>
      </c>
      <c r="BW53" s="135">
        <v>200</v>
      </c>
      <c r="BX53" s="135">
        <v>225</v>
      </c>
      <c r="BY53" s="79">
        <v>380</v>
      </c>
      <c r="BZ53" s="79">
        <v>260</v>
      </c>
      <c r="CA53" s="79">
        <v>260</v>
      </c>
      <c r="CB53" s="79">
        <v>170</v>
      </c>
      <c r="CC53" s="79">
        <v>170</v>
      </c>
      <c r="CD53" s="79">
        <v>170</v>
      </c>
      <c r="CE53" s="79">
        <v>100</v>
      </c>
      <c r="CF53" s="79">
        <v>100</v>
      </c>
      <c r="CG53" s="132">
        <v>100</v>
      </c>
      <c r="CH53" s="132">
        <v>50</v>
      </c>
      <c r="CI53" s="132">
        <v>50</v>
      </c>
      <c r="CJ53" s="132">
        <v>50</v>
      </c>
      <c r="CK53" s="132">
        <v>15</v>
      </c>
      <c r="CL53" s="132">
        <v>15</v>
      </c>
      <c r="CM53" s="132">
        <v>0</v>
      </c>
      <c r="CN53" s="132">
        <v>0</v>
      </c>
      <c r="CO53" s="132">
        <v>0</v>
      </c>
      <c r="CP53" s="132">
        <v>0</v>
      </c>
      <c r="CQ53" s="132">
        <v>0</v>
      </c>
      <c r="CR53" s="132">
        <v>-14.5</v>
      </c>
      <c r="CS53" s="132">
        <v>-23</v>
      </c>
      <c r="CT53" s="132">
        <v>-24</v>
      </c>
      <c r="CU53" s="132">
        <v>-33</v>
      </c>
      <c r="CV53" s="132">
        <v>-37</v>
      </c>
      <c r="CW53" s="132">
        <v>-46</v>
      </c>
      <c r="CX53" s="132">
        <v>-51</v>
      </c>
      <c r="CY53" s="132">
        <v>-60</v>
      </c>
      <c r="CZ53" s="79">
        <v>-70</v>
      </c>
      <c r="DA53" s="79">
        <v>-79</v>
      </c>
      <c r="DB53" s="79">
        <v>-109</v>
      </c>
      <c r="DC53" s="79">
        <v>-159</v>
      </c>
      <c r="DD53" s="161" t="s">
        <v>161</v>
      </c>
      <c r="DE53" s="161" t="s">
        <v>161</v>
      </c>
      <c r="DF53" s="161" t="s">
        <v>161</v>
      </c>
    </row>
    <row r="54" spans="41:110">
      <c r="AO54" s="135">
        <v>225</v>
      </c>
      <c r="AP54" s="135">
        <v>250</v>
      </c>
      <c r="AQ54">
        <v>-535</v>
      </c>
      <c r="AR54">
        <v>-395</v>
      </c>
      <c r="AS54">
        <v>-242</v>
      </c>
      <c r="AT54">
        <v>-285</v>
      </c>
      <c r="AU54">
        <v>-146</v>
      </c>
      <c r="AV54">
        <v>-172</v>
      </c>
      <c r="AW54" s="145">
        <v>-215</v>
      </c>
      <c r="AX54" s="132">
        <v>-79</v>
      </c>
      <c r="AY54" s="132">
        <v>-96</v>
      </c>
      <c r="AZ54" s="132">
        <v>-122</v>
      </c>
      <c r="BA54" s="132">
        <v>-35</v>
      </c>
      <c r="BB54" s="132">
        <v>-44</v>
      </c>
      <c r="BC54" s="132">
        <v>-20</v>
      </c>
      <c r="BD54" s="132">
        <v>-29</v>
      </c>
      <c r="BE54" s="132">
        <v>-46</v>
      </c>
      <c r="BF54" s="132">
        <v>-72</v>
      </c>
      <c r="BG54" s="132">
        <v>-115</v>
      </c>
      <c r="BH54" s="132">
        <v>-10</v>
      </c>
      <c r="BI54" s="132">
        <v>-14.5</v>
      </c>
      <c r="BJ54" s="132">
        <v>-23</v>
      </c>
      <c r="BK54" s="132">
        <v>4</v>
      </c>
      <c r="BL54" s="132">
        <v>4</v>
      </c>
      <c r="BM54" s="155">
        <v>17</v>
      </c>
      <c r="BN54" s="132">
        <v>17</v>
      </c>
      <c r="BO54" s="132">
        <v>31</v>
      </c>
      <c r="BP54" s="132">
        <v>50</v>
      </c>
      <c r="BQ54" s="79">
        <v>84</v>
      </c>
      <c r="BR54" s="79">
        <v>140</v>
      </c>
      <c r="BS54" s="162" t="s">
        <v>112</v>
      </c>
      <c r="BT54" s="162" t="s">
        <v>112</v>
      </c>
      <c r="BU54" s="162" t="s">
        <v>112</v>
      </c>
      <c r="BW54" s="135">
        <v>225</v>
      </c>
      <c r="BX54" s="135">
        <v>250</v>
      </c>
      <c r="BY54" s="79">
        <v>420</v>
      </c>
      <c r="BZ54" s="79">
        <v>280</v>
      </c>
      <c r="CA54" s="79">
        <v>280</v>
      </c>
      <c r="CB54" s="79">
        <v>170</v>
      </c>
      <c r="CC54" s="79">
        <v>170</v>
      </c>
      <c r="CD54" s="79">
        <v>170</v>
      </c>
      <c r="CE54" s="79">
        <v>100</v>
      </c>
      <c r="CF54" s="79">
        <v>100</v>
      </c>
      <c r="CG54" s="132">
        <v>100</v>
      </c>
      <c r="CH54" s="132">
        <v>50</v>
      </c>
      <c r="CI54" s="132">
        <v>50</v>
      </c>
      <c r="CJ54" s="132">
        <v>50</v>
      </c>
      <c r="CK54" s="132">
        <v>15</v>
      </c>
      <c r="CL54" s="132">
        <v>15</v>
      </c>
      <c r="CM54" s="132">
        <v>0</v>
      </c>
      <c r="CN54" s="132">
        <v>0</v>
      </c>
      <c r="CO54" s="132">
        <v>0</v>
      </c>
      <c r="CP54" s="132">
        <v>0</v>
      </c>
      <c r="CQ54" s="132">
        <v>0</v>
      </c>
      <c r="CR54" s="132">
        <v>-14.5</v>
      </c>
      <c r="CS54" s="132">
        <v>-23</v>
      </c>
      <c r="CT54" s="132">
        <v>-24</v>
      </c>
      <c r="CU54" s="132">
        <v>-33</v>
      </c>
      <c r="CV54" s="132">
        <v>-37</v>
      </c>
      <c r="CW54" s="132">
        <v>-46</v>
      </c>
      <c r="CX54" s="132">
        <v>-51</v>
      </c>
      <c r="CY54" s="132">
        <v>-60</v>
      </c>
      <c r="CZ54" s="79">
        <v>-70</v>
      </c>
      <c r="DA54" s="79">
        <v>-79</v>
      </c>
      <c r="DB54" s="79">
        <v>-113</v>
      </c>
      <c r="DC54" s="79">
        <v>-169</v>
      </c>
      <c r="DD54" s="161" t="s">
        <v>161</v>
      </c>
      <c r="DE54" s="161" t="s">
        <v>161</v>
      </c>
      <c r="DF54" s="161" t="s">
        <v>161</v>
      </c>
    </row>
    <row r="55" spans="41:110">
      <c r="AO55" s="135">
        <v>250</v>
      </c>
      <c r="AP55" s="135">
        <v>280</v>
      </c>
      <c r="AQ55">
        <v>-610</v>
      </c>
      <c r="AR55">
        <v>-610</v>
      </c>
      <c r="AS55">
        <v>-271</v>
      </c>
      <c r="AT55">
        <v>-320</v>
      </c>
      <c r="AU55">
        <v>-162</v>
      </c>
      <c r="AV55">
        <v>-191</v>
      </c>
      <c r="AW55" s="145">
        <v>-240</v>
      </c>
      <c r="AX55" s="132">
        <v>-88</v>
      </c>
      <c r="AY55" s="132">
        <v>-108</v>
      </c>
      <c r="AZ55" s="132">
        <v>-137</v>
      </c>
      <c r="BA55" s="132">
        <v>-40</v>
      </c>
      <c r="BB55" s="132">
        <v>-49</v>
      </c>
      <c r="BC55" s="132">
        <v>-23</v>
      </c>
      <c r="BD55" s="132">
        <v>-32</v>
      </c>
      <c r="BE55" s="132">
        <v>-52</v>
      </c>
      <c r="BF55" s="132">
        <v>-81</v>
      </c>
      <c r="BG55" s="132">
        <v>-130</v>
      </c>
      <c r="BH55" s="132">
        <v>-11.5</v>
      </c>
      <c r="BI55" s="132">
        <v>-16</v>
      </c>
      <c r="BJ55" s="132">
        <v>-26</v>
      </c>
      <c r="BK55" s="132">
        <v>4</v>
      </c>
      <c r="BL55" s="132">
        <v>4</v>
      </c>
      <c r="BM55" s="155">
        <v>20</v>
      </c>
      <c r="BN55" s="132">
        <v>20</v>
      </c>
      <c r="BO55" s="132">
        <v>34</v>
      </c>
      <c r="BP55" s="132">
        <v>56</v>
      </c>
      <c r="BQ55" s="79">
        <v>94</v>
      </c>
      <c r="BR55" s="162" t="s">
        <v>112</v>
      </c>
      <c r="BS55" s="162" t="s">
        <v>112</v>
      </c>
      <c r="BT55" s="162" t="s">
        <v>112</v>
      </c>
      <c r="BU55" s="162" t="s">
        <v>112</v>
      </c>
      <c r="BW55" s="135">
        <v>250</v>
      </c>
      <c r="BX55" s="135">
        <v>280</v>
      </c>
      <c r="BY55" s="79">
        <v>480</v>
      </c>
      <c r="BZ55" s="79">
        <v>300</v>
      </c>
      <c r="CA55" s="79">
        <v>300</v>
      </c>
      <c r="CB55" s="79">
        <v>190</v>
      </c>
      <c r="CC55" s="79">
        <v>190</v>
      </c>
      <c r="CD55" s="79">
        <v>190</v>
      </c>
      <c r="CE55" s="79">
        <v>110</v>
      </c>
      <c r="CF55" s="79">
        <v>110</v>
      </c>
      <c r="CG55" s="132">
        <v>110</v>
      </c>
      <c r="CH55" s="132">
        <v>56</v>
      </c>
      <c r="CI55" s="132">
        <v>56</v>
      </c>
      <c r="CJ55" s="132">
        <v>56</v>
      </c>
      <c r="CK55" s="132">
        <v>17</v>
      </c>
      <c r="CL55" s="132">
        <v>17</v>
      </c>
      <c r="CM55" s="132">
        <v>0</v>
      </c>
      <c r="CN55" s="132">
        <v>0</v>
      </c>
      <c r="CO55" s="132">
        <v>0</v>
      </c>
      <c r="CP55" s="132">
        <v>0</v>
      </c>
      <c r="CQ55" s="132">
        <v>0</v>
      </c>
      <c r="CR55" s="132">
        <v>-16</v>
      </c>
      <c r="CS55" s="132">
        <v>-26</v>
      </c>
      <c r="CT55" s="132">
        <v>-27</v>
      </c>
      <c r="CU55" s="132">
        <v>-36</v>
      </c>
      <c r="CV55" s="132">
        <v>-41</v>
      </c>
      <c r="CW55" s="132">
        <v>-52</v>
      </c>
      <c r="CX55" s="132">
        <v>-57</v>
      </c>
      <c r="CY55" s="132">
        <v>-66</v>
      </c>
      <c r="CZ55" s="79">
        <v>-79</v>
      </c>
      <c r="DA55" s="79">
        <v>-88</v>
      </c>
      <c r="DB55" s="79">
        <v>-126</v>
      </c>
      <c r="DC55" s="161" t="s">
        <v>161</v>
      </c>
      <c r="DD55" s="161" t="s">
        <v>161</v>
      </c>
      <c r="DE55" s="161" t="s">
        <v>161</v>
      </c>
      <c r="DF55" s="161" t="s">
        <v>161</v>
      </c>
    </row>
    <row r="56" spans="41:110">
      <c r="AO56" s="135">
        <v>280</v>
      </c>
      <c r="AP56" s="135">
        <v>315</v>
      </c>
      <c r="AQ56">
        <v>-670</v>
      </c>
      <c r="AR56">
        <v>-460</v>
      </c>
      <c r="AS56">
        <v>-271</v>
      </c>
      <c r="AT56">
        <v>-320</v>
      </c>
      <c r="AU56">
        <v>-162</v>
      </c>
      <c r="AV56">
        <v>-191</v>
      </c>
      <c r="AW56" s="145">
        <v>-240</v>
      </c>
      <c r="AX56" s="132">
        <v>-88</v>
      </c>
      <c r="AY56" s="132">
        <v>-108</v>
      </c>
      <c r="AZ56" s="132">
        <v>-137</v>
      </c>
      <c r="BA56" s="132">
        <v>-40</v>
      </c>
      <c r="BB56" s="132">
        <v>-49</v>
      </c>
      <c r="BC56" s="132">
        <v>-23</v>
      </c>
      <c r="BD56" s="132">
        <v>-32</v>
      </c>
      <c r="BE56" s="132">
        <v>-52</v>
      </c>
      <c r="BF56" s="132">
        <v>-81</v>
      </c>
      <c r="BG56" s="132">
        <v>-130</v>
      </c>
      <c r="BH56" s="132">
        <v>-11.5</v>
      </c>
      <c r="BI56" s="132">
        <v>-16</v>
      </c>
      <c r="BJ56" s="132">
        <v>-26</v>
      </c>
      <c r="BK56" s="132">
        <v>4</v>
      </c>
      <c r="BL56" s="132">
        <v>4</v>
      </c>
      <c r="BM56" s="155">
        <v>20</v>
      </c>
      <c r="BN56" s="132">
        <v>20</v>
      </c>
      <c r="BO56" s="132">
        <v>34</v>
      </c>
      <c r="BP56" s="132">
        <v>56</v>
      </c>
      <c r="BQ56" s="79">
        <v>98</v>
      </c>
      <c r="BR56" s="162" t="s">
        <v>112</v>
      </c>
      <c r="BS56" s="162" t="s">
        <v>112</v>
      </c>
      <c r="BT56" s="162" t="s">
        <v>112</v>
      </c>
      <c r="BU56" s="162" t="s">
        <v>112</v>
      </c>
      <c r="BW56" s="135">
        <v>280</v>
      </c>
      <c r="BX56" s="135">
        <v>315</v>
      </c>
      <c r="BY56" s="79">
        <v>540</v>
      </c>
      <c r="BZ56" s="79">
        <v>330</v>
      </c>
      <c r="CA56" s="79">
        <v>330</v>
      </c>
      <c r="CB56" s="79">
        <v>190</v>
      </c>
      <c r="CC56" s="79">
        <v>190</v>
      </c>
      <c r="CD56" s="79">
        <v>190</v>
      </c>
      <c r="CE56" s="79">
        <v>110</v>
      </c>
      <c r="CF56" s="79">
        <v>110</v>
      </c>
      <c r="CG56" s="132">
        <v>110</v>
      </c>
      <c r="CH56" s="132">
        <v>56</v>
      </c>
      <c r="CI56" s="132">
        <v>56</v>
      </c>
      <c r="CJ56" s="132">
        <v>56</v>
      </c>
      <c r="CK56" s="132">
        <v>17</v>
      </c>
      <c r="CL56" s="132">
        <v>17</v>
      </c>
      <c r="CM56" s="132">
        <v>0</v>
      </c>
      <c r="CN56" s="132">
        <v>0</v>
      </c>
      <c r="CO56" s="132">
        <v>0</v>
      </c>
      <c r="CP56" s="132">
        <v>0</v>
      </c>
      <c r="CQ56" s="132">
        <v>0</v>
      </c>
      <c r="CR56" s="132">
        <v>-16</v>
      </c>
      <c r="CS56" s="132">
        <v>-26</v>
      </c>
      <c r="CT56" s="132">
        <v>-27</v>
      </c>
      <c r="CU56" s="132">
        <v>-36</v>
      </c>
      <c r="CV56" s="132">
        <v>-41</v>
      </c>
      <c r="CW56" s="132">
        <v>-52</v>
      </c>
      <c r="CX56" s="132">
        <v>-57</v>
      </c>
      <c r="CY56" s="132">
        <v>-66</v>
      </c>
      <c r="CZ56" s="79">
        <v>-79</v>
      </c>
      <c r="DA56" s="79">
        <v>-88</v>
      </c>
      <c r="DB56" s="79">
        <v>-130</v>
      </c>
      <c r="DC56" s="161" t="s">
        <v>161</v>
      </c>
      <c r="DD56" s="161" t="s">
        <v>161</v>
      </c>
      <c r="DE56" s="161" t="s">
        <v>161</v>
      </c>
      <c r="DF56" s="161" t="s">
        <v>161</v>
      </c>
    </row>
    <row r="57" spans="41:110">
      <c r="AO57" s="135">
        <v>315</v>
      </c>
      <c r="AP57" s="135">
        <v>355</v>
      </c>
      <c r="AQ57">
        <v>-740</v>
      </c>
      <c r="AR57">
        <v>-500</v>
      </c>
      <c r="AS57">
        <v>-299</v>
      </c>
      <c r="AT57">
        <v>-350</v>
      </c>
      <c r="AU57">
        <v>-182</v>
      </c>
      <c r="AV57">
        <v>-214</v>
      </c>
      <c r="AW57" s="145">
        <v>-265</v>
      </c>
      <c r="AX57" s="132">
        <v>-98</v>
      </c>
      <c r="AY57" s="132">
        <v>-119</v>
      </c>
      <c r="AZ57" s="132">
        <v>-151</v>
      </c>
      <c r="BA57" s="132">
        <v>-43</v>
      </c>
      <c r="BB57" s="132">
        <v>-54</v>
      </c>
      <c r="BC57" s="132">
        <v>-25</v>
      </c>
      <c r="BD57" s="132">
        <v>-36</v>
      </c>
      <c r="BE57" s="132">
        <v>-57</v>
      </c>
      <c r="BF57" s="132">
        <v>-89</v>
      </c>
      <c r="BG57" s="132">
        <v>-140</v>
      </c>
      <c r="BH57" s="132">
        <v>-12.5</v>
      </c>
      <c r="BI57" s="132">
        <v>-18</v>
      </c>
      <c r="BJ57" s="132">
        <v>-28</v>
      </c>
      <c r="BK57" s="132">
        <v>4</v>
      </c>
      <c r="BL57" s="132">
        <v>4</v>
      </c>
      <c r="BM57" s="155">
        <v>21</v>
      </c>
      <c r="BN57" s="132">
        <v>21</v>
      </c>
      <c r="BO57" s="132">
        <v>37</v>
      </c>
      <c r="BP57" s="132">
        <v>62</v>
      </c>
      <c r="BQ57" s="79">
        <v>108</v>
      </c>
      <c r="BR57" s="162" t="s">
        <v>112</v>
      </c>
      <c r="BS57" s="162" t="s">
        <v>112</v>
      </c>
      <c r="BT57" s="162" t="s">
        <v>112</v>
      </c>
      <c r="BU57" s="162" t="s">
        <v>112</v>
      </c>
      <c r="BW57" s="135">
        <v>315</v>
      </c>
      <c r="BX57" s="135">
        <v>355</v>
      </c>
      <c r="BY57" s="79">
        <v>600</v>
      </c>
      <c r="BZ57" s="79">
        <v>360</v>
      </c>
      <c r="CA57" s="79">
        <v>360</v>
      </c>
      <c r="CB57" s="79">
        <v>210</v>
      </c>
      <c r="CC57" s="79">
        <v>210</v>
      </c>
      <c r="CD57" s="79">
        <v>210</v>
      </c>
      <c r="CE57" s="79">
        <v>125</v>
      </c>
      <c r="CF57" s="79">
        <v>125</v>
      </c>
      <c r="CG57" s="132">
        <v>125</v>
      </c>
      <c r="CH57" s="132">
        <v>62</v>
      </c>
      <c r="CI57" s="132">
        <v>62</v>
      </c>
      <c r="CJ57" s="132">
        <v>62</v>
      </c>
      <c r="CK57" s="132">
        <v>18</v>
      </c>
      <c r="CL57" s="132">
        <v>18</v>
      </c>
      <c r="CM57" s="132">
        <v>0</v>
      </c>
      <c r="CN57" s="132">
        <v>0</v>
      </c>
      <c r="CO57" s="132">
        <v>0</v>
      </c>
      <c r="CP57" s="132">
        <v>0</v>
      </c>
      <c r="CQ57" s="132">
        <v>0</v>
      </c>
      <c r="CR57" s="132">
        <v>-18</v>
      </c>
      <c r="CS57" s="132">
        <v>-28</v>
      </c>
      <c r="CT57" s="132">
        <v>-29</v>
      </c>
      <c r="CU57" s="132">
        <v>-40</v>
      </c>
      <c r="CV57" s="132">
        <v>-46</v>
      </c>
      <c r="CW57" s="132">
        <v>-57</v>
      </c>
      <c r="CX57" s="132">
        <v>-62</v>
      </c>
      <c r="CY57" s="132">
        <v>-73</v>
      </c>
      <c r="CZ57" s="79">
        <v>-87</v>
      </c>
      <c r="DA57" s="79">
        <v>-98</v>
      </c>
      <c r="DB57" s="79">
        <v>-144</v>
      </c>
      <c r="DC57" s="161" t="s">
        <v>161</v>
      </c>
      <c r="DD57" s="161" t="s">
        <v>161</v>
      </c>
      <c r="DE57" s="161" t="s">
        <v>161</v>
      </c>
      <c r="DF57" s="161" t="s">
        <v>161</v>
      </c>
    </row>
    <row r="58" spans="41:110">
      <c r="AO58" s="135">
        <v>355</v>
      </c>
      <c r="AP58" s="135">
        <v>400</v>
      </c>
      <c r="AQ58">
        <v>-820</v>
      </c>
      <c r="AR58">
        <v>-540</v>
      </c>
      <c r="AS58">
        <v>-299</v>
      </c>
      <c r="AT58">
        <v>-350</v>
      </c>
      <c r="AU58">
        <v>-182</v>
      </c>
      <c r="AV58">
        <v>-214</v>
      </c>
      <c r="AW58" s="145">
        <v>-265</v>
      </c>
      <c r="AX58" s="132">
        <v>-98</v>
      </c>
      <c r="AY58" s="132">
        <v>-119</v>
      </c>
      <c r="AZ58" s="132">
        <v>-151</v>
      </c>
      <c r="BA58" s="132">
        <v>-43</v>
      </c>
      <c r="BB58" s="132">
        <v>-54</v>
      </c>
      <c r="BC58" s="132">
        <v>-25</v>
      </c>
      <c r="BD58" s="132">
        <v>-36</v>
      </c>
      <c r="BE58" s="132">
        <v>-57</v>
      </c>
      <c r="BF58" s="132">
        <v>-89</v>
      </c>
      <c r="BG58" s="132">
        <v>-140</v>
      </c>
      <c r="BH58" s="132">
        <v>-12.5</v>
      </c>
      <c r="BI58" s="132">
        <v>-18</v>
      </c>
      <c r="BJ58" s="132">
        <v>-28</v>
      </c>
      <c r="BK58" s="132">
        <v>4</v>
      </c>
      <c r="BL58" s="132">
        <v>4</v>
      </c>
      <c r="BM58" s="155">
        <v>21</v>
      </c>
      <c r="BN58" s="132">
        <v>21</v>
      </c>
      <c r="BO58" s="132">
        <v>37</v>
      </c>
      <c r="BP58" s="132">
        <v>62</v>
      </c>
      <c r="BQ58" s="79">
        <v>144</v>
      </c>
      <c r="BR58" s="162" t="s">
        <v>112</v>
      </c>
      <c r="BS58" s="162" t="s">
        <v>112</v>
      </c>
      <c r="BT58" s="162" t="s">
        <v>112</v>
      </c>
      <c r="BU58" s="162" t="s">
        <v>112</v>
      </c>
      <c r="BW58" s="135">
        <v>355</v>
      </c>
      <c r="BX58" s="135">
        <v>400</v>
      </c>
      <c r="BY58" s="79">
        <v>680</v>
      </c>
      <c r="BZ58" s="79">
        <v>400</v>
      </c>
      <c r="CA58" s="79">
        <v>400</v>
      </c>
      <c r="CB58" s="79">
        <v>210</v>
      </c>
      <c r="CC58" s="79">
        <v>210</v>
      </c>
      <c r="CD58" s="79">
        <v>210</v>
      </c>
      <c r="CE58" s="79">
        <v>125</v>
      </c>
      <c r="CF58" s="79">
        <v>125</v>
      </c>
      <c r="CG58" s="132">
        <v>125</v>
      </c>
      <c r="CH58" s="132">
        <v>62</v>
      </c>
      <c r="CI58" s="132">
        <v>62</v>
      </c>
      <c r="CJ58" s="132">
        <v>62</v>
      </c>
      <c r="CK58" s="132">
        <v>18</v>
      </c>
      <c r="CL58" s="132">
        <v>18</v>
      </c>
      <c r="CM58" s="132">
        <v>0</v>
      </c>
      <c r="CN58" s="132">
        <v>0</v>
      </c>
      <c r="CO58" s="132">
        <v>0</v>
      </c>
      <c r="CP58" s="132">
        <v>0</v>
      </c>
      <c r="CQ58" s="132">
        <v>0</v>
      </c>
      <c r="CR58" s="132">
        <v>-18</v>
      </c>
      <c r="CS58" s="132">
        <v>-28</v>
      </c>
      <c r="CT58" s="132">
        <v>-29</v>
      </c>
      <c r="CU58" s="132">
        <v>-40</v>
      </c>
      <c r="CV58" s="132">
        <v>-46</v>
      </c>
      <c r="CW58" s="132">
        <v>-57</v>
      </c>
      <c r="CX58" s="132">
        <v>-62</v>
      </c>
      <c r="CY58" s="132">
        <v>-73</v>
      </c>
      <c r="CZ58" s="79">
        <v>-87</v>
      </c>
      <c r="DA58" s="79">
        <v>-98</v>
      </c>
      <c r="DB58" s="79">
        <v>-150</v>
      </c>
      <c r="DC58" s="161" t="s">
        <v>161</v>
      </c>
      <c r="DD58" s="161" t="s">
        <v>161</v>
      </c>
      <c r="DE58" s="161" t="s">
        <v>161</v>
      </c>
      <c r="DF58" s="161" t="s">
        <v>161</v>
      </c>
    </row>
    <row r="59" spans="41:110">
      <c r="AO59" s="135">
        <v>400</v>
      </c>
      <c r="AP59" s="135">
        <v>450</v>
      </c>
      <c r="AQ59">
        <v>-915</v>
      </c>
      <c r="AR59">
        <v>-595</v>
      </c>
      <c r="AS59">
        <v>-327</v>
      </c>
      <c r="AT59">
        <v>-385</v>
      </c>
      <c r="AU59">
        <v>-198</v>
      </c>
      <c r="AV59">
        <v>-232</v>
      </c>
      <c r="AW59" s="145">
        <v>-290</v>
      </c>
      <c r="AX59" s="132">
        <v>-108</v>
      </c>
      <c r="AY59" s="132">
        <v>-131</v>
      </c>
      <c r="AZ59" s="132">
        <v>-165</v>
      </c>
      <c r="BA59" s="132">
        <v>-47</v>
      </c>
      <c r="BB59" s="132">
        <v>-60</v>
      </c>
      <c r="BC59" s="132">
        <v>-27</v>
      </c>
      <c r="BD59" s="132">
        <v>-40</v>
      </c>
      <c r="BE59" s="132">
        <v>-63</v>
      </c>
      <c r="BF59" s="132">
        <v>-97</v>
      </c>
      <c r="BG59" s="132">
        <v>-155</v>
      </c>
      <c r="BH59" s="132">
        <v>-13.5</v>
      </c>
      <c r="BI59" s="132">
        <v>-20</v>
      </c>
      <c r="BJ59" s="132">
        <v>-31</v>
      </c>
      <c r="BK59" s="132">
        <v>5</v>
      </c>
      <c r="BL59" s="132">
        <v>5</v>
      </c>
      <c r="BM59" s="155">
        <v>23</v>
      </c>
      <c r="BN59" s="132">
        <v>23</v>
      </c>
      <c r="BO59" s="132">
        <v>40</v>
      </c>
      <c r="BP59" s="132">
        <v>68</v>
      </c>
      <c r="BQ59" s="79">
        <v>126</v>
      </c>
      <c r="BR59" s="162" t="s">
        <v>112</v>
      </c>
      <c r="BS59" s="162" t="s">
        <v>112</v>
      </c>
      <c r="BT59" s="162" t="s">
        <v>112</v>
      </c>
      <c r="BU59" s="162" t="s">
        <v>112</v>
      </c>
      <c r="BW59" s="135">
        <v>400</v>
      </c>
      <c r="BX59" s="135">
        <v>450</v>
      </c>
      <c r="BY59" s="79">
        <v>760</v>
      </c>
      <c r="BZ59" s="79">
        <v>440</v>
      </c>
      <c r="CA59" s="79">
        <v>440</v>
      </c>
      <c r="CB59" s="79">
        <v>230</v>
      </c>
      <c r="CC59" s="79">
        <v>230</v>
      </c>
      <c r="CD59" s="79">
        <v>230</v>
      </c>
      <c r="CE59" s="79">
        <v>135</v>
      </c>
      <c r="CF59" s="79">
        <v>135</v>
      </c>
      <c r="CG59" s="132">
        <v>135</v>
      </c>
      <c r="CH59" s="132">
        <v>68</v>
      </c>
      <c r="CI59" s="132">
        <v>68</v>
      </c>
      <c r="CJ59" s="132">
        <v>68</v>
      </c>
      <c r="CK59" s="132">
        <v>20</v>
      </c>
      <c r="CL59" s="132">
        <v>20</v>
      </c>
      <c r="CM59" s="132">
        <v>0</v>
      </c>
      <c r="CN59" s="132">
        <v>0</v>
      </c>
      <c r="CO59" s="132">
        <v>0</v>
      </c>
      <c r="CP59" s="132">
        <v>0</v>
      </c>
      <c r="CQ59" s="132">
        <v>0</v>
      </c>
      <c r="CR59" s="132">
        <v>-20</v>
      </c>
      <c r="CS59" s="132">
        <v>-31</v>
      </c>
      <c r="CT59" s="132">
        <v>-32</v>
      </c>
      <c r="CU59" s="132">
        <v>-45</v>
      </c>
      <c r="CV59" s="132">
        <v>-50</v>
      </c>
      <c r="CW59" s="132">
        <v>-63</v>
      </c>
      <c r="CX59" s="132">
        <v>-67</v>
      </c>
      <c r="CY59" s="132">
        <v>-80</v>
      </c>
      <c r="CZ59" s="79">
        <v>-95</v>
      </c>
      <c r="DA59" s="79">
        <v>-108</v>
      </c>
      <c r="DB59" s="79">
        <v>-166</v>
      </c>
      <c r="DC59" s="161" t="s">
        <v>161</v>
      </c>
      <c r="DD59" s="161" t="s">
        <v>161</v>
      </c>
      <c r="DE59" s="161" t="s">
        <v>161</v>
      </c>
      <c r="DF59" s="161" t="s">
        <v>161</v>
      </c>
    </row>
    <row r="60" spans="41:110">
      <c r="AO60" s="135">
        <v>450</v>
      </c>
      <c r="AP60" s="135">
        <v>500</v>
      </c>
      <c r="AQ60">
        <v>-995</v>
      </c>
      <c r="AR60">
        <v>-635</v>
      </c>
      <c r="AS60">
        <v>-327</v>
      </c>
      <c r="AT60">
        <v>-385</v>
      </c>
      <c r="AU60">
        <v>-198</v>
      </c>
      <c r="AV60">
        <v>-232</v>
      </c>
      <c r="AW60" s="145">
        <v>-290</v>
      </c>
      <c r="AX60" s="132">
        <v>-108</v>
      </c>
      <c r="AY60" s="132">
        <v>-131</v>
      </c>
      <c r="AZ60" s="132">
        <v>-165</v>
      </c>
      <c r="BA60" s="132">
        <v>-47</v>
      </c>
      <c r="BB60" s="132">
        <v>-60</v>
      </c>
      <c r="BC60" s="132">
        <v>-27</v>
      </c>
      <c r="BD60" s="132">
        <v>-40</v>
      </c>
      <c r="BE60" s="132">
        <v>-63</v>
      </c>
      <c r="BF60" s="132">
        <v>-97</v>
      </c>
      <c r="BG60" s="132">
        <v>-155</v>
      </c>
      <c r="BH60" s="132">
        <v>-13.5</v>
      </c>
      <c r="BI60" s="132">
        <v>-20</v>
      </c>
      <c r="BJ60" s="132">
        <v>-31</v>
      </c>
      <c r="BK60" s="132">
        <v>5</v>
      </c>
      <c r="BL60" s="132">
        <v>5</v>
      </c>
      <c r="BM60" s="155">
        <v>23</v>
      </c>
      <c r="BN60" s="132">
        <v>23</v>
      </c>
      <c r="BO60" s="132">
        <v>40</v>
      </c>
      <c r="BP60" s="132">
        <v>68</v>
      </c>
      <c r="BQ60" s="79">
        <v>132</v>
      </c>
      <c r="BR60" s="162" t="s">
        <v>112</v>
      </c>
      <c r="BS60" s="162" t="s">
        <v>112</v>
      </c>
      <c r="BT60" s="162" t="s">
        <v>112</v>
      </c>
      <c r="BU60" s="162" t="s">
        <v>112</v>
      </c>
      <c r="BW60" s="135">
        <v>450</v>
      </c>
      <c r="BX60" s="135">
        <v>500</v>
      </c>
      <c r="BY60" s="79">
        <v>840</v>
      </c>
      <c r="BZ60" s="79">
        <v>480</v>
      </c>
      <c r="CA60" s="79">
        <v>480</v>
      </c>
      <c r="CB60" s="79">
        <v>230</v>
      </c>
      <c r="CC60" s="79">
        <v>230</v>
      </c>
      <c r="CD60" s="79">
        <v>230</v>
      </c>
      <c r="CE60" s="79">
        <v>135</v>
      </c>
      <c r="CF60" s="79">
        <v>135</v>
      </c>
      <c r="CG60" s="132">
        <v>135</v>
      </c>
      <c r="CH60" s="132">
        <v>68</v>
      </c>
      <c r="CI60" s="132">
        <v>68</v>
      </c>
      <c r="CJ60" s="132">
        <v>68</v>
      </c>
      <c r="CK60" s="132">
        <v>20</v>
      </c>
      <c r="CL60" s="132">
        <v>20</v>
      </c>
      <c r="CM60" s="132">
        <v>0</v>
      </c>
      <c r="CN60" s="132">
        <v>0</v>
      </c>
      <c r="CO60" s="132">
        <v>0</v>
      </c>
      <c r="CP60" s="132">
        <v>0</v>
      </c>
      <c r="CQ60" s="132">
        <v>0</v>
      </c>
      <c r="CR60" s="132">
        <v>-20</v>
      </c>
      <c r="CS60" s="132">
        <v>-31</v>
      </c>
      <c r="CT60" s="132">
        <v>-32</v>
      </c>
      <c r="CU60" s="132">
        <v>-45</v>
      </c>
      <c r="CV60" s="132">
        <v>-50</v>
      </c>
      <c r="CW60" s="132">
        <v>-63</v>
      </c>
      <c r="CX60" s="132">
        <v>-67</v>
      </c>
      <c r="CY60" s="132">
        <v>-80</v>
      </c>
      <c r="CZ60" s="79">
        <v>-95</v>
      </c>
      <c r="DA60" s="79">
        <v>-108</v>
      </c>
      <c r="DB60" s="79">
        <v>-172</v>
      </c>
      <c r="DC60" s="161" t="s">
        <v>161</v>
      </c>
      <c r="DD60" s="161" t="s">
        <v>161</v>
      </c>
      <c r="DE60" s="161" t="s">
        <v>161</v>
      </c>
      <c r="DF60" s="161" t="s">
        <v>161</v>
      </c>
    </row>
  </sheetData>
  <mergeCells count="2">
    <mergeCell ref="B8:B38"/>
    <mergeCell ref="B7:C7"/>
  </mergeCells>
  <phoneticPr fontId="1"/>
  <conditionalFormatting sqref="D8:AK38">
    <cfRule type="expression" dxfId="4" priority="1">
      <formula>ISERROR(D8)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59537-509E-44B0-B188-05658F65FB73}">
  <sheetPr codeName="Sheet7"/>
  <dimension ref="A1:L49"/>
  <sheetViews>
    <sheetView topLeftCell="A11" workbookViewId="0">
      <selection activeCell="H26" sqref="H26"/>
    </sheetView>
  </sheetViews>
  <sheetFormatPr defaultRowHeight="17.649999999999999"/>
  <sheetData>
    <row r="1" spans="1:12">
      <c r="A1" t="s">
        <v>228</v>
      </c>
      <c r="C1" t="s">
        <v>231</v>
      </c>
    </row>
    <row r="2" spans="1:12">
      <c r="A2" t="s">
        <v>229</v>
      </c>
    </row>
    <row r="3" spans="1:12">
      <c r="A3" t="s">
        <v>230</v>
      </c>
      <c r="B3" t="s">
        <v>165</v>
      </c>
      <c r="C3" t="s">
        <v>216</v>
      </c>
      <c r="D3" t="s">
        <v>218</v>
      </c>
      <c r="E3" t="s">
        <v>220</v>
      </c>
      <c r="F3" t="s">
        <v>222</v>
      </c>
      <c r="G3" t="s">
        <v>224</v>
      </c>
      <c r="H3" t="s">
        <v>226</v>
      </c>
      <c r="I3" t="s">
        <v>166</v>
      </c>
      <c r="J3" t="s">
        <v>167</v>
      </c>
      <c r="K3" t="s">
        <v>168</v>
      </c>
      <c r="L3" t="s">
        <v>169</v>
      </c>
    </row>
    <row r="4" spans="1:12">
      <c r="A4" t="s">
        <v>161</v>
      </c>
      <c r="B4">
        <v>3</v>
      </c>
      <c r="C4">
        <v>-140</v>
      </c>
      <c r="D4">
        <v>-60</v>
      </c>
      <c r="E4">
        <v>-20</v>
      </c>
      <c r="F4">
        <v>-20</v>
      </c>
      <c r="G4">
        <v>-14</v>
      </c>
      <c r="H4">
        <v>-14</v>
      </c>
      <c r="I4">
        <v>-14</v>
      </c>
      <c r="J4">
        <v>-6</v>
      </c>
      <c r="K4">
        <v>-6</v>
      </c>
      <c r="L4">
        <v>-6</v>
      </c>
    </row>
    <row r="5" spans="1:12">
      <c r="C5">
        <v>-165</v>
      </c>
      <c r="D5">
        <v>-85</v>
      </c>
      <c r="E5">
        <v>-34</v>
      </c>
      <c r="F5">
        <v>-45</v>
      </c>
      <c r="G5">
        <v>-24</v>
      </c>
      <c r="H5">
        <v>-28</v>
      </c>
      <c r="I5">
        <v>-39</v>
      </c>
      <c r="J5">
        <v>-12</v>
      </c>
      <c r="K5">
        <v>-16</v>
      </c>
      <c r="L5">
        <v>-20</v>
      </c>
    </row>
    <row r="6" spans="1:12">
      <c r="A6">
        <v>3</v>
      </c>
      <c r="B6">
        <v>6</v>
      </c>
      <c r="C6">
        <v>-140</v>
      </c>
      <c r="D6">
        <v>-70</v>
      </c>
      <c r="E6">
        <v>-30</v>
      </c>
      <c r="F6">
        <v>-30</v>
      </c>
      <c r="G6">
        <v>-20</v>
      </c>
      <c r="H6">
        <v>-20</v>
      </c>
      <c r="I6">
        <v>-20</v>
      </c>
      <c r="J6">
        <v>-10</v>
      </c>
      <c r="K6">
        <v>-10</v>
      </c>
      <c r="L6">
        <v>-10</v>
      </c>
    </row>
    <row r="7" spans="1:12">
      <c r="C7">
        <v>-170</v>
      </c>
      <c r="D7">
        <v>-100</v>
      </c>
      <c r="E7">
        <v>-48</v>
      </c>
      <c r="F7">
        <v>-60</v>
      </c>
      <c r="G7">
        <v>-32</v>
      </c>
      <c r="H7">
        <v>-38</v>
      </c>
      <c r="I7">
        <v>-50</v>
      </c>
      <c r="J7">
        <v>-18</v>
      </c>
      <c r="K7">
        <v>-22</v>
      </c>
      <c r="L7">
        <v>-28</v>
      </c>
    </row>
    <row r="8" spans="1:12">
      <c r="A8">
        <v>6</v>
      </c>
      <c r="B8">
        <v>10</v>
      </c>
      <c r="C8">
        <v>-150</v>
      </c>
      <c r="D8">
        <v>-80</v>
      </c>
      <c r="E8">
        <v>-40</v>
      </c>
      <c r="F8">
        <v>-40</v>
      </c>
      <c r="G8">
        <v>-25</v>
      </c>
      <c r="H8">
        <v>-25</v>
      </c>
      <c r="I8">
        <v>-25</v>
      </c>
      <c r="J8">
        <v>-13</v>
      </c>
      <c r="K8">
        <v>-13</v>
      </c>
      <c r="L8">
        <v>-13</v>
      </c>
    </row>
    <row r="9" spans="1:12">
      <c r="C9">
        <v>-186</v>
      </c>
      <c r="D9">
        <v>-116</v>
      </c>
      <c r="E9">
        <v>-62</v>
      </c>
      <c r="F9">
        <v>-76</v>
      </c>
      <c r="G9">
        <v>-40</v>
      </c>
      <c r="H9">
        <v>-47</v>
      </c>
      <c r="I9">
        <v>-61</v>
      </c>
      <c r="J9">
        <v>-22</v>
      </c>
      <c r="K9">
        <v>-28</v>
      </c>
      <c r="L9">
        <v>-35</v>
      </c>
    </row>
    <row r="10" spans="1:12">
      <c r="A10">
        <v>10</v>
      </c>
      <c r="B10">
        <v>14</v>
      </c>
      <c r="C10">
        <v>-150</v>
      </c>
      <c r="D10">
        <v>-95</v>
      </c>
      <c r="E10">
        <v>-50</v>
      </c>
      <c r="F10">
        <v>-50</v>
      </c>
      <c r="G10">
        <v>-32</v>
      </c>
      <c r="H10">
        <v>-32</v>
      </c>
      <c r="I10">
        <v>-32</v>
      </c>
      <c r="J10">
        <v>-16</v>
      </c>
      <c r="K10">
        <v>-16</v>
      </c>
      <c r="L10">
        <v>-16</v>
      </c>
    </row>
    <row r="11" spans="1:12">
      <c r="A11">
        <v>14</v>
      </c>
      <c r="B11">
        <v>18</v>
      </c>
      <c r="C11">
        <v>-193</v>
      </c>
      <c r="D11">
        <v>-138</v>
      </c>
      <c r="E11">
        <v>-77</v>
      </c>
      <c r="F11">
        <v>-93</v>
      </c>
      <c r="G11">
        <v>-50</v>
      </c>
      <c r="H11">
        <v>-59</v>
      </c>
      <c r="I11">
        <v>-75</v>
      </c>
      <c r="J11">
        <v>-27</v>
      </c>
      <c r="K11">
        <v>-34</v>
      </c>
      <c r="L11">
        <v>-43</v>
      </c>
    </row>
    <row r="12" spans="1:12">
      <c r="A12">
        <v>18</v>
      </c>
      <c r="B12">
        <v>24</v>
      </c>
      <c r="C12">
        <v>-160</v>
      </c>
      <c r="D12">
        <v>-110</v>
      </c>
      <c r="E12">
        <v>-65</v>
      </c>
      <c r="F12">
        <v>-65</v>
      </c>
      <c r="G12">
        <v>-40</v>
      </c>
      <c r="H12">
        <v>-40</v>
      </c>
      <c r="I12">
        <v>-40</v>
      </c>
      <c r="J12">
        <v>-20</v>
      </c>
      <c r="K12">
        <v>-20</v>
      </c>
      <c r="L12">
        <v>-20</v>
      </c>
    </row>
    <row r="13" spans="1:12">
      <c r="A13">
        <v>24</v>
      </c>
      <c r="B13">
        <v>30</v>
      </c>
      <c r="C13">
        <v>-212</v>
      </c>
      <c r="D13">
        <v>-162</v>
      </c>
      <c r="E13">
        <v>-98</v>
      </c>
      <c r="F13">
        <v>-117</v>
      </c>
      <c r="G13">
        <v>-61</v>
      </c>
      <c r="H13">
        <v>-73</v>
      </c>
      <c r="I13">
        <v>-92</v>
      </c>
      <c r="J13">
        <v>-33</v>
      </c>
      <c r="K13">
        <v>-41</v>
      </c>
      <c r="L13">
        <v>-53</v>
      </c>
    </row>
    <row r="14" spans="1:12">
      <c r="A14">
        <v>30</v>
      </c>
      <c r="B14">
        <v>40</v>
      </c>
      <c r="C14">
        <v>-170</v>
      </c>
      <c r="D14">
        <v>-120</v>
      </c>
      <c r="E14">
        <v>-80</v>
      </c>
      <c r="F14">
        <v>-80</v>
      </c>
      <c r="G14">
        <v>-50</v>
      </c>
      <c r="H14">
        <v>-50</v>
      </c>
      <c r="I14">
        <v>-50</v>
      </c>
      <c r="J14">
        <v>-25</v>
      </c>
      <c r="K14">
        <v>-25</v>
      </c>
      <c r="L14">
        <v>-25</v>
      </c>
    </row>
    <row r="15" spans="1:12">
      <c r="C15">
        <v>-232</v>
      </c>
      <c r="D15">
        <v>-182</v>
      </c>
      <c r="E15">
        <v>-119</v>
      </c>
      <c r="F15">
        <v>-142</v>
      </c>
      <c r="G15">
        <v>-75</v>
      </c>
      <c r="H15">
        <v>-89</v>
      </c>
      <c r="I15">
        <v>-112</v>
      </c>
      <c r="J15">
        <v>-41</v>
      </c>
      <c r="K15">
        <v>-50</v>
      </c>
      <c r="L15">
        <v>-64</v>
      </c>
    </row>
    <row r="16" spans="1:12">
      <c r="A16">
        <v>40</v>
      </c>
      <c r="B16">
        <v>50</v>
      </c>
      <c r="C16">
        <v>-180</v>
      </c>
      <c r="D16">
        <v>-130</v>
      </c>
    </row>
    <row r="17" spans="1:12">
      <c r="C17">
        <v>-242</v>
      </c>
      <c r="D17">
        <v>-192</v>
      </c>
    </row>
    <row r="18" spans="1:12">
      <c r="A18">
        <v>50</v>
      </c>
      <c r="B18">
        <v>65</v>
      </c>
      <c r="C18">
        <v>-190</v>
      </c>
      <c r="D18">
        <v>-140</v>
      </c>
      <c r="E18">
        <v>-100</v>
      </c>
      <c r="F18">
        <v>-100</v>
      </c>
      <c r="G18">
        <v>-60</v>
      </c>
      <c r="H18">
        <v>-60</v>
      </c>
      <c r="I18">
        <v>-60</v>
      </c>
      <c r="J18">
        <v>-30</v>
      </c>
      <c r="K18">
        <v>-30</v>
      </c>
      <c r="L18">
        <v>-30</v>
      </c>
    </row>
    <row r="19" spans="1:12">
      <c r="C19">
        <v>-264</v>
      </c>
      <c r="D19">
        <v>-214</v>
      </c>
      <c r="E19">
        <v>-146</v>
      </c>
      <c r="F19">
        <v>-174</v>
      </c>
      <c r="G19">
        <v>-90</v>
      </c>
      <c r="H19">
        <v>-106</v>
      </c>
      <c r="I19">
        <v>-134</v>
      </c>
      <c r="J19">
        <v>-49</v>
      </c>
      <c r="K19">
        <v>-60</v>
      </c>
      <c r="L19">
        <v>-76</v>
      </c>
    </row>
    <row r="20" spans="1:12">
      <c r="A20">
        <v>65</v>
      </c>
      <c r="B20">
        <v>80</v>
      </c>
      <c r="C20">
        <v>-200</v>
      </c>
      <c r="D20">
        <v>-150</v>
      </c>
    </row>
    <row r="21" spans="1:12">
      <c r="C21">
        <v>-274</v>
      </c>
      <c r="D21">
        <v>-224</v>
      </c>
    </row>
    <row r="22" spans="1:12">
      <c r="A22">
        <v>80</v>
      </c>
      <c r="B22">
        <v>100</v>
      </c>
      <c r="C22">
        <v>-220</v>
      </c>
      <c r="D22">
        <v>-170</v>
      </c>
      <c r="E22">
        <v>-120</v>
      </c>
      <c r="F22">
        <v>-120</v>
      </c>
      <c r="G22">
        <v>-72</v>
      </c>
      <c r="H22">
        <v>-72</v>
      </c>
      <c r="I22">
        <v>-72</v>
      </c>
      <c r="J22">
        <v>-36</v>
      </c>
      <c r="K22">
        <v>-36</v>
      </c>
      <c r="L22">
        <v>-36</v>
      </c>
    </row>
    <row r="23" spans="1:12">
      <c r="C23">
        <v>-307</v>
      </c>
      <c r="D23">
        <v>-257</v>
      </c>
      <c r="E23">
        <v>-174</v>
      </c>
      <c r="F23">
        <v>-207</v>
      </c>
      <c r="G23">
        <v>-107</v>
      </c>
      <c r="H23">
        <v>-126</v>
      </c>
      <c r="I23">
        <v>-159</v>
      </c>
      <c r="J23">
        <v>-58</v>
      </c>
      <c r="K23">
        <v>-71</v>
      </c>
      <c r="L23">
        <v>-90</v>
      </c>
    </row>
    <row r="24" spans="1:12">
      <c r="A24">
        <v>100</v>
      </c>
      <c r="B24">
        <v>120</v>
      </c>
      <c r="C24">
        <v>-240</v>
      </c>
      <c r="D24">
        <v>-180</v>
      </c>
    </row>
    <row r="25" spans="1:12">
      <c r="C25">
        <v>-327</v>
      </c>
      <c r="D25">
        <v>-267</v>
      </c>
    </row>
    <row r="26" spans="1:12">
      <c r="A26">
        <v>120</v>
      </c>
      <c r="B26">
        <v>140</v>
      </c>
      <c r="C26">
        <v>-260</v>
      </c>
      <c r="D26">
        <v>-200</v>
      </c>
      <c r="E26">
        <v>-145</v>
      </c>
      <c r="F26">
        <v>-145</v>
      </c>
      <c r="G26">
        <v>-85</v>
      </c>
      <c r="H26">
        <v>-85</v>
      </c>
      <c r="I26">
        <v>-85</v>
      </c>
      <c r="J26">
        <v>-43</v>
      </c>
      <c r="K26">
        <v>-43</v>
      </c>
      <c r="L26">
        <v>-43</v>
      </c>
    </row>
    <row r="27" spans="1:12">
      <c r="C27">
        <v>-360</v>
      </c>
      <c r="D27">
        <v>-300</v>
      </c>
      <c r="E27">
        <v>-208</v>
      </c>
      <c r="F27">
        <v>-245</v>
      </c>
      <c r="G27">
        <v>-125</v>
      </c>
      <c r="H27">
        <v>-148</v>
      </c>
      <c r="I27">
        <v>-185</v>
      </c>
      <c r="J27">
        <v>-68</v>
      </c>
      <c r="K27">
        <v>-83</v>
      </c>
      <c r="L27">
        <v>-106</v>
      </c>
    </row>
    <row r="28" spans="1:12">
      <c r="A28">
        <v>140</v>
      </c>
      <c r="B28">
        <v>160</v>
      </c>
      <c r="C28">
        <v>-280</v>
      </c>
      <c r="D28">
        <v>-210</v>
      </c>
    </row>
    <row r="29" spans="1:12">
      <c r="C29">
        <v>-380</v>
      </c>
      <c r="D29">
        <v>-310</v>
      </c>
    </row>
    <row r="30" spans="1:12">
      <c r="A30">
        <v>160</v>
      </c>
      <c r="B30">
        <v>180</v>
      </c>
      <c r="C30">
        <v>-310</v>
      </c>
      <c r="D30">
        <v>-230</v>
      </c>
    </row>
    <row r="31" spans="1:12">
      <c r="C31">
        <v>-410</v>
      </c>
      <c r="D31">
        <v>-330</v>
      </c>
    </row>
    <row r="32" spans="1:12">
      <c r="A32">
        <v>180</v>
      </c>
      <c r="B32">
        <v>200</v>
      </c>
      <c r="C32">
        <v>-340</v>
      </c>
      <c r="D32">
        <v>-240</v>
      </c>
      <c r="F32">
        <v>-170</v>
      </c>
      <c r="G32">
        <v>-100</v>
      </c>
      <c r="H32">
        <v>-100</v>
      </c>
      <c r="I32">
        <v>-100</v>
      </c>
      <c r="J32">
        <v>-50</v>
      </c>
      <c r="K32">
        <v>-50</v>
      </c>
      <c r="L32">
        <v>-50</v>
      </c>
    </row>
    <row r="33" spans="1:12">
      <c r="C33">
        <v>-455</v>
      </c>
      <c r="D33">
        <v>-355</v>
      </c>
      <c r="E33">
        <v>-170</v>
      </c>
      <c r="F33">
        <v>-285</v>
      </c>
      <c r="G33">
        <v>-146</v>
      </c>
      <c r="H33">
        <v>-172</v>
      </c>
      <c r="I33">
        <v>-215</v>
      </c>
      <c r="J33">
        <v>-79</v>
      </c>
      <c r="K33">
        <v>-96</v>
      </c>
      <c r="L33">
        <v>-122</v>
      </c>
    </row>
    <row r="34" spans="1:12">
      <c r="A34">
        <v>200</v>
      </c>
      <c r="B34">
        <v>225</v>
      </c>
      <c r="C34">
        <v>-380</v>
      </c>
      <c r="D34">
        <v>-260</v>
      </c>
      <c r="E34">
        <v>-242</v>
      </c>
    </row>
    <row r="35" spans="1:12">
      <c r="C35">
        <v>-495</v>
      </c>
      <c r="D35">
        <v>-375</v>
      </c>
    </row>
    <row r="36" spans="1:12">
      <c r="A36">
        <v>225</v>
      </c>
      <c r="B36">
        <v>250</v>
      </c>
      <c r="C36">
        <v>-420</v>
      </c>
      <c r="D36">
        <v>-280</v>
      </c>
    </row>
    <row r="37" spans="1:12">
      <c r="C37">
        <v>-535</v>
      </c>
      <c r="D37">
        <v>-395</v>
      </c>
    </row>
    <row r="38" spans="1:12">
      <c r="A38">
        <v>250</v>
      </c>
      <c r="B38">
        <v>280</v>
      </c>
      <c r="C38">
        <v>-480</v>
      </c>
      <c r="D38">
        <v>-300</v>
      </c>
      <c r="E38">
        <v>-190</v>
      </c>
      <c r="F38">
        <v>-190</v>
      </c>
      <c r="G38">
        <v>-110</v>
      </c>
      <c r="H38">
        <v>-110</v>
      </c>
      <c r="I38">
        <v>-110</v>
      </c>
      <c r="J38">
        <v>-56</v>
      </c>
      <c r="K38">
        <v>-56</v>
      </c>
      <c r="L38">
        <v>-56</v>
      </c>
    </row>
    <row r="39" spans="1:12">
      <c r="C39">
        <v>-610</v>
      </c>
      <c r="D39">
        <v>-430</v>
      </c>
      <c r="E39">
        <v>-271</v>
      </c>
      <c r="F39">
        <v>-320</v>
      </c>
      <c r="G39">
        <v>-162</v>
      </c>
      <c r="H39">
        <v>-191</v>
      </c>
      <c r="I39">
        <v>-240</v>
      </c>
      <c r="J39">
        <v>-88</v>
      </c>
      <c r="K39">
        <v>-108</v>
      </c>
      <c r="L39">
        <v>-137</v>
      </c>
    </row>
    <row r="40" spans="1:12">
      <c r="A40">
        <v>280</v>
      </c>
      <c r="B40">
        <v>315</v>
      </c>
      <c r="C40">
        <v>-540</v>
      </c>
      <c r="D40">
        <v>-330</v>
      </c>
    </row>
    <row r="41" spans="1:12">
      <c r="C41">
        <v>-670</v>
      </c>
      <c r="D41">
        <v>-460</v>
      </c>
    </row>
    <row r="42" spans="1:12">
      <c r="A42">
        <v>315</v>
      </c>
      <c r="B42">
        <v>355</v>
      </c>
      <c r="C42">
        <v>-600</v>
      </c>
      <c r="D42">
        <v>-360</v>
      </c>
      <c r="E42">
        <v>-210</v>
      </c>
      <c r="F42">
        <v>-210</v>
      </c>
      <c r="G42">
        <v>-125</v>
      </c>
      <c r="H42">
        <v>-125</v>
      </c>
      <c r="I42">
        <v>-125</v>
      </c>
      <c r="J42">
        <v>-62</v>
      </c>
      <c r="K42">
        <v>-62</v>
      </c>
      <c r="L42">
        <v>-62</v>
      </c>
    </row>
    <row r="43" spans="1:12">
      <c r="C43">
        <v>-740</v>
      </c>
      <c r="D43">
        <v>-500</v>
      </c>
      <c r="E43">
        <v>-299</v>
      </c>
      <c r="F43">
        <v>-350</v>
      </c>
      <c r="G43">
        <v>-182</v>
      </c>
      <c r="H43">
        <v>-214</v>
      </c>
      <c r="I43">
        <v>-265</v>
      </c>
      <c r="J43">
        <v>-98</v>
      </c>
      <c r="K43">
        <v>-119</v>
      </c>
      <c r="L43">
        <v>-151</v>
      </c>
    </row>
    <row r="44" spans="1:12">
      <c r="A44">
        <v>355</v>
      </c>
      <c r="B44">
        <v>400</v>
      </c>
      <c r="C44">
        <v>-680</v>
      </c>
      <c r="D44">
        <v>-400</v>
      </c>
    </row>
    <row r="45" spans="1:12">
      <c r="C45">
        <v>-820</v>
      </c>
      <c r="D45">
        <v>-540</v>
      </c>
    </row>
    <row r="46" spans="1:12">
      <c r="A46">
        <v>400</v>
      </c>
      <c r="B46">
        <v>450</v>
      </c>
      <c r="C46">
        <v>-760</v>
      </c>
      <c r="D46">
        <v>-440</v>
      </c>
      <c r="E46">
        <v>-230</v>
      </c>
      <c r="F46">
        <v>-230</v>
      </c>
      <c r="G46">
        <v>-135</v>
      </c>
      <c r="H46">
        <v>-135</v>
      </c>
      <c r="I46">
        <v>-135</v>
      </c>
      <c r="J46">
        <v>-68</v>
      </c>
      <c r="K46">
        <v>-68</v>
      </c>
      <c r="L46">
        <v>-68</v>
      </c>
    </row>
    <row r="47" spans="1:12">
      <c r="C47">
        <v>-915</v>
      </c>
      <c r="D47">
        <v>-595</v>
      </c>
      <c r="E47">
        <v>-327</v>
      </c>
      <c r="F47">
        <v>-385</v>
      </c>
      <c r="G47">
        <v>-198</v>
      </c>
      <c r="H47">
        <v>-232</v>
      </c>
      <c r="I47">
        <v>-290</v>
      </c>
      <c r="J47">
        <v>-108</v>
      </c>
      <c r="K47">
        <v>-131</v>
      </c>
      <c r="L47">
        <v>-165</v>
      </c>
    </row>
    <row r="48" spans="1:12">
      <c r="A48">
        <v>450</v>
      </c>
      <c r="B48">
        <v>500</v>
      </c>
      <c r="C48">
        <v>-840</v>
      </c>
      <c r="D48">
        <v>-480</v>
      </c>
    </row>
    <row r="49" spans="3:4">
      <c r="C49">
        <v>-995</v>
      </c>
      <c r="D49">
        <v>-635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D76D9-B9B8-4334-A644-D3997CD0E01E}">
  <sheetPr codeName="Sheet8"/>
  <dimension ref="A1:E6"/>
  <sheetViews>
    <sheetView workbookViewId="0">
      <selection activeCell="B3" sqref="B3:B7"/>
    </sheetView>
  </sheetViews>
  <sheetFormatPr defaultRowHeight="17.649999999999999"/>
  <cols>
    <col min="1" max="1" width="16.4375" bestFit="1" customWidth="1"/>
    <col min="2" max="2" width="24.125" bestFit="1" customWidth="1"/>
    <col min="3" max="3" width="19.125" bestFit="1" customWidth="1"/>
    <col min="4" max="4" width="38.5" bestFit="1" customWidth="1"/>
    <col min="5" max="5" width="18.6875" bestFit="1" customWidth="1"/>
  </cols>
  <sheetData>
    <row r="1" spans="1:5">
      <c r="A1" t="s">
        <v>78</v>
      </c>
      <c r="B1" t="s">
        <v>18</v>
      </c>
      <c r="C1" t="s">
        <v>0</v>
      </c>
      <c r="D1" t="s">
        <v>7</v>
      </c>
      <c r="E1" t="s">
        <v>73</v>
      </c>
    </row>
    <row r="2" spans="1:5">
      <c r="A2" t="s">
        <v>75</v>
      </c>
      <c r="B2" t="s">
        <v>83</v>
      </c>
      <c r="C2" t="s">
        <v>76</v>
      </c>
      <c r="D2" t="s">
        <v>77</v>
      </c>
      <c r="E2" t="s">
        <v>79</v>
      </c>
    </row>
    <row r="3" spans="1:5">
      <c r="A3" t="s">
        <v>90</v>
      </c>
      <c r="B3">
        <v>208000</v>
      </c>
      <c r="C3" s="100">
        <v>0.3</v>
      </c>
      <c r="D3">
        <v>12.5</v>
      </c>
      <c r="E3">
        <v>785</v>
      </c>
    </row>
    <row r="4" spans="1:5">
      <c r="A4" t="s">
        <v>82</v>
      </c>
      <c r="B4">
        <v>205000</v>
      </c>
      <c r="C4" s="100">
        <v>0.3</v>
      </c>
      <c r="D4">
        <v>11.9</v>
      </c>
      <c r="E4">
        <v>345</v>
      </c>
    </row>
    <row r="5" spans="1:5">
      <c r="A5" t="s">
        <v>99</v>
      </c>
      <c r="B5">
        <v>118000</v>
      </c>
      <c r="C5">
        <v>0.33</v>
      </c>
      <c r="D5">
        <v>17.7</v>
      </c>
      <c r="E5">
        <v>200</v>
      </c>
    </row>
    <row r="6" spans="1:5">
      <c r="A6" t="s">
        <v>72</v>
      </c>
      <c r="B6">
        <v>71000</v>
      </c>
      <c r="C6">
        <v>0.33</v>
      </c>
      <c r="D6" s="99">
        <v>21</v>
      </c>
      <c r="E6">
        <v>150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W4"/>
  <sheetViews>
    <sheetView topLeftCell="G1" workbookViewId="0">
      <selection activeCell="U5" sqref="U5"/>
    </sheetView>
  </sheetViews>
  <sheetFormatPr defaultColWidth="8.75" defaultRowHeight="17.649999999999999"/>
  <cols>
    <col min="1" max="1" width="12.375" style="30" bestFit="1" customWidth="1"/>
    <col min="2" max="2" width="12.375" style="31" bestFit="1" customWidth="1"/>
    <col min="3" max="3" width="8.75" style="31" bestFit="1" customWidth="1"/>
    <col min="4" max="5" width="10.375" style="31" bestFit="1" customWidth="1"/>
    <col min="6" max="6" width="8.625" style="31" bestFit="1" customWidth="1"/>
    <col min="7" max="7" width="12.375" style="30" bestFit="1" customWidth="1"/>
    <col min="8" max="8" width="12.375" style="31" bestFit="1" customWidth="1"/>
    <col min="9" max="9" width="8.75" style="31" bestFit="1" customWidth="1"/>
    <col min="10" max="11" width="10.375" style="31" bestFit="1" customWidth="1"/>
    <col min="12" max="12" width="8.625" style="32" bestFit="1" customWidth="1"/>
    <col min="13" max="13" width="10.375" style="3" bestFit="1" customWidth="1"/>
    <col min="14" max="14" width="7.25" style="3" bestFit="1" customWidth="1"/>
    <col min="15" max="15" width="8.625" style="3" bestFit="1" customWidth="1"/>
    <col min="16" max="16" width="18.875" style="3" bestFit="1" customWidth="1"/>
    <col min="17" max="17" width="15.125" style="3" bestFit="1" customWidth="1"/>
    <col min="18" max="20" width="12.375" style="3" bestFit="1" customWidth="1"/>
    <col min="21" max="21" width="9.25" style="3" bestFit="1" customWidth="1"/>
    <col min="22" max="22" width="6.75" style="3" bestFit="1" customWidth="1"/>
    <col min="23" max="23" width="10.375" style="3" bestFit="1" customWidth="1"/>
    <col min="24" max="16384" width="8.75" style="3"/>
  </cols>
  <sheetData>
    <row r="1" spans="1:23">
      <c r="A1" s="16" t="s">
        <v>36</v>
      </c>
      <c r="B1" s="17" t="s">
        <v>36</v>
      </c>
      <c r="C1" s="17" t="s">
        <v>36</v>
      </c>
      <c r="D1" s="17" t="s">
        <v>36</v>
      </c>
      <c r="E1" s="17" t="s">
        <v>36</v>
      </c>
      <c r="F1" s="34" t="s">
        <v>36</v>
      </c>
      <c r="G1" s="22" t="s">
        <v>38</v>
      </c>
      <c r="H1" s="23" t="s">
        <v>38</v>
      </c>
      <c r="I1" s="23" t="s">
        <v>38</v>
      </c>
      <c r="J1" s="23" t="s">
        <v>38</v>
      </c>
      <c r="K1" s="23" t="s">
        <v>38</v>
      </c>
      <c r="L1" s="24" t="s">
        <v>38</v>
      </c>
      <c r="M1" s="15" t="s">
        <v>39</v>
      </c>
      <c r="N1" s="9" t="s">
        <v>39</v>
      </c>
      <c r="O1" s="9" t="s">
        <v>39</v>
      </c>
      <c r="P1" s="9" t="s">
        <v>39</v>
      </c>
      <c r="Q1" s="9" t="s">
        <v>39</v>
      </c>
      <c r="R1" s="9" t="s">
        <v>39</v>
      </c>
      <c r="S1" s="9" t="s">
        <v>39</v>
      </c>
      <c r="T1" s="9" t="s">
        <v>39</v>
      </c>
      <c r="U1" s="9" t="s">
        <v>39</v>
      </c>
      <c r="V1" s="9" t="s">
        <v>39</v>
      </c>
      <c r="W1" s="9" t="s">
        <v>39</v>
      </c>
    </row>
    <row r="2" spans="1:23">
      <c r="A2" s="19" t="s">
        <v>6</v>
      </c>
      <c r="B2" s="10" t="s">
        <v>8</v>
      </c>
      <c r="C2" s="9" t="s">
        <v>5</v>
      </c>
      <c r="D2" s="9" t="s">
        <v>0</v>
      </c>
      <c r="E2" s="9" t="s">
        <v>7</v>
      </c>
      <c r="F2" s="33" t="s">
        <v>12</v>
      </c>
      <c r="G2" s="19" t="s">
        <v>6</v>
      </c>
      <c r="H2" s="10" t="s">
        <v>8</v>
      </c>
      <c r="I2" s="9" t="s">
        <v>5</v>
      </c>
      <c r="J2" s="9" t="s">
        <v>0</v>
      </c>
      <c r="K2" s="9" t="s">
        <v>7</v>
      </c>
      <c r="L2" s="27" t="s">
        <v>12</v>
      </c>
      <c r="M2" s="15" t="s">
        <v>37</v>
      </c>
      <c r="N2" s="9" t="s">
        <v>1</v>
      </c>
      <c r="O2" s="9" t="s">
        <v>3</v>
      </c>
      <c r="P2" s="9" t="s">
        <v>40</v>
      </c>
      <c r="Q2" s="9" t="s">
        <v>13</v>
      </c>
      <c r="R2" s="9" t="s">
        <v>11</v>
      </c>
      <c r="S2" s="9" t="s">
        <v>15</v>
      </c>
      <c r="T2" s="9" t="s">
        <v>10</v>
      </c>
      <c r="U2" s="9" t="s">
        <v>2</v>
      </c>
      <c r="V2" s="9" t="s">
        <v>9</v>
      </c>
      <c r="W2" s="9" t="s">
        <v>16</v>
      </c>
    </row>
    <row r="3" spans="1:23">
      <c r="A3" s="19" t="s">
        <v>41</v>
      </c>
      <c r="B3" s="10" t="s">
        <v>42</v>
      </c>
      <c r="C3" s="9" t="s">
        <v>50</v>
      </c>
      <c r="D3" s="9" t="s">
        <v>51</v>
      </c>
      <c r="E3" s="9" t="s">
        <v>46</v>
      </c>
      <c r="F3" s="27" t="s">
        <v>45</v>
      </c>
      <c r="G3" s="19" t="s">
        <v>41</v>
      </c>
      <c r="H3" s="10" t="s">
        <v>47</v>
      </c>
      <c r="I3" s="9" t="s">
        <v>52</v>
      </c>
      <c r="J3" s="9" t="s">
        <v>53</v>
      </c>
      <c r="K3" s="9" t="s">
        <v>46</v>
      </c>
      <c r="L3" s="27" t="s">
        <v>45</v>
      </c>
      <c r="M3" s="15" t="s">
        <v>48</v>
      </c>
      <c r="N3" s="9" t="s">
        <v>49</v>
      </c>
      <c r="O3" s="9" t="s">
        <v>4</v>
      </c>
      <c r="P3" s="9" t="s">
        <v>44</v>
      </c>
      <c r="Q3" s="9" t="s">
        <v>41</v>
      </c>
      <c r="R3" s="9" t="s">
        <v>41</v>
      </c>
      <c r="S3" s="9" t="s">
        <v>54</v>
      </c>
      <c r="T3" s="28" t="s">
        <v>55</v>
      </c>
      <c r="U3" s="9" t="s">
        <v>56</v>
      </c>
      <c r="V3" s="9" t="s">
        <v>57</v>
      </c>
      <c r="W3" s="9"/>
    </row>
    <row r="4" spans="1:23">
      <c r="A4" s="20">
        <v>44.988</v>
      </c>
      <c r="B4" s="12">
        <v>59.45</v>
      </c>
      <c r="C4" s="1">
        <v>208000</v>
      </c>
      <c r="D4" s="6">
        <v>0.3</v>
      </c>
      <c r="E4" s="1">
        <v>12.5</v>
      </c>
      <c r="F4" s="26">
        <v>20</v>
      </c>
      <c r="G4" s="25">
        <v>45.064</v>
      </c>
      <c r="H4" s="11">
        <v>31</v>
      </c>
      <c r="I4" s="1">
        <v>208000</v>
      </c>
      <c r="J4" s="6">
        <v>0.3</v>
      </c>
      <c r="K4" s="1">
        <v>12.8</v>
      </c>
      <c r="L4" s="21">
        <v>20</v>
      </c>
      <c r="M4" s="29">
        <v>45</v>
      </c>
      <c r="N4" s="6">
        <v>16.899999999999999</v>
      </c>
      <c r="O4" s="6">
        <v>0.12</v>
      </c>
      <c r="P4" s="6" t="s">
        <v>43</v>
      </c>
      <c r="Q4" s="4">
        <f>G4-A4</f>
        <v>7.6000000000000512E-2</v>
      </c>
      <c r="R4" s="7">
        <f>MAX(0,IF(P4="s",3/(M4+3)*Q4,IF(P4="k",2/(M4+2)*Q4,0)))</f>
        <v>0</v>
      </c>
      <c r="S4" s="4">
        <f>Q4-R4</f>
        <v>7.6000000000000512E-2</v>
      </c>
      <c r="T4" s="5">
        <f>N4*2*PI()*M4/2</f>
        <v>2389.1812130550375</v>
      </c>
      <c r="U4" s="2">
        <f>(S4/M4)*
(1/((M4^2+H4^2)/(M4^2-H4^2)*(1/C4)
+(B4^2+M4^2)/(B4^2-M4^2)*(1/I4)
-(D4/C4)+(J4/I4)))</f>
        <v>54.12980563883395</v>
      </c>
      <c r="V4" s="5">
        <f>U4*T4*O4</f>
        <v>15519.109763834724</v>
      </c>
      <c r="W4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X37"/>
  <sheetViews>
    <sheetView zoomScaleNormal="100" workbookViewId="0">
      <selection activeCell="E9" sqref="E9"/>
    </sheetView>
  </sheetViews>
  <sheetFormatPr defaultColWidth="8.75" defaultRowHeight="17.649999999999999"/>
  <cols>
    <col min="1" max="1" width="19.875" bestFit="1" customWidth="1"/>
    <col min="2" max="3" width="17.25" bestFit="1" customWidth="1"/>
    <col min="4" max="4" width="13" bestFit="1" customWidth="1"/>
    <col min="5" max="6" width="15.125" bestFit="1" customWidth="1"/>
    <col min="7" max="7" width="13" bestFit="1" customWidth="1"/>
    <col min="8" max="9" width="17.25" bestFit="1" customWidth="1"/>
    <col min="10" max="10" width="13" bestFit="1" customWidth="1"/>
    <col min="11" max="12" width="15.125" bestFit="1" customWidth="1"/>
    <col min="13" max="13" width="13" bestFit="1" customWidth="1"/>
    <col min="14" max="14" width="11.375" bestFit="1" customWidth="1"/>
    <col min="15" max="15" width="13.5" bestFit="1" customWidth="1"/>
    <col min="16" max="16" width="19.875" bestFit="1" customWidth="1"/>
    <col min="17" max="17" width="15.5" bestFit="1" customWidth="1"/>
    <col min="18" max="18" width="20.5" bestFit="1" customWidth="1"/>
    <col min="19" max="21" width="17.625" bestFit="1" customWidth="1"/>
    <col min="22" max="22" width="12.75" bestFit="1" customWidth="1"/>
    <col min="23" max="23" width="11.625" bestFit="1" customWidth="1"/>
  </cols>
  <sheetData>
    <row r="1" spans="1:24" s="3" customFormat="1">
      <c r="A1" s="40"/>
      <c r="B1" s="16" t="s">
        <v>36</v>
      </c>
      <c r="C1" s="17" t="s">
        <v>36</v>
      </c>
      <c r="D1" s="17" t="s">
        <v>36</v>
      </c>
      <c r="E1" s="17" t="s">
        <v>36</v>
      </c>
      <c r="F1" s="17" t="s">
        <v>36</v>
      </c>
      <c r="G1" s="18" t="s">
        <v>36</v>
      </c>
      <c r="H1" s="22" t="s">
        <v>38</v>
      </c>
      <c r="I1" s="23" t="s">
        <v>38</v>
      </c>
      <c r="J1" s="23" t="s">
        <v>38</v>
      </c>
      <c r="K1" s="23" t="s">
        <v>38</v>
      </c>
      <c r="L1" s="23" t="s">
        <v>38</v>
      </c>
      <c r="M1" s="24" t="s">
        <v>38</v>
      </c>
      <c r="N1" s="36" t="s">
        <v>39</v>
      </c>
      <c r="O1" s="17" t="s">
        <v>39</v>
      </c>
      <c r="P1" s="17" t="s">
        <v>39</v>
      </c>
      <c r="Q1" s="36" t="s">
        <v>39</v>
      </c>
      <c r="R1" s="17" t="s">
        <v>39</v>
      </c>
      <c r="S1" s="17" t="s">
        <v>39</v>
      </c>
      <c r="T1" s="17" t="s">
        <v>39</v>
      </c>
      <c r="U1" s="17" t="s">
        <v>39</v>
      </c>
      <c r="V1" s="17" t="s">
        <v>39</v>
      </c>
      <c r="W1" s="18" t="s">
        <v>39</v>
      </c>
    </row>
    <row r="2" spans="1:24" s="3" customFormat="1">
      <c r="A2" s="30"/>
      <c r="B2" s="19" t="s">
        <v>6</v>
      </c>
      <c r="C2" s="10" t="s">
        <v>8</v>
      </c>
      <c r="D2" s="9" t="s">
        <v>5</v>
      </c>
      <c r="E2" s="9" t="s">
        <v>0</v>
      </c>
      <c r="F2" s="9" t="s">
        <v>7</v>
      </c>
      <c r="G2" s="27" t="s">
        <v>12</v>
      </c>
      <c r="H2" s="19" t="s">
        <v>6</v>
      </c>
      <c r="I2" s="10" t="s">
        <v>8</v>
      </c>
      <c r="J2" s="9" t="s">
        <v>5</v>
      </c>
      <c r="K2" s="9" t="s">
        <v>0</v>
      </c>
      <c r="L2" s="9" t="s">
        <v>7</v>
      </c>
      <c r="M2" s="27" t="s">
        <v>12</v>
      </c>
      <c r="N2" s="15" t="s">
        <v>1</v>
      </c>
      <c r="O2" s="9" t="s">
        <v>3</v>
      </c>
      <c r="P2" s="9" t="s">
        <v>40</v>
      </c>
      <c r="Q2" s="15" t="s">
        <v>37</v>
      </c>
      <c r="R2" s="9" t="s">
        <v>13</v>
      </c>
      <c r="S2" s="9" t="s">
        <v>11</v>
      </c>
      <c r="T2" s="9" t="s">
        <v>15</v>
      </c>
      <c r="U2" s="9" t="s">
        <v>10</v>
      </c>
      <c r="V2" s="9" t="s">
        <v>2</v>
      </c>
      <c r="W2" s="27" t="s">
        <v>9</v>
      </c>
    </row>
    <row r="3" spans="1:24" s="3" customFormat="1">
      <c r="A3" s="30"/>
      <c r="B3" s="19" t="s">
        <v>41</v>
      </c>
      <c r="C3" s="10" t="s">
        <v>47</v>
      </c>
      <c r="D3" s="9" t="s">
        <v>52</v>
      </c>
      <c r="E3" s="9" t="s">
        <v>53</v>
      </c>
      <c r="F3" s="9" t="s">
        <v>46</v>
      </c>
      <c r="G3" s="27" t="s">
        <v>45</v>
      </c>
      <c r="H3" s="19" t="s">
        <v>41</v>
      </c>
      <c r="I3" s="10" t="s">
        <v>42</v>
      </c>
      <c r="J3" s="9" t="s">
        <v>50</v>
      </c>
      <c r="K3" s="9" t="s">
        <v>51</v>
      </c>
      <c r="L3" s="9" t="s">
        <v>46</v>
      </c>
      <c r="M3" s="27" t="s">
        <v>45</v>
      </c>
      <c r="N3" s="15" t="s">
        <v>49</v>
      </c>
      <c r="O3" s="9" t="s">
        <v>4</v>
      </c>
      <c r="P3" s="9" t="s">
        <v>44</v>
      </c>
      <c r="Q3" s="15" t="s">
        <v>48</v>
      </c>
      <c r="R3" s="9" t="s">
        <v>41</v>
      </c>
      <c r="S3" s="9" t="s">
        <v>41</v>
      </c>
      <c r="T3" s="9" t="s">
        <v>54</v>
      </c>
      <c r="U3" s="28" t="s">
        <v>55</v>
      </c>
      <c r="V3" s="9" t="s">
        <v>56</v>
      </c>
      <c r="W3" s="27" t="s">
        <v>57</v>
      </c>
    </row>
    <row r="4" spans="1:24" s="3" customFormat="1">
      <c r="A4" s="47" t="s">
        <v>59</v>
      </c>
      <c r="B4" s="35">
        <v>45.063000000000002</v>
      </c>
      <c r="C4" s="6">
        <v>0</v>
      </c>
      <c r="D4" s="6">
        <v>208000</v>
      </c>
      <c r="E4" s="6">
        <v>0.3</v>
      </c>
      <c r="F4" s="6">
        <v>12.5</v>
      </c>
      <c r="G4" s="21">
        <v>20</v>
      </c>
      <c r="H4" s="35">
        <v>44.988999999999997</v>
      </c>
      <c r="I4" s="6">
        <v>59</v>
      </c>
      <c r="J4" s="6">
        <v>208000</v>
      </c>
      <c r="K4" s="6">
        <v>0.3</v>
      </c>
      <c r="L4" s="6">
        <v>12.5</v>
      </c>
      <c r="M4" s="21">
        <v>20</v>
      </c>
      <c r="N4" s="29">
        <v>16</v>
      </c>
      <c r="O4" s="6">
        <v>0.08</v>
      </c>
      <c r="P4" s="6" t="s">
        <v>61</v>
      </c>
      <c r="Q4" s="37">
        <f>Q12</f>
        <v>45.027500000000003</v>
      </c>
      <c r="R4" s="37">
        <f t="shared" ref="R4:W4" si="0">R12</f>
        <v>7.4999999999995737E-2</v>
      </c>
      <c r="S4" s="37">
        <f t="shared" si="0"/>
        <v>0</v>
      </c>
      <c r="T4" s="37">
        <f t="shared" si="0"/>
        <v>7.4999999999995737E-2</v>
      </c>
      <c r="U4" s="39">
        <f t="shared" si="0"/>
        <v>2390.6412682407936</v>
      </c>
      <c r="V4" s="38">
        <f t="shared" si="0"/>
        <v>28.717057737770208</v>
      </c>
      <c r="W4" s="46">
        <f t="shared" si="0"/>
        <v>8238.261999644048</v>
      </c>
    </row>
    <row r="5" spans="1:24" s="3" customFormat="1">
      <c r="A5" s="47" t="s">
        <v>58</v>
      </c>
      <c r="B5" s="25">
        <v>45.064</v>
      </c>
      <c r="C5" s="11">
        <v>30</v>
      </c>
      <c r="D5" s="1">
        <v>208000</v>
      </c>
      <c r="E5" s="6">
        <v>0.3</v>
      </c>
      <c r="F5" s="1">
        <v>12.5</v>
      </c>
      <c r="G5" s="21">
        <v>20</v>
      </c>
      <c r="H5" s="20">
        <v>44.99</v>
      </c>
      <c r="I5" s="12">
        <v>60</v>
      </c>
      <c r="J5" s="1">
        <v>208000</v>
      </c>
      <c r="K5" s="6">
        <v>0.3</v>
      </c>
      <c r="L5" s="1">
        <v>12.5</v>
      </c>
      <c r="M5" s="21">
        <v>20</v>
      </c>
      <c r="N5" s="29">
        <v>16.899999999999999</v>
      </c>
      <c r="O5" s="6">
        <v>0.12</v>
      </c>
      <c r="P5" s="6" t="s">
        <v>43</v>
      </c>
      <c r="Q5" s="37">
        <f t="shared" ref="Q5:W6" si="1">Q13</f>
        <v>45.027500000000003</v>
      </c>
      <c r="R5" s="37">
        <f t="shared" si="1"/>
        <v>7.4999999999995737E-2</v>
      </c>
      <c r="S5" s="37">
        <f t="shared" si="1"/>
        <v>0</v>
      </c>
      <c r="T5" s="37">
        <f t="shared" si="1"/>
        <v>7.4999999999995737E-2</v>
      </c>
      <c r="U5" s="39">
        <f t="shared" si="1"/>
        <v>2390.6412682407936</v>
      </c>
      <c r="V5" s="38">
        <f t="shared" si="1"/>
        <v>56.105042504847432</v>
      </c>
      <c r="W5" s="46">
        <f t="shared" si="1"/>
        <v>16095.243596219052</v>
      </c>
    </row>
    <row r="6" spans="1:24" s="3" customFormat="1" ht="18" thickBot="1">
      <c r="A6" s="60" t="s">
        <v>60</v>
      </c>
      <c r="B6" s="61">
        <v>45.064999999999998</v>
      </c>
      <c r="C6" s="62">
        <v>40</v>
      </c>
      <c r="D6" s="62">
        <v>208000</v>
      </c>
      <c r="E6" s="62">
        <v>0.3</v>
      </c>
      <c r="F6" s="62">
        <v>12.5</v>
      </c>
      <c r="G6" s="63">
        <v>20</v>
      </c>
      <c r="H6" s="61">
        <v>44.991</v>
      </c>
      <c r="I6" s="62">
        <v>61</v>
      </c>
      <c r="J6" s="62">
        <v>208000</v>
      </c>
      <c r="K6" s="62">
        <v>0.3</v>
      </c>
      <c r="L6" s="62">
        <v>12.5</v>
      </c>
      <c r="M6" s="63">
        <v>20</v>
      </c>
      <c r="N6" s="64">
        <v>17</v>
      </c>
      <c r="O6" s="62">
        <v>0.12</v>
      </c>
      <c r="P6" s="62" t="s">
        <v>62</v>
      </c>
      <c r="Q6" s="65">
        <f t="shared" si="1"/>
        <v>45.027500000000003</v>
      </c>
      <c r="R6" s="65">
        <f t="shared" si="1"/>
        <v>7.4999999999995737E-2</v>
      </c>
      <c r="S6" s="65">
        <f t="shared" si="1"/>
        <v>0</v>
      </c>
      <c r="T6" s="65">
        <f t="shared" si="1"/>
        <v>7.4999999999995737E-2</v>
      </c>
      <c r="U6" s="66">
        <f t="shared" si="1"/>
        <v>2390.6412682407936</v>
      </c>
      <c r="V6" s="67">
        <f t="shared" si="1"/>
        <v>75.66788876704544</v>
      </c>
      <c r="W6" s="68">
        <f t="shared" si="1"/>
        <v>21707.373308058337</v>
      </c>
    </row>
    <row r="7" spans="1:24" s="3" customFormat="1" ht="18" thickTop="1">
      <c r="A7" s="55" t="s">
        <v>66</v>
      </c>
      <c r="B7" s="56">
        <v>0</v>
      </c>
      <c r="C7" s="57">
        <v>1</v>
      </c>
      <c r="D7" s="57">
        <v>0</v>
      </c>
      <c r="E7" s="57">
        <v>0</v>
      </c>
      <c r="F7" s="57">
        <v>0</v>
      </c>
      <c r="G7" s="58">
        <v>0</v>
      </c>
      <c r="H7" s="56">
        <v>0</v>
      </c>
      <c r="I7" s="57">
        <v>0</v>
      </c>
      <c r="J7" s="57">
        <v>0</v>
      </c>
      <c r="K7" s="57">
        <v>0</v>
      </c>
      <c r="L7" s="57">
        <v>0</v>
      </c>
      <c r="M7" s="58">
        <v>0</v>
      </c>
      <c r="N7" s="59">
        <v>0</v>
      </c>
      <c r="O7" s="57">
        <v>0</v>
      </c>
      <c r="P7" s="57">
        <v>0</v>
      </c>
      <c r="Q7"/>
      <c r="R7"/>
      <c r="S7"/>
      <c r="T7"/>
      <c r="U7"/>
      <c r="V7"/>
      <c r="W7"/>
    </row>
    <row r="8" spans="1:24" s="3" customFormat="1" ht="35.65" thickBot="1">
      <c r="A8" s="75" t="s">
        <v>68</v>
      </c>
      <c r="B8" s="76">
        <v>1</v>
      </c>
      <c r="C8" s="77">
        <v>0</v>
      </c>
      <c r="D8" s="77">
        <v>0</v>
      </c>
      <c r="E8" s="77">
        <v>0</v>
      </c>
      <c r="F8" s="77">
        <v>0</v>
      </c>
      <c r="G8" s="78">
        <v>0</v>
      </c>
      <c r="H8" s="76">
        <v>0</v>
      </c>
      <c r="I8" s="77">
        <v>0</v>
      </c>
      <c r="J8" s="77">
        <v>0</v>
      </c>
      <c r="K8" s="77">
        <v>0</v>
      </c>
      <c r="L8" s="77">
        <v>0</v>
      </c>
      <c r="M8" s="78">
        <v>0</v>
      </c>
      <c r="N8" s="29">
        <v>0</v>
      </c>
      <c r="O8" s="6">
        <v>0</v>
      </c>
      <c r="P8" s="31"/>
      <c r="Q8" s="31"/>
      <c r="R8" s="31"/>
      <c r="S8" s="31"/>
      <c r="T8" s="31"/>
      <c r="U8" s="31"/>
      <c r="V8" s="31"/>
      <c r="W8"/>
      <c r="X8"/>
    </row>
    <row r="11" spans="1:24" s="3" customFormat="1">
      <c r="A11" s="41" t="s">
        <v>14</v>
      </c>
      <c r="B11" s="43" t="s">
        <v>14</v>
      </c>
      <c r="C11" s="7" t="s">
        <v>14</v>
      </c>
      <c r="D11" s="7" t="s">
        <v>14</v>
      </c>
      <c r="E11" s="7" t="s">
        <v>14</v>
      </c>
      <c r="F11" s="7" t="s">
        <v>14</v>
      </c>
      <c r="G11" s="44" t="s">
        <v>14</v>
      </c>
      <c r="H11" s="42" t="s">
        <v>14</v>
      </c>
      <c r="I11" s="7" t="s">
        <v>14</v>
      </c>
      <c r="J11" s="7" t="s">
        <v>14</v>
      </c>
      <c r="K11" s="7" t="s">
        <v>14</v>
      </c>
      <c r="L11" s="7" t="s">
        <v>14</v>
      </c>
      <c r="M11" s="41" t="s">
        <v>14</v>
      </c>
      <c r="N11" s="43" t="s">
        <v>14</v>
      </c>
      <c r="O11" s="7" t="s">
        <v>14</v>
      </c>
      <c r="P11" s="7" t="s">
        <v>14</v>
      </c>
      <c r="Q11" s="7" t="s">
        <v>14</v>
      </c>
      <c r="R11" s="7" t="s">
        <v>14</v>
      </c>
      <c r="S11" s="7" t="s">
        <v>14</v>
      </c>
      <c r="T11" s="7" t="s">
        <v>14</v>
      </c>
      <c r="U11" s="7" t="s">
        <v>14</v>
      </c>
      <c r="V11" s="7" t="s">
        <v>14</v>
      </c>
      <c r="W11" s="44" t="s">
        <v>14</v>
      </c>
    </row>
    <row r="12" spans="1:24" s="3" customFormat="1">
      <c r="A12" s="41" t="s">
        <v>63</v>
      </c>
      <c r="B12" s="43">
        <f t="shared" ref="B12:O12" si="2">IF(B$7,B4,_xlfn.SWITCH(B$8,-1,B$4,0,B$5,1,B$6))</f>
        <v>45.064999999999998</v>
      </c>
      <c r="C12" s="43">
        <f t="shared" si="2"/>
        <v>0</v>
      </c>
      <c r="D12" s="43">
        <f t="shared" si="2"/>
        <v>208000</v>
      </c>
      <c r="E12" s="43">
        <f t="shared" si="2"/>
        <v>0.3</v>
      </c>
      <c r="F12" s="43">
        <f t="shared" si="2"/>
        <v>12.5</v>
      </c>
      <c r="G12" s="43">
        <f t="shared" si="2"/>
        <v>20</v>
      </c>
      <c r="H12" s="43">
        <f t="shared" si="2"/>
        <v>44.99</v>
      </c>
      <c r="I12" s="43">
        <f t="shared" si="2"/>
        <v>60</v>
      </c>
      <c r="J12" s="43">
        <f t="shared" si="2"/>
        <v>208000</v>
      </c>
      <c r="K12" s="43">
        <f t="shared" si="2"/>
        <v>0.3</v>
      </c>
      <c r="L12" s="43">
        <f t="shared" si="2"/>
        <v>12.5</v>
      </c>
      <c r="M12" s="43">
        <f t="shared" si="2"/>
        <v>20</v>
      </c>
      <c r="N12" s="43">
        <f t="shared" si="2"/>
        <v>16.899999999999999</v>
      </c>
      <c r="O12" s="43">
        <f t="shared" si="2"/>
        <v>0.12</v>
      </c>
      <c r="P12" s="7" t="str">
        <f>IF(P$7,P4,P5)</f>
        <v>m</v>
      </c>
      <c r="Q12" s="8">
        <f>AVERAGE(H14,B12)</f>
        <v>45.027500000000003</v>
      </c>
      <c r="R12" s="4">
        <f>B12-H14</f>
        <v>7.4999999999995737E-2</v>
      </c>
      <c r="S12" s="7">
        <f>MAX(0,IF(P12="s",3/(Q12+3)*R12,IF(P12="k",2/(Q12+2)*R12,0)))</f>
        <v>0</v>
      </c>
      <c r="T12" s="4">
        <f>R12-S12</f>
        <v>7.4999999999995737E-2</v>
      </c>
      <c r="U12" s="5">
        <f>N12*2*PI()*Q12/2</f>
        <v>2390.6412682407936</v>
      </c>
      <c r="V12" s="2">
        <f>(T12/Q12)*(1/((Q12^2+C14^2)/(Q12^2-C14^2)*(1/J12)+(I12^2+Q12^2)/(I12^2-Q12^2)*(1/D12)-(K12/J12)+(E12/D12)))</f>
        <v>28.717057737770208</v>
      </c>
      <c r="W12" s="45">
        <f>V12*U12*O12</f>
        <v>8238.261999644048</v>
      </c>
    </row>
    <row r="13" spans="1:24" s="3" customFormat="1">
      <c r="A13" s="41" t="s">
        <v>64</v>
      </c>
      <c r="B13" s="43">
        <f t="shared" ref="B13:O13" si="3">IF(B$7,B5,_xlfn.SWITCH(B$8,-1,B$4,0,B$5,1,B$6))</f>
        <v>45.064999999999998</v>
      </c>
      <c r="C13" s="43">
        <f t="shared" si="3"/>
        <v>30</v>
      </c>
      <c r="D13" s="43">
        <f t="shared" si="3"/>
        <v>208000</v>
      </c>
      <c r="E13" s="43">
        <f t="shared" si="3"/>
        <v>0.3</v>
      </c>
      <c r="F13" s="43">
        <f t="shared" si="3"/>
        <v>12.5</v>
      </c>
      <c r="G13" s="43">
        <f t="shared" si="3"/>
        <v>20</v>
      </c>
      <c r="H13" s="43">
        <f t="shared" si="3"/>
        <v>44.99</v>
      </c>
      <c r="I13" s="43">
        <f t="shared" si="3"/>
        <v>60</v>
      </c>
      <c r="J13" s="43">
        <f t="shared" si="3"/>
        <v>208000</v>
      </c>
      <c r="K13" s="43">
        <f t="shared" si="3"/>
        <v>0.3</v>
      </c>
      <c r="L13" s="43">
        <f t="shared" si="3"/>
        <v>12.5</v>
      </c>
      <c r="M13" s="43">
        <f t="shared" si="3"/>
        <v>20</v>
      </c>
      <c r="N13" s="43">
        <f t="shared" si="3"/>
        <v>16.899999999999999</v>
      </c>
      <c r="O13" s="43">
        <f t="shared" si="3"/>
        <v>0.12</v>
      </c>
      <c r="P13" s="8" t="str">
        <f>P5</f>
        <v>m</v>
      </c>
      <c r="Q13" s="8">
        <f>AVERAGE(H13,B13)</f>
        <v>45.027500000000003</v>
      </c>
      <c r="R13" s="4">
        <f>B13-H13</f>
        <v>7.4999999999995737E-2</v>
      </c>
      <c r="S13" s="7">
        <f>MAX(0,IF(P13="s",3/(Q13+3)*R13,IF(P13="k",2/(Q13+2)*R13,0)))</f>
        <v>0</v>
      </c>
      <c r="T13" s="4">
        <f>R13-S13</f>
        <v>7.4999999999995737E-2</v>
      </c>
      <c r="U13" s="5">
        <f>N13*2*PI()*Q13/2</f>
        <v>2390.6412682407936</v>
      </c>
      <c r="V13" s="2">
        <f>(T13/Q13)*(1/((Q13^2+C13^2)/(Q13^2-C13^2)*(1/J13)+(I13^2+Q13^2)/(I13^2-Q13^2)*(1/D13)-(K13/J13)+(E13/D13)))</f>
        <v>56.105042504847432</v>
      </c>
      <c r="W13" s="45">
        <f>V13*U13*O13</f>
        <v>16095.243596219052</v>
      </c>
    </row>
    <row r="14" spans="1:24" s="3" customFormat="1">
      <c r="A14" s="41" t="s">
        <v>65</v>
      </c>
      <c r="B14" s="43">
        <f t="shared" ref="B14:O14" si="4">IF(B$7,B6,_xlfn.SWITCH(B$8,-1,B$4,0,B$5,1,B$6))</f>
        <v>45.064999999999998</v>
      </c>
      <c r="C14" s="43">
        <f t="shared" si="4"/>
        <v>40</v>
      </c>
      <c r="D14" s="43">
        <f t="shared" si="4"/>
        <v>208000</v>
      </c>
      <c r="E14" s="43">
        <f t="shared" si="4"/>
        <v>0.3</v>
      </c>
      <c r="F14" s="43">
        <f t="shared" si="4"/>
        <v>12.5</v>
      </c>
      <c r="G14" s="43">
        <f t="shared" si="4"/>
        <v>20</v>
      </c>
      <c r="H14" s="43">
        <f t="shared" si="4"/>
        <v>44.99</v>
      </c>
      <c r="I14" s="43">
        <f t="shared" si="4"/>
        <v>60</v>
      </c>
      <c r="J14" s="43">
        <f t="shared" si="4"/>
        <v>208000</v>
      </c>
      <c r="K14" s="43">
        <f t="shared" si="4"/>
        <v>0.3</v>
      </c>
      <c r="L14" s="43">
        <f t="shared" si="4"/>
        <v>12.5</v>
      </c>
      <c r="M14" s="43">
        <f t="shared" si="4"/>
        <v>20</v>
      </c>
      <c r="N14" s="43">
        <f t="shared" si="4"/>
        <v>16.899999999999999</v>
      </c>
      <c r="O14" s="43">
        <f t="shared" si="4"/>
        <v>0.12</v>
      </c>
      <c r="P14" s="7" t="str">
        <f>IF(P$7,P6,P5)</f>
        <v>m</v>
      </c>
      <c r="Q14" s="8">
        <f>AVERAGE(H12,B14)</f>
        <v>45.027500000000003</v>
      </c>
      <c r="R14" s="4">
        <f>B14-H12</f>
        <v>7.4999999999995737E-2</v>
      </c>
      <c r="S14" s="7">
        <f>MAX(0,IF(P14="s",3/(Q14+3)*R14,IF(P14="k",2/(Q14+2)*R14,0)))</f>
        <v>0</v>
      </c>
      <c r="T14" s="4">
        <f>R14-S14</f>
        <v>7.4999999999995737E-2</v>
      </c>
      <c r="U14" s="5">
        <f>N14*2*PI()*Q14/2</f>
        <v>2390.6412682407936</v>
      </c>
      <c r="V14" s="2">
        <f>(T14/Q14)*(1/((Q14^2+C12^2)/(Q14^2-C12^2)*(1/J14)+(I14^2+Q14^2)/(I14^2-Q14^2)*(1/D14)-(K14/J14)+(E14/D14)))</f>
        <v>75.66788876704544</v>
      </c>
      <c r="W14" s="45">
        <f>V14*U14*O14</f>
        <v>21707.373308058337</v>
      </c>
    </row>
    <row r="15" spans="1:24" s="3" customFormat="1" ht="18" thickBo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</row>
    <row r="16" spans="1:24" s="3" customFormat="1">
      <c r="A16" s="48" t="s">
        <v>67</v>
      </c>
      <c r="B16" s="49" t="str">
        <f>B1&amp;B2</f>
        <v>内筒はめあい面径</v>
      </c>
      <c r="C16" s="49" t="str">
        <f t="shared" ref="C16:O16" si="5">C1&amp;C2</f>
        <v>内筒非はめあい径</v>
      </c>
      <c r="D16" s="49" t="str">
        <f t="shared" si="5"/>
        <v>内筒弾性係数</v>
      </c>
      <c r="E16" s="49" t="str">
        <f t="shared" si="5"/>
        <v>内筒ポアソン比</v>
      </c>
      <c r="F16" s="49" t="str">
        <f t="shared" si="5"/>
        <v>内筒線膨張係数</v>
      </c>
      <c r="G16" s="49" t="str">
        <f t="shared" si="5"/>
        <v>内筒圧入温度</v>
      </c>
      <c r="H16" s="49" t="str">
        <f t="shared" si="5"/>
        <v>外筒はめあい面径</v>
      </c>
      <c r="I16" s="49" t="str">
        <f t="shared" si="5"/>
        <v>外筒非はめあい径</v>
      </c>
      <c r="J16" s="49" t="str">
        <f t="shared" si="5"/>
        <v>外筒弾性係数</v>
      </c>
      <c r="K16" s="49" t="str">
        <f t="shared" si="5"/>
        <v>外筒ポアソン比</v>
      </c>
      <c r="L16" s="49" t="str">
        <f t="shared" si="5"/>
        <v>外筒線膨張係数</v>
      </c>
      <c r="M16" s="49" t="str">
        <f t="shared" si="5"/>
        <v>外筒圧入温度</v>
      </c>
      <c r="N16" s="49" t="str">
        <f t="shared" si="5"/>
        <v>Assy接触長</v>
      </c>
      <c r="O16" s="49" t="str">
        <f t="shared" si="5"/>
        <v>Assy摩擦係数</v>
      </c>
      <c r="P16" s="49"/>
      <c r="Q16" s="49" t="str">
        <f t="shared" ref="Q16:W16" si="6">Q1&amp;Q2</f>
        <v>Assyはめあい径</v>
      </c>
      <c r="R16" s="49" t="str">
        <f t="shared" si="6"/>
        <v>Assyしめしろ(両側）</v>
      </c>
      <c r="S16" s="49" t="str">
        <f t="shared" si="6"/>
        <v>Assy減少しめしろ</v>
      </c>
      <c r="T16" s="49" t="str">
        <f t="shared" si="6"/>
        <v>Assy有効しめしろ</v>
      </c>
      <c r="U16" s="49" t="str">
        <f t="shared" si="6"/>
        <v>Assyはめあい面積</v>
      </c>
      <c r="V16" s="49" t="str">
        <f t="shared" si="6"/>
        <v>Assy面圧</v>
      </c>
      <c r="W16" s="50" t="str">
        <f t="shared" si="6"/>
        <v>Assy圧入力</v>
      </c>
    </row>
    <row r="17" spans="1:23" s="3" customFormat="1">
      <c r="A17" s="51">
        <v>0</v>
      </c>
      <c r="B17" s="52">
        <f t="shared" ref="B17:O26" si="7">(B$14-B$12)*($A17/20)+B$12</f>
        <v>45.064999999999998</v>
      </c>
      <c r="C17" s="52">
        <f>(C$14-C$12)*((20-$A17)/20)+C$12</f>
        <v>40</v>
      </c>
      <c r="D17" s="52">
        <f t="shared" si="7"/>
        <v>208000</v>
      </c>
      <c r="E17" s="52">
        <f t="shared" si="7"/>
        <v>0.3</v>
      </c>
      <c r="F17" s="52">
        <f t="shared" si="7"/>
        <v>12.5</v>
      </c>
      <c r="G17" s="52">
        <f t="shared" si="7"/>
        <v>20</v>
      </c>
      <c r="H17" s="52">
        <f t="shared" si="7"/>
        <v>44.99</v>
      </c>
      <c r="I17" s="52">
        <f t="shared" si="7"/>
        <v>60</v>
      </c>
      <c r="J17" s="52">
        <f t="shared" si="7"/>
        <v>208000</v>
      </c>
      <c r="K17" s="52">
        <f t="shared" si="7"/>
        <v>0.3</v>
      </c>
      <c r="L17" s="52">
        <f t="shared" si="7"/>
        <v>12.5</v>
      </c>
      <c r="M17" s="52">
        <f t="shared" si="7"/>
        <v>20</v>
      </c>
      <c r="N17" s="52">
        <f t="shared" si="7"/>
        <v>16.899999999999999</v>
      </c>
      <c r="O17" s="52">
        <f t="shared" si="7"/>
        <v>0.12</v>
      </c>
      <c r="P17" s="52"/>
      <c r="Q17" s="52">
        <f t="shared" ref="Q17:W26" si="8">(Q$14-Q$12)*($A17/20)+Q$12</f>
        <v>45.027500000000003</v>
      </c>
      <c r="R17" s="52">
        <f t="shared" si="8"/>
        <v>7.4999999999995737E-2</v>
      </c>
      <c r="S17" s="52">
        <f t="shared" si="8"/>
        <v>0</v>
      </c>
      <c r="T17" s="52">
        <f t="shared" si="8"/>
        <v>7.4999999999995737E-2</v>
      </c>
      <c r="U17" s="70">
        <f t="shared" si="8"/>
        <v>2390.6412682407936</v>
      </c>
      <c r="V17" s="69">
        <f t="shared" si="8"/>
        <v>28.717057737770208</v>
      </c>
      <c r="W17" s="71">
        <f t="shared" si="8"/>
        <v>8238.261999644048</v>
      </c>
    </row>
    <row r="18" spans="1:23" s="3" customFormat="1">
      <c r="A18" s="51">
        <v>1</v>
      </c>
      <c r="B18" s="52">
        <f t="shared" si="7"/>
        <v>45.064999999999998</v>
      </c>
      <c r="C18" s="52">
        <f t="shared" ref="C18:C37" si="9">(C$14-C$12)*((20-$A18)/20)+C$12</f>
        <v>38</v>
      </c>
      <c r="D18" s="52">
        <f t="shared" si="7"/>
        <v>208000</v>
      </c>
      <c r="E18" s="52">
        <f t="shared" si="7"/>
        <v>0.3</v>
      </c>
      <c r="F18" s="52">
        <f t="shared" si="7"/>
        <v>12.5</v>
      </c>
      <c r="G18" s="52">
        <f t="shared" si="7"/>
        <v>20</v>
      </c>
      <c r="H18" s="52">
        <f t="shared" si="7"/>
        <v>44.99</v>
      </c>
      <c r="I18" s="52">
        <f t="shared" si="7"/>
        <v>60</v>
      </c>
      <c r="J18" s="52">
        <f t="shared" si="7"/>
        <v>208000</v>
      </c>
      <c r="K18" s="52">
        <f t="shared" si="7"/>
        <v>0.3</v>
      </c>
      <c r="L18" s="52">
        <f t="shared" si="7"/>
        <v>12.5</v>
      </c>
      <c r="M18" s="52">
        <f t="shared" si="7"/>
        <v>20</v>
      </c>
      <c r="N18" s="52">
        <f t="shared" si="7"/>
        <v>16.899999999999999</v>
      </c>
      <c r="O18" s="52">
        <f t="shared" si="7"/>
        <v>0.12</v>
      </c>
      <c r="P18" s="52"/>
      <c r="Q18" s="52">
        <f t="shared" si="8"/>
        <v>45.027500000000003</v>
      </c>
      <c r="R18" s="52">
        <f t="shared" si="8"/>
        <v>7.4999999999995737E-2</v>
      </c>
      <c r="S18" s="52">
        <f t="shared" si="8"/>
        <v>0</v>
      </c>
      <c r="T18" s="52">
        <f t="shared" si="8"/>
        <v>7.4999999999995737E-2</v>
      </c>
      <c r="U18" s="70">
        <f t="shared" si="8"/>
        <v>2390.6412682407936</v>
      </c>
      <c r="V18" s="69">
        <f t="shared" si="8"/>
        <v>31.064599289233971</v>
      </c>
      <c r="W18" s="71">
        <f t="shared" si="8"/>
        <v>8911.7175650647623</v>
      </c>
    </row>
    <row r="19" spans="1:23" s="3" customFormat="1">
      <c r="A19" s="51">
        <v>2</v>
      </c>
      <c r="B19" s="52">
        <f t="shared" si="7"/>
        <v>45.064999999999998</v>
      </c>
      <c r="C19" s="52">
        <f t="shared" si="9"/>
        <v>36</v>
      </c>
      <c r="D19" s="52">
        <f t="shared" si="7"/>
        <v>208000</v>
      </c>
      <c r="E19" s="52">
        <f t="shared" si="7"/>
        <v>0.3</v>
      </c>
      <c r="F19" s="52">
        <f t="shared" si="7"/>
        <v>12.5</v>
      </c>
      <c r="G19" s="52">
        <f t="shared" si="7"/>
        <v>20</v>
      </c>
      <c r="H19" s="52">
        <f t="shared" si="7"/>
        <v>44.99</v>
      </c>
      <c r="I19" s="52">
        <f t="shared" si="7"/>
        <v>60</v>
      </c>
      <c r="J19" s="52">
        <f t="shared" si="7"/>
        <v>208000</v>
      </c>
      <c r="K19" s="52">
        <f t="shared" si="7"/>
        <v>0.3</v>
      </c>
      <c r="L19" s="52">
        <f t="shared" si="7"/>
        <v>12.5</v>
      </c>
      <c r="M19" s="52">
        <f t="shared" si="7"/>
        <v>20</v>
      </c>
      <c r="N19" s="52">
        <f t="shared" si="7"/>
        <v>16.899999999999999</v>
      </c>
      <c r="O19" s="52">
        <f t="shared" si="7"/>
        <v>0.12</v>
      </c>
      <c r="P19" s="52"/>
      <c r="Q19" s="52">
        <f t="shared" si="8"/>
        <v>45.027500000000003</v>
      </c>
      <c r="R19" s="52">
        <f t="shared" si="8"/>
        <v>7.4999999999995737E-2</v>
      </c>
      <c r="S19" s="52">
        <f t="shared" si="8"/>
        <v>0</v>
      </c>
      <c r="T19" s="52">
        <f t="shared" si="8"/>
        <v>7.4999999999995737E-2</v>
      </c>
      <c r="U19" s="70">
        <f t="shared" si="8"/>
        <v>2390.6412682407936</v>
      </c>
      <c r="V19" s="69">
        <f t="shared" si="8"/>
        <v>33.412140840697731</v>
      </c>
      <c r="W19" s="71">
        <f t="shared" si="8"/>
        <v>9585.1731304854766</v>
      </c>
    </row>
    <row r="20" spans="1:23" s="3" customFormat="1">
      <c r="A20" s="51">
        <v>3</v>
      </c>
      <c r="B20" s="52">
        <f t="shared" si="7"/>
        <v>45.064999999999998</v>
      </c>
      <c r="C20" s="52">
        <f t="shared" si="9"/>
        <v>34</v>
      </c>
      <c r="D20" s="52">
        <f t="shared" si="7"/>
        <v>208000</v>
      </c>
      <c r="E20" s="52">
        <f t="shared" si="7"/>
        <v>0.3</v>
      </c>
      <c r="F20" s="52">
        <f t="shared" si="7"/>
        <v>12.5</v>
      </c>
      <c r="G20" s="52">
        <f t="shared" si="7"/>
        <v>20</v>
      </c>
      <c r="H20" s="52">
        <f t="shared" si="7"/>
        <v>44.99</v>
      </c>
      <c r="I20" s="52">
        <f t="shared" si="7"/>
        <v>60</v>
      </c>
      <c r="J20" s="52">
        <f t="shared" si="7"/>
        <v>208000</v>
      </c>
      <c r="K20" s="52">
        <f t="shared" si="7"/>
        <v>0.3</v>
      </c>
      <c r="L20" s="52">
        <f t="shared" si="7"/>
        <v>12.5</v>
      </c>
      <c r="M20" s="52">
        <f t="shared" si="7"/>
        <v>20</v>
      </c>
      <c r="N20" s="52">
        <f t="shared" si="7"/>
        <v>16.899999999999999</v>
      </c>
      <c r="O20" s="52">
        <f t="shared" si="7"/>
        <v>0.12</v>
      </c>
      <c r="P20" s="52"/>
      <c r="Q20" s="52">
        <f t="shared" si="8"/>
        <v>45.027500000000003</v>
      </c>
      <c r="R20" s="52">
        <f t="shared" si="8"/>
        <v>7.4999999999995737E-2</v>
      </c>
      <c r="S20" s="52">
        <f t="shared" si="8"/>
        <v>0</v>
      </c>
      <c r="T20" s="52">
        <f t="shared" si="8"/>
        <v>7.4999999999995737E-2</v>
      </c>
      <c r="U20" s="70">
        <f t="shared" si="8"/>
        <v>2390.6412682407936</v>
      </c>
      <c r="V20" s="69">
        <f t="shared" si="8"/>
        <v>35.759682392161494</v>
      </c>
      <c r="W20" s="71">
        <f t="shared" si="8"/>
        <v>10258.628695906191</v>
      </c>
    </row>
    <row r="21" spans="1:23" s="3" customFormat="1">
      <c r="A21" s="51">
        <v>4</v>
      </c>
      <c r="B21" s="52">
        <f t="shared" si="7"/>
        <v>45.064999999999998</v>
      </c>
      <c r="C21" s="52">
        <f t="shared" si="9"/>
        <v>32</v>
      </c>
      <c r="D21" s="52">
        <f t="shared" si="7"/>
        <v>208000</v>
      </c>
      <c r="E21" s="52">
        <f t="shared" si="7"/>
        <v>0.3</v>
      </c>
      <c r="F21" s="52">
        <f t="shared" si="7"/>
        <v>12.5</v>
      </c>
      <c r="G21" s="52">
        <f t="shared" si="7"/>
        <v>20</v>
      </c>
      <c r="H21" s="52">
        <f t="shared" si="7"/>
        <v>44.99</v>
      </c>
      <c r="I21" s="52">
        <f t="shared" si="7"/>
        <v>60</v>
      </c>
      <c r="J21" s="52">
        <f t="shared" si="7"/>
        <v>208000</v>
      </c>
      <c r="K21" s="52">
        <f t="shared" si="7"/>
        <v>0.3</v>
      </c>
      <c r="L21" s="52">
        <f t="shared" si="7"/>
        <v>12.5</v>
      </c>
      <c r="M21" s="52">
        <f t="shared" si="7"/>
        <v>20</v>
      </c>
      <c r="N21" s="52">
        <f t="shared" si="7"/>
        <v>16.899999999999999</v>
      </c>
      <c r="O21" s="52">
        <f t="shared" si="7"/>
        <v>0.12</v>
      </c>
      <c r="P21" s="52"/>
      <c r="Q21" s="52">
        <f t="shared" si="8"/>
        <v>45.027500000000003</v>
      </c>
      <c r="R21" s="52">
        <f t="shared" si="8"/>
        <v>7.4999999999995737E-2</v>
      </c>
      <c r="S21" s="52">
        <f t="shared" si="8"/>
        <v>0</v>
      </c>
      <c r="T21" s="52">
        <f t="shared" si="8"/>
        <v>7.4999999999995737E-2</v>
      </c>
      <c r="U21" s="70">
        <f t="shared" si="8"/>
        <v>2390.6412682407936</v>
      </c>
      <c r="V21" s="69">
        <f t="shared" si="8"/>
        <v>38.107223943625257</v>
      </c>
      <c r="W21" s="71">
        <f t="shared" si="8"/>
        <v>10932.084261326905</v>
      </c>
    </row>
    <row r="22" spans="1:23" s="3" customFormat="1">
      <c r="A22" s="51">
        <v>5</v>
      </c>
      <c r="B22" s="52">
        <f t="shared" si="7"/>
        <v>45.064999999999998</v>
      </c>
      <c r="C22" s="52">
        <f t="shared" si="9"/>
        <v>30</v>
      </c>
      <c r="D22" s="52">
        <f t="shared" si="7"/>
        <v>208000</v>
      </c>
      <c r="E22" s="52">
        <f t="shared" si="7"/>
        <v>0.3</v>
      </c>
      <c r="F22" s="52">
        <f t="shared" si="7"/>
        <v>12.5</v>
      </c>
      <c r="G22" s="52">
        <f t="shared" si="7"/>
        <v>20</v>
      </c>
      <c r="H22" s="52">
        <f t="shared" si="7"/>
        <v>44.99</v>
      </c>
      <c r="I22" s="52">
        <f t="shared" si="7"/>
        <v>60</v>
      </c>
      <c r="J22" s="52">
        <f t="shared" si="7"/>
        <v>208000</v>
      </c>
      <c r="K22" s="52">
        <f t="shared" si="7"/>
        <v>0.3</v>
      </c>
      <c r="L22" s="52">
        <f t="shared" si="7"/>
        <v>12.5</v>
      </c>
      <c r="M22" s="52">
        <f t="shared" si="7"/>
        <v>20</v>
      </c>
      <c r="N22" s="52">
        <f t="shared" si="7"/>
        <v>16.899999999999999</v>
      </c>
      <c r="O22" s="52">
        <f t="shared" si="7"/>
        <v>0.12</v>
      </c>
      <c r="P22" s="52"/>
      <c r="Q22" s="52">
        <f t="shared" si="8"/>
        <v>45.027500000000003</v>
      </c>
      <c r="R22" s="52">
        <f t="shared" si="8"/>
        <v>7.4999999999995737E-2</v>
      </c>
      <c r="S22" s="52">
        <f t="shared" si="8"/>
        <v>0</v>
      </c>
      <c r="T22" s="52">
        <f t="shared" si="8"/>
        <v>7.4999999999995737E-2</v>
      </c>
      <c r="U22" s="70">
        <f t="shared" si="8"/>
        <v>2390.6412682407936</v>
      </c>
      <c r="V22" s="69">
        <f t="shared" si="8"/>
        <v>40.454765495089021</v>
      </c>
      <c r="W22" s="71">
        <f t="shared" si="8"/>
        <v>11605.539826747619</v>
      </c>
    </row>
    <row r="23" spans="1:23" s="3" customFormat="1">
      <c r="A23" s="51">
        <v>6</v>
      </c>
      <c r="B23" s="52">
        <f t="shared" si="7"/>
        <v>45.064999999999998</v>
      </c>
      <c r="C23" s="52">
        <f t="shared" si="9"/>
        <v>28</v>
      </c>
      <c r="D23" s="52">
        <f t="shared" si="7"/>
        <v>208000</v>
      </c>
      <c r="E23" s="52">
        <f t="shared" si="7"/>
        <v>0.3</v>
      </c>
      <c r="F23" s="52">
        <f t="shared" si="7"/>
        <v>12.5</v>
      </c>
      <c r="G23" s="52">
        <f t="shared" si="7"/>
        <v>20</v>
      </c>
      <c r="H23" s="52">
        <f t="shared" si="7"/>
        <v>44.99</v>
      </c>
      <c r="I23" s="52">
        <f t="shared" si="7"/>
        <v>60</v>
      </c>
      <c r="J23" s="52">
        <f t="shared" si="7"/>
        <v>208000</v>
      </c>
      <c r="K23" s="52">
        <f t="shared" si="7"/>
        <v>0.3</v>
      </c>
      <c r="L23" s="52">
        <f t="shared" si="7"/>
        <v>12.5</v>
      </c>
      <c r="M23" s="52">
        <f t="shared" si="7"/>
        <v>20</v>
      </c>
      <c r="N23" s="52">
        <f t="shared" si="7"/>
        <v>16.899999999999999</v>
      </c>
      <c r="O23" s="52">
        <f t="shared" si="7"/>
        <v>0.12</v>
      </c>
      <c r="P23" s="52"/>
      <c r="Q23" s="52">
        <f t="shared" si="8"/>
        <v>45.027500000000003</v>
      </c>
      <c r="R23" s="52">
        <f t="shared" si="8"/>
        <v>7.4999999999995737E-2</v>
      </c>
      <c r="S23" s="52">
        <f t="shared" si="8"/>
        <v>0</v>
      </c>
      <c r="T23" s="52">
        <f t="shared" si="8"/>
        <v>7.4999999999995737E-2</v>
      </c>
      <c r="U23" s="70">
        <f t="shared" si="8"/>
        <v>2390.6412682407936</v>
      </c>
      <c r="V23" s="69">
        <f t="shared" si="8"/>
        <v>42.802307046552777</v>
      </c>
      <c r="W23" s="71">
        <f t="shared" si="8"/>
        <v>12278.995392168334</v>
      </c>
    </row>
    <row r="24" spans="1:23" s="3" customFormat="1">
      <c r="A24" s="51">
        <v>7</v>
      </c>
      <c r="B24" s="52">
        <f t="shared" si="7"/>
        <v>45.064999999999998</v>
      </c>
      <c r="C24" s="52">
        <f t="shared" si="9"/>
        <v>26</v>
      </c>
      <c r="D24" s="52">
        <f t="shared" si="7"/>
        <v>208000</v>
      </c>
      <c r="E24" s="52">
        <f t="shared" si="7"/>
        <v>0.3</v>
      </c>
      <c r="F24" s="52">
        <f t="shared" si="7"/>
        <v>12.5</v>
      </c>
      <c r="G24" s="52">
        <f t="shared" si="7"/>
        <v>20</v>
      </c>
      <c r="H24" s="52">
        <f t="shared" si="7"/>
        <v>44.99</v>
      </c>
      <c r="I24" s="52">
        <f t="shared" si="7"/>
        <v>60</v>
      </c>
      <c r="J24" s="52">
        <f t="shared" si="7"/>
        <v>208000</v>
      </c>
      <c r="K24" s="52">
        <f t="shared" si="7"/>
        <v>0.3</v>
      </c>
      <c r="L24" s="52">
        <f t="shared" si="7"/>
        <v>12.5</v>
      </c>
      <c r="M24" s="52">
        <f t="shared" si="7"/>
        <v>20</v>
      </c>
      <c r="N24" s="52">
        <f t="shared" si="7"/>
        <v>16.899999999999999</v>
      </c>
      <c r="O24" s="52">
        <f t="shared" si="7"/>
        <v>0.12</v>
      </c>
      <c r="P24" s="52"/>
      <c r="Q24" s="52">
        <f t="shared" si="8"/>
        <v>45.027500000000003</v>
      </c>
      <c r="R24" s="52">
        <f t="shared" si="8"/>
        <v>7.4999999999995737E-2</v>
      </c>
      <c r="S24" s="52">
        <f t="shared" si="8"/>
        <v>0</v>
      </c>
      <c r="T24" s="52">
        <f t="shared" si="8"/>
        <v>7.4999999999995737E-2</v>
      </c>
      <c r="U24" s="70">
        <f t="shared" si="8"/>
        <v>2390.6412682407936</v>
      </c>
      <c r="V24" s="69">
        <f t="shared" si="8"/>
        <v>45.14984859801654</v>
      </c>
      <c r="W24" s="71">
        <f t="shared" si="8"/>
        <v>12952.450957589048</v>
      </c>
    </row>
    <row r="25" spans="1:23" s="3" customFormat="1">
      <c r="A25" s="51">
        <v>8</v>
      </c>
      <c r="B25" s="52">
        <f t="shared" si="7"/>
        <v>45.064999999999998</v>
      </c>
      <c r="C25" s="52">
        <f t="shared" si="9"/>
        <v>24</v>
      </c>
      <c r="D25" s="52">
        <f t="shared" si="7"/>
        <v>208000</v>
      </c>
      <c r="E25" s="52">
        <f t="shared" si="7"/>
        <v>0.3</v>
      </c>
      <c r="F25" s="52">
        <f t="shared" si="7"/>
        <v>12.5</v>
      </c>
      <c r="G25" s="52">
        <f t="shared" si="7"/>
        <v>20</v>
      </c>
      <c r="H25" s="52">
        <f t="shared" si="7"/>
        <v>44.99</v>
      </c>
      <c r="I25" s="52">
        <f t="shared" si="7"/>
        <v>60</v>
      </c>
      <c r="J25" s="52">
        <f t="shared" si="7"/>
        <v>208000</v>
      </c>
      <c r="K25" s="52">
        <f t="shared" si="7"/>
        <v>0.3</v>
      </c>
      <c r="L25" s="52">
        <f t="shared" si="7"/>
        <v>12.5</v>
      </c>
      <c r="M25" s="52">
        <f t="shared" si="7"/>
        <v>20</v>
      </c>
      <c r="N25" s="52">
        <f t="shared" si="7"/>
        <v>16.899999999999999</v>
      </c>
      <c r="O25" s="52">
        <f t="shared" si="7"/>
        <v>0.12</v>
      </c>
      <c r="P25" s="52"/>
      <c r="Q25" s="52">
        <f t="shared" si="8"/>
        <v>45.027500000000003</v>
      </c>
      <c r="R25" s="52">
        <f t="shared" si="8"/>
        <v>7.4999999999995737E-2</v>
      </c>
      <c r="S25" s="52">
        <f t="shared" si="8"/>
        <v>0</v>
      </c>
      <c r="T25" s="52">
        <f t="shared" si="8"/>
        <v>7.4999999999995737E-2</v>
      </c>
      <c r="U25" s="70">
        <f t="shared" si="8"/>
        <v>2390.6412682407936</v>
      </c>
      <c r="V25" s="69">
        <f t="shared" si="8"/>
        <v>47.497390149480303</v>
      </c>
      <c r="W25" s="71">
        <f t="shared" si="8"/>
        <v>13625.906523009764</v>
      </c>
    </row>
    <row r="26" spans="1:23" s="3" customFormat="1">
      <c r="A26" s="51">
        <v>9</v>
      </c>
      <c r="B26" s="52">
        <f t="shared" si="7"/>
        <v>45.064999999999998</v>
      </c>
      <c r="C26" s="52">
        <f t="shared" si="9"/>
        <v>22</v>
      </c>
      <c r="D26" s="52">
        <f t="shared" si="7"/>
        <v>208000</v>
      </c>
      <c r="E26" s="52">
        <f t="shared" si="7"/>
        <v>0.3</v>
      </c>
      <c r="F26" s="52">
        <f t="shared" si="7"/>
        <v>12.5</v>
      </c>
      <c r="G26" s="52">
        <f t="shared" si="7"/>
        <v>20</v>
      </c>
      <c r="H26" s="52">
        <f t="shared" si="7"/>
        <v>44.99</v>
      </c>
      <c r="I26" s="52">
        <f t="shared" si="7"/>
        <v>60</v>
      </c>
      <c r="J26" s="52">
        <f t="shared" si="7"/>
        <v>208000</v>
      </c>
      <c r="K26" s="52">
        <f t="shared" si="7"/>
        <v>0.3</v>
      </c>
      <c r="L26" s="52">
        <f t="shared" si="7"/>
        <v>12.5</v>
      </c>
      <c r="M26" s="52">
        <f t="shared" si="7"/>
        <v>20</v>
      </c>
      <c r="N26" s="52">
        <f t="shared" si="7"/>
        <v>16.899999999999999</v>
      </c>
      <c r="O26" s="52">
        <f t="shared" si="7"/>
        <v>0.12</v>
      </c>
      <c r="P26" s="52"/>
      <c r="Q26" s="52">
        <f t="shared" si="8"/>
        <v>45.027500000000003</v>
      </c>
      <c r="R26" s="52">
        <f t="shared" si="8"/>
        <v>7.4999999999995737E-2</v>
      </c>
      <c r="S26" s="52">
        <f t="shared" si="8"/>
        <v>0</v>
      </c>
      <c r="T26" s="52">
        <f t="shared" si="8"/>
        <v>7.4999999999995737E-2</v>
      </c>
      <c r="U26" s="70">
        <f t="shared" si="8"/>
        <v>2390.6412682407936</v>
      </c>
      <c r="V26" s="69">
        <f t="shared" si="8"/>
        <v>49.844931700944066</v>
      </c>
      <c r="W26" s="71">
        <f t="shared" si="8"/>
        <v>14299.362088430478</v>
      </c>
    </row>
    <row r="27" spans="1:23" s="3" customFormat="1">
      <c r="A27" s="51">
        <v>10</v>
      </c>
      <c r="B27" s="52">
        <f t="shared" ref="B27:O37" si="10">(B$14-B$12)*($A27/20)+B$12</f>
        <v>45.064999999999998</v>
      </c>
      <c r="C27" s="52">
        <f t="shared" si="9"/>
        <v>20</v>
      </c>
      <c r="D27" s="52">
        <f t="shared" si="10"/>
        <v>208000</v>
      </c>
      <c r="E27" s="52">
        <f t="shared" si="10"/>
        <v>0.3</v>
      </c>
      <c r="F27" s="52">
        <f t="shared" si="10"/>
        <v>12.5</v>
      </c>
      <c r="G27" s="52">
        <f t="shared" si="10"/>
        <v>20</v>
      </c>
      <c r="H27" s="52">
        <f t="shared" si="10"/>
        <v>44.99</v>
      </c>
      <c r="I27" s="52">
        <f t="shared" si="10"/>
        <v>60</v>
      </c>
      <c r="J27" s="52">
        <f t="shared" si="10"/>
        <v>208000</v>
      </c>
      <c r="K27" s="52">
        <f t="shared" si="10"/>
        <v>0.3</v>
      </c>
      <c r="L27" s="52">
        <f t="shared" si="10"/>
        <v>12.5</v>
      </c>
      <c r="M27" s="52">
        <f t="shared" si="10"/>
        <v>20</v>
      </c>
      <c r="N27" s="52">
        <f t="shared" si="10"/>
        <v>16.899999999999999</v>
      </c>
      <c r="O27" s="52">
        <f t="shared" si="10"/>
        <v>0.12</v>
      </c>
      <c r="P27" s="52"/>
      <c r="Q27" s="52">
        <f t="shared" ref="Q27:W37" si="11">(Q$14-Q$12)*($A27/20)+Q$12</f>
        <v>45.027500000000003</v>
      </c>
      <c r="R27" s="52">
        <f t="shared" si="11"/>
        <v>7.4999999999995737E-2</v>
      </c>
      <c r="S27" s="52">
        <f t="shared" si="11"/>
        <v>0</v>
      </c>
      <c r="T27" s="52">
        <f t="shared" si="11"/>
        <v>7.4999999999995737E-2</v>
      </c>
      <c r="U27" s="70">
        <f t="shared" si="11"/>
        <v>2390.6412682407936</v>
      </c>
      <c r="V27" s="69">
        <f t="shared" si="11"/>
        <v>52.192473252407822</v>
      </c>
      <c r="W27" s="71">
        <f t="shared" si="11"/>
        <v>14972.817653851193</v>
      </c>
    </row>
    <row r="28" spans="1:23" s="3" customFormat="1">
      <c r="A28" s="51">
        <v>11</v>
      </c>
      <c r="B28" s="52">
        <f t="shared" si="10"/>
        <v>45.064999999999998</v>
      </c>
      <c r="C28" s="52">
        <f t="shared" si="9"/>
        <v>18</v>
      </c>
      <c r="D28" s="52">
        <f t="shared" si="10"/>
        <v>208000</v>
      </c>
      <c r="E28" s="52">
        <f t="shared" si="10"/>
        <v>0.3</v>
      </c>
      <c r="F28" s="52">
        <f t="shared" si="10"/>
        <v>12.5</v>
      </c>
      <c r="G28" s="52">
        <f t="shared" si="10"/>
        <v>20</v>
      </c>
      <c r="H28" s="52">
        <f t="shared" si="10"/>
        <v>44.99</v>
      </c>
      <c r="I28" s="52">
        <f t="shared" si="10"/>
        <v>60</v>
      </c>
      <c r="J28" s="52">
        <f t="shared" si="10"/>
        <v>208000</v>
      </c>
      <c r="K28" s="52">
        <f t="shared" si="10"/>
        <v>0.3</v>
      </c>
      <c r="L28" s="52">
        <f t="shared" si="10"/>
        <v>12.5</v>
      </c>
      <c r="M28" s="52">
        <f t="shared" si="10"/>
        <v>20</v>
      </c>
      <c r="N28" s="52">
        <f t="shared" si="10"/>
        <v>16.899999999999999</v>
      </c>
      <c r="O28" s="52">
        <f t="shared" si="10"/>
        <v>0.12</v>
      </c>
      <c r="P28" s="52"/>
      <c r="Q28" s="52">
        <f t="shared" si="11"/>
        <v>45.027500000000003</v>
      </c>
      <c r="R28" s="52">
        <f t="shared" si="11"/>
        <v>7.4999999999995737E-2</v>
      </c>
      <c r="S28" s="52">
        <f t="shared" si="11"/>
        <v>0</v>
      </c>
      <c r="T28" s="52">
        <f t="shared" si="11"/>
        <v>7.4999999999995737E-2</v>
      </c>
      <c r="U28" s="70">
        <f t="shared" si="11"/>
        <v>2390.6412682407936</v>
      </c>
      <c r="V28" s="69">
        <f t="shared" si="11"/>
        <v>54.540014803871586</v>
      </c>
      <c r="W28" s="71">
        <f t="shared" si="11"/>
        <v>15646.273219271909</v>
      </c>
    </row>
    <row r="29" spans="1:23" s="3" customFormat="1">
      <c r="A29" s="51">
        <v>12</v>
      </c>
      <c r="B29" s="52">
        <f t="shared" si="10"/>
        <v>45.064999999999998</v>
      </c>
      <c r="C29" s="52">
        <f t="shared" si="9"/>
        <v>16</v>
      </c>
      <c r="D29" s="52">
        <f t="shared" si="10"/>
        <v>208000</v>
      </c>
      <c r="E29" s="52">
        <f t="shared" si="10"/>
        <v>0.3</v>
      </c>
      <c r="F29" s="52">
        <f t="shared" si="10"/>
        <v>12.5</v>
      </c>
      <c r="G29" s="52">
        <f t="shared" si="10"/>
        <v>20</v>
      </c>
      <c r="H29" s="52">
        <f t="shared" si="10"/>
        <v>44.99</v>
      </c>
      <c r="I29" s="52">
        <f t="shared" si="10"/>
        <v>60</v>
      </c>
      <c r="J29" s="52">
        <f t="shared" si="10"/>
        <v>208000</v>
      </c>
      <c r="K29" s="52">
        <f t="shared" si="10"/>
        <v>0.3</v>
      </c>
      <c r="L29" s="52">
        <f t="shared" si="10"/>
        <v>12.5</v>
      </c>
      <c r="M29" s="52">
        <f t="shared" si="10"/>
        <v>20</v>
      </c>
      <c r="N29" s="52">
        <f t="shared" si="10"/>
        <v>16.899999999999999</v>
      </c>
      <c r="O29" s="52">
        <f t="shared" si="10"/>
        <v>0.12</v>
      </c>
      <c r="P29" s="52"/>
      <c r="Q29" s="52">
        <f t="shared" si="11"/>
        <v>45.027500000000003</v>
      </c>
      <c r="R29" s="52">
        <f t="shared" si="11"/>
        <v>7.4999999999995737E-2</v>
      </c>
      <c r="S29" s="52">
        <f t="shared" si="11"/>
        <v>0</v>
      </c>
      <c r="T29" s="52">
        <f t="shared" si="11"/>
        <v>7.4999999999995737E-2</v>
      </c>
      <c r="U29" s="70">
        <f t="shared" si="11"/>
        <v>2390.6412682407936</v>
      </c>
      <c r="V29" s="69">
        <f t="shared" si="11"/>
        <v>56.887556355335349</v>
      </c>
      <c r="W29" s="71">
        <f t="shared" si="11"/>
        <v>16319.728784692621</v>
      </c>
    </row>
    <row r="30" spans="1:23" s="3" customFormat="1">
      <c r="A30" s="51">
        <v>13</v>
      </c>
      <c r="B30" s="52">
        <f t="shared" si="10"/>
        <v>45.064999999999998</v>
      </c>
      <c r="C30" s="52">
        <f t="shared" si="9"/>
        <v>14</v>
      </c>
      <c r="D30" s="52">
        <f t="shared" si="10"/>
        <v>208000</v>
      </c>
      <c r="E30" s="52">
        <f t="shared" si="10"/>
        <v>0.3</v>
      </c>
      <c r="F30" s="52">
        <f t="shared" si="10"/>
        <v>12.5</v>
      </c>
      <c r="G30" s="52">
        <f t="shared" si="10"/>
        <v>20</v>
      </c>
      <c r="H30" s="52">
        <f t="shared" si="10"/>
        <v>44.99</v>
      </c>
      <c r="I30" s="52">
        <f t="shared" si="10"/>
        <v>60</v>
      </c>
      <c r="J30" s="52">
        <f t="shared" si="10"/>
        <v>208000</v>
      </c>
      <c r="K30" s="52">
        <f t="shared" si="10"/>
        <v>0.3</v>
      </c>
      <c r="L30" s="52">
        <f t="shared" si="10"/>
        <v>12.5</v>
      </c>
      <c r="M30" s="52">
        <f t="shared" si="10"/>
        <v>20</v>
      </c>
      <c r="N30" s="52">
        <f t="shared" si="10"/>
        <v>16.899999999999999</v>
      </c>
      <c r="O30" s="52">
        <f t="shared" si="10"/>
        <v>0.12</v>
      </c>
      <c r="P30" s="52"/>
      <c r="Q30" s="52">
        <f t="shared" si="11"/>
        <v>45.027500000000003</v>
      </c>
      <c r="R30" s="52">
        <f t="shared" si="11"/>
        <v>7.4999999999995737E-2</v>
      </c>
      <c r="S30" s="52">
        <f t="shared" si="11"/>
        <v>0</v>
      </c>
      <c r="T30" s="52">
        <f t="shared" si="11"/>
        <v>7.4999999999995737E-2</v>
      </c>
      <c r="U30" s="70">
        <f t="shared" si="11"/>
        <v>2390.6412682407936</v>
      </c>
      <c r="V30" s="69">
        <f t="shared" si="11"/>
        <v>59.235097906799112</v>
      </c>
      <c r="W30" s="71">
        <f t="shared" si="11"/>
        <v>16993.184350113333</v>
      </c>
    </row>
    <row r="31" spans="1:23" s="3" customFormat="1">
      <c r="A31" s="51">
        <v>14</v>
      </c>
      <c r="B31" s="52">
        <f t="shared" si="10"/>
        <v>45.064999999999998</v>
      </c>
      <c r="C31" s="52">
        <f t="shared" si="9"/>
        <v>12</v>
      </c>
      <c r="D31" s="52">
        <f t="shared" si="10"/>
        <v>208000</v>
      </c>
      <c r="E31" s="52">
        <f t="shared" si="10"/>
        <v>0.3</v>
      </c>
      <c r="F31" s="52">
        <f t="shared" si="10"/>
        <v>12.5</v>
      </c>
      <c r="G31" s="52">
        <f t="shared" si="10"/>
        <v>20</v>
      </c>
      <c r="H31" s="52">
        <f t="shared" si="10"/>
        <v>44.99</v>
      </c>
      <c r="I31" s="52">
        <f t="shared" si="10"/>
        <v>60</v>
      </c>
      <c r="J31" s="52">
        <f t="shared" si="10"/>
        <v>208000</v>
      </c>
      <c r="K31" s="52">
        <f t="shared" si="10"/>
        <v>0.3</v>
      </c>
      <c r="L31" s="52">
        <f t="shared" si="10"/>
        <v>12.5</v>
      </c>
      <c r="M31" s="52">
        <f t="shared" si="10"/>
        <v>20</v>
      </c>
      <c r="N31" s="52">
        <f t="shared" si="10"/>
        <v>16.899999999999999</v>
      </c>
      <c r="O31" s="52">
        <f t="shared" si="10"/>
        <v>0.12</v>
      </c>
      <c r="P31" s="52"/>
      <c r="Q31" s="52">
        <f t="shared" si="11"/>
        <v>45.027500000000003</v>
      </c>
      <c r="R31" s="52">
        <f t="shared" si="11"/>
        <v>7.4999999999995737E-2</v>
      </c>
      <c r="S31" s="52">
        <f t="shared" si="11"/>
        <v>0</v>
      </c>
      <c r="T31" s="52">
        <f t="shared" si="11"/>
        <v>7.4999999999995737E-2</v>
      </c>
      <c r="U31" s="70">
        <f t="shared" si="11"/>
        <v>2390.6412682407936</v>
      </c>
      <c r="V31" s="69">
        <f t="shared" si="11"/>
        <v>61.582639458262875</v>
      </c>
      <c r="W31" s="71">
        <f t="shared" si="11"/>
        <v>17666.639915534048</v>
      </c>
    </row>
    <row r="32" spans="1:23" s="3" customFormat="1">
      <c r="A32" s="51">
        <v>15</v>
      </c>
      <c r="B32" s="52">
        <f t="shared" si="10"/>
        <v>45.064999999999998</v>
      </c>
      <c r="C32" s="52">
        <f t="shared" si="9"/>
        <v>10</v>
      </c>
      <c r="D32" s="52">
        <f t="shared" si="10"/>
        <v>208000</v>
      </c>
      <c r="E32" s="52">
        <f t="shared" si="10"/>
        <v>0.3</v>
      </c>
      <c r="F32" s="52">
        <f t="shared" si="10"/>
        <v>12.5</v>
      </c>
      <c r="G32" s="52">
        <f t="shared" si="10"/>
        <v>20</v>
      </c>
      <c r="H32" s="52">
        <f t="shared" si="10"/>
        <v>44.99</v>
      </c>
      <c r="I32" s="52">
        <f t="shared" si="10"/>
        <v>60</v>
      </c>
      <c r="J32" s="52">
        <f t="shared" si="10"/>
        <v>208000</v>
      </c>
      <c r="K32" s="52">
        <f t="shared" si="10"/>
        <v>0.3</v>
      </c>
      <c r="L32" s="52">
        <f t="shared" si="10"/>
        <v>12.5</v>
      </c>
      <c r="M32" s="52">
        <f t="shared" si="10"/>
        <v>20</v>
      </c>
      <c r="N32" s="52">
        <f t="shared" si="10"/>
        <v>16.899999999999999</v>
      </c>
      <c r="O32" s="52">
        <f t="shared" si="10"/>
        <v>0.12</v>
      </c>
      <c r="P32" s="52"/>
      <c r="Q32" s="52">
        <f t="shared" si="11"/>
        <v>45.027500000000003</v>
      </c>
      <c r="R32" s="52">
        <f t="shared" si="11"/>
        <v>7.4999999999995737E-2</v>
      </c>
      <c r="S32" s="52">
        <f t="shared" si="11"/>
        <v>0</v>
      </c>
      <c r="T32" s="52">
        <f t="shared" si="11"/>
        <v>7.4999999999995737E-2</v>
      </c>
      <c r="U32" s="70">
        <f t="shared" si="11"/>
        <v>2390.6412682407936</v>
      </c>
      <c r="V32" s="69">
        <f t="shared" si="11"/>
        <v>63.930181009726638</v>
      </c>
      <c r="W32" s="71">
        <f t="shared" si="11"/>
        <v>18340.095480954766</v>
      </c>
    </row>
    <row r="33" spans="1:23" s="3" customFormat="1">
      <c r="A33" s="51">
        <v>16</v>
      </c>
      <c r="B33" s="52">
        <f t="shared" si="10"/>
        <v>45.064999999999998</v>
      </c>
      <c r="C33" s="52">
        <f t="shared" si="9"/>
        <v>8</v>
      </c>
      <c r="D33" s="52">
        <f t="shared" si="10"/>
        <v>208000</v>
      </c>
      <c r="E33" s="52">
        <f t="shared" si="10"/>
        <v>0.3</v>
      </c>
      <c r="F33" s="52">
        <f t="shared" si="10"/>
        <v>12.5</v>
      </c>
      <c r="G33" s="52">
        <f t="shared" si="10"/>
        <v>20</v>
      </c>
      <c r="H33" s="52">
        <f t="shared" si="10"/>
        <v>44.99</v>
      </c>
      <c r="I33" s="52">
        <f t="shared" si="10"/>
        <v>60</v>
      </c>
      <c r="J33" s="52">
        <f t="shared" si="10"/>
        <v>208000</v>
      </c>
      <c r="K33" s="52">
        <f t="shared" si="10"/>
        <v>0.3</v>
      </c>
      <c r="L33" s="52">
        <f t="shared" si="10"/>
        <v>12.5</v>
      </c>
      <c r="M33" s="52">
        <f t="shared" si="10"/>
        <v>20</v>
      </c>
      <c r="N33" s="52">
        <f t="shared" si="10"/>
        <v>16.899999999999999</v>
      </c>
      <c r="O33" s="52">
        <f t="shared" si="10"/>
        <v>0.12</v>
      </c>
      <c r="P33" s="52"/>
      <c r="Q33" s="52">
        <f t="shared" si="11"/>
        <v>45.027500000000003</v>
      </c>
      <c r="R33" s="52">
        <f t="shared" si="11"/>
        <v>7.4999999999995737E-2</v>
      </c>
      <c r="S33" s="52">
        <f t="shared" si="11"/>
        <v>0</v>
      </c>
      <c r="T33" s="52">
        <f t="shared" si="11"/>
        <v>7.4999999999995737E-2</v>
      </c>
      <c r="U33" s="70">
        <f t="shared" si="11"/>
        <v>2390.6412682407936</v>
      </c>
      <c r="V33" s="69">
        <f t="shared" si="11"/>
        <v>66.277722561190402</v>
      </c>
      <c r="W33" s="71">
        <f t="shared" si="11"/>
        <v>19013.55104637548</v>
      </c>
    </row>
    <row r="34" spans="1:23" s="3" customFormat="1">
      <c r="A34" s="51">
        <v>17</v>
      </c>
      <c r="B34" s="52">
        <f t="shared" si="10"/>
        <v>45.064999999999998</v>
      </c>
      <c r="C34" s="52">
        <f t="shared" si="9"/>
        <v>6</v>
      </c>
      <c r="D34" s="52">
        <f t="shared" si="10"/>
        <v>208000</v>
      </c>
      <c r="E34" s="52">
        <f t="shared" si="10"/>
        <v>0.3</v>
      </c>
      <c r="F34" s="52">
        <f t="shared" si="10"/>
        <v>12.5</v>
      </c>
      <c r="G34" s="52">
        <f t="shared" si="10"/>
        <v>20</v>
      </c>
      <c r="H34" s="52">
        <f t="shared" si="10"/>
        <v>44.99</v>
      </c>
      <c r="I34" s="52">
        <f t="shared" si="10"/>
        <v>60</v>
      </c>
      <c r="J34" s="52">
        <f t="shared" si="10"/>
        <v>208000</v>
      </c>
      <c r="K34" s="52">
        <f t="shared" si="10"/>
        <v>0.3</v>
      </c>
      <c r="L34" s="52">
        <f t="shared" si="10"/>
        <v>12.5</v>
      </c>
      <c r="M34" s="52">
        <f t="shared" si="10"/>
        <v>20</v>
      </c>
      <c r="N34" s="52">
        <f t="shared" si="10"/>
        <v>16.899999999999999</v>
      </c>
      <c r="O34" s="52">
        <f t="shared" si="10"/>
        <v>0.12</v>
      </c>
      <c r="P34" s="52"/>
      <c r="Q34" s="52">
        <f t="shared" si="11"/>
        <v>45.027500000000003</v>
      </c>
      <c r="R34" s="52">
        <f t="shared" si="11"/>
        <v>7.4999999999995737E-2</v>
      </c>
      <c r="S34" s="52">
        <f t="shared" si="11"/>
        <v>0</v>
      </c>
      <c r="T34" s="52">
        <f t="shared" si="11"/>
        <v>7.4999999999995737E-2</v>
      </c>
      <c r="U34" s="70">
        <f t="shared" si="11"/>
        <v>2390.6412682407936</v>
      </c>
      <c r="V34" s="69">
        <f t="shared" si="11"/>
        <v>68.62526411265415</v>
      </c>
      <c r="W34" s="71">
        <f t="shared" si="11"/>
        <v>19687.006611796194</v>
      </c>
    </row>
    <row r="35" spans="1:23" s="3" customFormat="1">
      <c r="A35" s="51">
        <v>18</v>
      </c>
      <c r="B35" s="52">
        <f t="shared" si="10"/>
        <v>45.064999999999998</v>
      </c>
      <c r="C35" s="52">
        <f t="shared" si="9"/>
        <v>4</v>
      </c>
      <c r="D35" s="52">
        <f t="shared" si="10"/>
        <v>208000</v>
      </c>
      <c r="E35" s="52">
        <f t="shared" si="10"/>
        <v>0.3</v>
      </c>
      <c r="F35" s="52">
        <f t="shared" si="10"/>
        <v>12.5</v>
      </c>
      <c r="G35" s="52">
        <f t="shared" si="10"/>
        <v>20</v>
      </c>
      <c r="H35" s="52">
        <f t="shared" si="10"/>
        <v>44.99</v>
      </c>
      <c r="I35" s="52">
        <f t="shared" si="10"/>
        <v>60</v>
      </c>
      <c r="J35" s="52">
        <f t="shared" si="10"/>
        <v>208000</v>
      </c>
      <c r="K35" s="52">
        <f t="shared" si="10"/>
        <v>0.3</v>
      </c>
      <c r="L35" s="52">
        <f t="shared" si="10"/>
        <v>12.5</v>
      </c>
      <c r="M35" s="52">
        <f t="shared" si="10"/>
        <v>20</v>
      </c>
      <c r="N35" s="52">
        <f t="shared" si="10"/>
        <v>16.899999999999999</v>
      </c>
      <c r="O35" s="52">
        <f t="shared" si="10"/>
        <v>0.12</v>
      </c>
      <c r="P35" s="52"/>
      <c r="Q35" s="52">
        <f t="shared" si="11"/>
        <v>45.027500000000003</v>
      </c>
      <c r="R35" s="52">
        <f t="shared" si="11"/>
        <v>7.4999999999995737E-2</v>
      </c>
      <c r="S35" s="52">
        <f t="shared" si="11"/>
        <v>0</v>
      </c>
      <c r="T35" s="52">
        <f t="shared" si="11"/>
        <v>7.4999999999995737E-2</v>
      </c>
      <c r="U35" s="70">
        <f t="shared" si="11"/>
        <v>2390.6412682407936</v>
      </c>
      <c r="V35" s="69">
        <f t="shared" si="11"/>
        <v>70.972805664117928</v>
      </c>
      <c r="W35" s="71">
        <f t="shared" si="11"/>
        <v>20360.462177216908</v>
      </c>
    </row>
    <row r="36" spans="1:23" s="3" customFormat="1">
      <c r="A36" s="51">
        <v>19</v>
      </c>
      <c r="B36" s="52">
        <f t="shared" si="10"/>
        <v>45.064999999999998</v>
      </c>
      <c r="C36" s="52">
        <f t="shared" si="9"/>
        <v>2</v>
      </c>
      <c r="D36" s="52">
        <f t="shared" si="10"/>
        <v>208000</v>
      </c>
      <c r="E36" s="52">
        <f t="shared" si="10"/>
        <v>0.3</v>
      </c>
      <c r="F36" s="52">
        <f t="shared" si="10"/>
        <v>12.5</v>
      </c>
      <c r="G36" s="52">
        <f t="shared" si="10"/>
        <v>20</v>
      </c>
      <c r="H36" s="52">
        <f t="shared" si="10"/>
        <v>44.99</v>
      </c>
      <c r="I36" s="52">
        <f t="shared" si="10"/>
        <v>60</v>
      </c>
      <c r="J36" s="52">
        <f t="shared" si="10"/>
        <v>208000</v>
      </c>
      <c r="K36" s="52">
        <f t="shared" si="10"/>
        <v>0.3</v>
      </c>
      <c r="L36" s="52">
        <f t="shared" si="10"/>
        <v>12.5</v>
      </c>
      <c r="M36" s="52">
        <f t="shared" si="10"/>
        <v>20</v>
      </c>
      <c r="N36" s="52">
        <f t="shared" si="10"/>
        <v>16.899999999999999</v>
      </c>
      <c r="O36" s="52">
        <f t="shared" si="10"/>
        <v>0.12</v>
      </c>
      <c r="P36" s="52"/>
      <c r="Q36" s="52">
        <f t="shared" si="11"/>
        <v>45.027500000000003</v>
      </c>
      <c r="R36" s="52">
        <f t="shared" si="11"/>
        <v>7.4999999999995737E-2</v>
      </c>
      <c r="S36" s="52">
        <f t="shared" si="11"/>
        <v>0</v>
      </c>
      <c r="T36" s="52">
        <f t="shared" si="11"/>
        <v>7.4999999999995737E-2</v>
      </c>
      <c r="U36" s="70">
        <f t="shared" si="11"/>
        <v>2390.6412682407936</v>
      </c>
      <c r="V36" s="69">
        <f t="shared" si="11"/>
        <v>73.320347215581677</v>
      </c>
      <c r="W36" s="71">
        <f t="shared" si="11"/>
        <v>21033.917742637623</v>
      </c>
    </row>
    <row r="37" spans="1:23" s="3" customFormat="1" ht="18" thickBot="1">
      <c r="A37" s="53">
        <v>20</v>
      </c>
      <c r="B37" s="54">
        <f t="shared" si="10"/>
        <v>45.064999999999998</v>
      </c>
      <c r="C37" s="52">
        <f t="shared" si="9"/>
        <v>0</v>
      </c>
      <c r="D37" s="54">
        <f t="shared" si="10"/>
        <v>208000</v>
      </c>
      <c r="E37" s="54">
        <f t="shared" si="10"/>
        <v>0.3</v>
      </c>
      <c r="F37" s="54">
        <f t="shared" si="10"/>
        <v>12.5</v>
      </c>
      <c r="G37" s="54">
        <f t="shared" si="10"/>
        <v>20</v>
      </c>
      <c r="H37" s="54">
        <f t="shared" si="10"/>
        <v>44.99</v>
      </c>
      <c r="I37" s="54">
        <f t="shared" si="10"/>
        <v>60</v>
      </c>
      <c r="J37" s="54">
        <f t="shared" si="10"/>
        <v>208000</v>
      </c>
      <c r="K37" s="54">
        <f t="shared" si="10"/>
        <v>0.3</v>
      </c>
      <c r="L37" s="54">
        <f t="shared" si="10"/>
        <v>12.5</v>
      </c>
      <c r="M37" s="54">
        <f t="shared" si="10"/>
        <v>20</v>
      </c>
      <c r="N37" s="54">
        <f t="shared" si="10"/>
        <v>16.899999999999999</v>
      </c>
      <c r="O37" s="54">
        <f t="shared" si="10"/>
        <v>0.12</v>
      </c>
      <c r="P37" s="54"/>
      <c r="Q37" s="54">
        <f t="shared" si="11"/>
        <v>45.027500000000003</v>
      </c>
      <c r="R37" s="54">
        <f t="shared" si="11"/>
        <v>7.4999999999995737E-2</v>
      </c>
      <c r="S37" s="54">
        <f t="shared" si="11"/>
        <v>0</v>
      </c>
      <c r="T37" s="54">
        <f t="shared" si="11"/>
        <v>7.4999999999995737E-2</v>
      </c>
      <c r="U37" s="72">
        <f t="shared" si="11"/>
        <v>2390.6412682407936</v>
      </c>
      <c r="V37" s="73">
        <f t="shared" si="11"/>
        <v>75.66788876704544</v>
      </c>
      <c r="W37" s="74">
        <f t="shared" si="11"/>
        <v>21707.373308058337</v>
      </c>
    </row>
  </sheetData>
  <phoneticPr fontId="1"/>
  <conditionalFormatting sqref="B8:O8">
    <cfRule type="expression" dxfId="3" priority="4">
      <formula>B7=1</formula>
    </cfRule>
  </conditionalFormatting>
  <conditionalFormatting sqref="B4:O4">
    <cfRule type="expression" dxfId="2" priority="3">
      <formula>AND(B7=0,B8=-1)</formula>
    </cfRule>
  </conditionalFormatting>
  <conditionalFormatting sqref="B5:O5">
    <cfRule type="expression" dxfId="1" priority="2">
      <formula>AND(B7=0,B8=0)</formula>
    </cfRule>
  </conditionalFormatting>
  <conditionalFormatting sqref="B6:O6">
    <cfRule type="expression" dxfId="0" priority="1">
      <formula>AND(B7=0,B8=1)</formula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S23"/>
  <sheetViews>
    <sheetView zoomScale="70" zoomScaleNormal="70" workbookViewId="0">
      <selection activeCell="B5" sqref="B5"/>
    </sheetView>
  </sheetViews>
  <sheetFormatPr defaultRowHeight="17.649999999999999"/>
  <cols>
    <col min="1" max="1" width="12.75" bestFit="1" customWidth="1"/>
    <col min="2" max="7" width="15.5" bestFit="1" customWidth="1"/>
    <col min="8" max="8" width="7.5" bestFit="1" customWidth="1"/>
    <col min="9" max="9" width="11" bestFit="1" customWidth="1"/>
    <col min="10" max="10" width="9.25" bestFit="1" customWidth="1"/>
    <col min="11" max="16" width="15.5" bestFit="1" customWidth="1"/>
    <col min="17" max="17" width="13.125" customWidth="1"/>
    <col min="18" max="18" width="7.5" bestFit="1" customWidth="1"/>
    <col min="19" max="19" width="9.25" bestFit="1" customWidth="1"/>
  </cols>
  <sheetData>
    <row r="1" spans="1:19">
      <c r="A1" s="14" t="s">
        <v>34</v>
      </c>
      <c r="K1" t="s">
        <v>35</v>
      </c>
    </row>
    <row r="2" spans="1:19">
      <c r="A2" t="s">
        <v>33</v>
      </c>
      <c r="B2" t="s">
        <v>28</v>
      </c>
      <c r="C2" t="s">
        <v>27</v>
      </c>
      <c r="D2" t="s">
        <v>29</v>
      </c>
      <c r="E2" t="s">
        <v>30</v>
      </c>
      <c r="F2" t="s">
        <v>31</v>
      </c>
      <c r="G2" t="s">
        <v>32</v>
      </c>
      <c r="H2" t="s">
        <v>17</v>
      </c>
      <c r="I2" t="s">
        <v>0</v>
      </c>
      <c r="J2" t="s">
        <v>18</v>
      </c>
      <c r="K2" t="s">
        <v>21</v>
      </c>
      <c r="L2" t="s">
        <v>22</v>
      </c>
      <c r="M2" t="s">
        <v>23</v>
      </c>
      <c r="N2" t="s">
        <v>24</v>
      </c>
      <c r="O2" t="s">
        <v>25</v>
      </c>
      <c r="P2" t="s">
        <v>26</v>
      </c>
      <c r="R2" t="s">
        <v>20</v>
      </c>
      <c r="S2" t="s">
        <v>19</v>
      </c>
    </row>
    <row r="3" spans="1:19">
      <c r="A3">
        <v>0</v>
      </c>
      <c r="B3">
        <v>50</v>
      </c>
      <c r="C3">
        <v>55</v>
      </c>
      <c r="D3">
        <v>60</v>
      </c>
      <c r="E3">
        <v>65</v>
      </c>
      <c r="F3">
        <v>70</v>
      </c>
      <c r="G3">
        <v>75</v>
      </c>
      <c r="H3">
        <f>85/2</f>
        <v>42.5</v>
      </c>
      <c r="I3">
        <v>0.34499999999999997</v>
      </c>
      <c r="J3">
        <v>71000</v>
      </c>
      <c r="K3" s="13">
        <f>($A3*$H3/$J3)*((B3^2+$H3^2)/(B3^2-$H3^2)+$I3)</f>
        <v>0</v>
      </c>
      <c r="L3" s="13">
        <f t="shared" ref="L3:P18" si="0">($A3*$H3/$J3)*((C3^2+$H3^2)/(C3^2-$H3^2)+$I3)</f>
        <v>0</v>
      </c>
      <c r="M3" s="13">
        <f t="shared" si="0"/>
        <v>0</v>
      </c>
      <c r="N3" s="13">
        <f t="shared" si="0"/>
        <v>0</v>
      </c>
      <c r="O3" s="13">
        <f t="shared" si="0"/>
        <v>0</v>
      </c>
      <c r="P3" s="13">
        <f t="shared" si="0"/>
        <v>0</v>
      </c>
    </row>
    <row r="4" spans="1:19">
      <c r="A4">
        <v>0.5</v>
      </c>
      <c r="B4">
        <v>50</v>
      </c>
      <c r="C4">
        <v>55</v>
      </c>
      <c r="D4">
        <v>60</v>
      </c>
      <c r="E4">
        <v>65</v>
      </c>
      <c r="F4">
        <v>70</v>
      </c>
      <c r="G4">
        <v>75</v>
      </c>
      <c r="H4">
        <f t="shared" ref="H4:H23" si="1">85/2</f>
        <v>42.5</v>
      </c>
      <c r="I4">
        <v>0.34499999999999997</v>
      </c>
      <c r="J4">
        <v>71000</v>
      </c>
      <c r="K4" s="13">
        <f t="shared" ref="K4:K23" si="2">($A4*$H4/$J4)*((B4^2+$H4^2)/(B4^2-$H4^2)+$I4)</f>
        <v>1.9610479317345515E-3</v>
      </c>
      <c r="L4" s="13">
        <f t="shared" si="0"/>
        <v>1.2896961899602744E-3</v>
      </c>
      <c r="M4" s="13">
        <f t="shared" si="0"/>
        <v>1.0053157358786867E-3</v>
      </c>
      <c r="N4" s="13">
        <f t="shared" si="0"/>
        <v>8.4956304363649612E-4</v>
      </c>
      <c r="O4" s="13">
        <f t="shared" si="0"/>
        <v>7.5203353962156774E-4</v>
      </c>
      <c r="P4" s="13">
        <f t="shared" si="0"/>
        <v>6.8568368064359983E-4</v>
      </c>
    </row>
    <row r="5" spans="1:19">
      <c r="A5">
        <v>1</v>
      </c>
      <c r="B5">
        <v>50</v>
      </c>
      <c r="C5">
        <v>55</v>
      </c>
      <c r="D5">
        <v>60</v>
      </c>
      <c r="E5">
        <v>65</v>
      </c>
      <c r="F5">
        <v>70</v>
      </c>
      <c r="G5">
        <v>75</v>
      </c>
      <c r="H5">
        <f t="shared" si="1"/>
        <v>42.5</v>
      </c>
      <c r="I5">
        <v>0.34499999999999997</v>
      </c>
      <c r="J5">
        <v>71000</v>
      </c>
      <c r="K5" s="13">
        <f t="shared" si="2"/>
        <v>3.9220958634691031E-3</v>
      </c>
      <c r="L5" s="13">
        <f t="shared" si="0"/>
        <v>2.5793923799205488E-3</v>
      </c>
      <c r="M5" s="13">
        <f t="shared" si="0"/>
        <v>2.0106314717573733E-3</v>
      </c>
      <c r="N5" s="13">
        <f t="shared" si="0"/>
        <v>1.6991260872729922E-3</v>
      </c>
      <c r="O5" s="13">
        <f t="shared" si="0"/>
        <v>1.5040670792431355E-3</v>
      </c>
      <c r="P5" s="13">
        <f t="shared" si="0"/>
        <v>1.3713673612871997E-3</v>
      </c>
    </row>
    <row r="6" spans="1:19">
      <c r="A6">
        <v>1.5</v>
      </c>
      <c r="B6">
        <v>50</v>
      </c>
      <c r="C6">
        <v>55</v>
      </c>
      <c r="D6">
        <v>60</v>
      </c>
      <c r="E6">
        <v>65</v>
      </c>
      <c r="F6">
        <v>70</v>
      </c>
      <c r="G6">
        <v>75</v>
      </c>
      <c r="H6">
        <f t="shared" si="1"/>
        <v>42.5</v>
      </c>
      <c r="I6">
        <v>0.34499999999999997</v>
      </c>
      <c r="J6">
        <v>71000</v>
      </c>
      <c r="K6" s="13">
        <f t="shared" si="2"/>
        <v>5.8831437952036542E-3</v>
      </c>
      <c r="L6" s="13">
        <f t="shared" si="0"/>
        <v>3.8690885698808232E-3</v>
      </c>
      <c r="M6" s="13">
        <f t="shared" si="0"/>
        <v>3.01594720763606E-3</v>
      </c>
      <c r="N6" s="13">
        <f t="shared" si="0"/>
        <v>2.5486891309094879E-3</v>
      </c>
      <c r="O6" s="13">
        <f t="shared" si="0"/>
        <v>2.256100618864703E-3</v>
      </c>
      <c r="P6" s="13">
        <f t="shared" si="0"/>
        <v>2.0570510419307994E-3</v>
      </c>
    </row>
    <row r="7" spans="1:19">
      <c r="A7">
        <v>2</v>
      </c>
      <c r="B7">
        <v>50</v>
      </c>
      <c r="C7">
        <v>55</v>
      </c>
      <c r="D7">
        <v>60</v>
      </c>
      <c r="E7">
        <v>65</v>
      </c>
      <c r="F7">
        <v>70</v>
      </c>
      <c r="G7">
        <v>75</v>
      </c>
      <c r="H7">
        <f t="shared" si="1"/>
        <v>42.5</v>
      </c>
      <c r="I7">
        <v>0.34499999999999997</v>
      </c>
      <c r="J7">
        <v>71000</v>
      </c>
      <c r="K7" s="13">
        <f t="shared" si="2"/>
        <v>7.8441917269382062E-3</v>
      </c>
      <c r="L7" s="13">
        <f t="shared" si="0"/>
        <v>5.1587847598410976E-3</v>
      </c>
      <c r="M7" s="13">
        <f t="shared" si="0"/>
        <v>4.0212629435147466E-3</v>
      </c>
      <c r="N7" s="13">
        <f t="shared" si="0"/>
        <v>3.3982521745459845E-3</v>
      </c>
      <c r="O7" s="13">
        <f t="shared" si="0"/>
        <v>3.008134158486271E-3</v>
      </c>
      <c r="P7" s="13">
        <f t="shared" si="0"/>
        <v>2.7427347225743993E-3</v>
      </c>
    </row>
    <row r="8" spans="1:19">
      <c r="A8">
        <v>2.5</v>
      </c>
      <c r="B8">
        <v>50</v>
      </c>
      <c r="C8">
        <v>55</v>
      </c>
      <c r="D8">
        <v>60</v>
      </c>
      <c r="E8">
        <v>65</v>
      </c>
      <c r="F8">
        <v>70</v>
      </c>
      <c r="G8">
        <v>75</v>
      </c>
      <c r="H8">
        <f t="shared" si="1"/>
        <v>42.5</v>
      </c>
      <c r="I8">
        <v>0.34499999999999997</v>
      </c>
      <c r="J8">
        <v>71000</v>
      </c>
      <c r="K8" s="13">
        <f t="shared" si="2"/>
        <v>9.8052396586727573E-3</v>
      </c>
      <c r="L8" s="13">
        <f t="shared" si="0"/>
        <v>6.4484809498013716E-3</v>
      </c>
      <c r="M8" s="13">
        <f t="shared" si="0"/>
        <v>5.0265786793934333E-3</v>
      </c>
      <c r="N8" s="13">
        <f t="shared" si="0"/>
        <v>4.2478152181824802E-3</v>
      </c>
      <c r="O8" s="13">
        <f t="shared" si="0"/>
        <v>3.7601676981078385E-3</v>
      </c>
      <c r="P8" s="13">
        <f t="shared" si="0"/>
        <v>3.4284184032179988E-3</v>
      </c>
    </row>
    <row r="9" spans="1:19">
      <c r="A9">
        <v>3</v>
      </c>
      <c r="B9">
        <v>50</v>
      </c>
      <c r="C9">
        <v>55</v>
      </c>
      <c r="D9">
        <v>60</v>
      </c>
      <c r="E9">
        <v>65</v>
      </c>
      <c r="F9">
        <v>70</v>
      </c>
      <c r="G9">
        <v>75</v>
      </c>
      <c r="H9">
        <f t="shared" si="1"/>
        <v>42.5</v>
      </c>
      <c r="I9">
        <v>0.34499999999999997</v>
      </c>
      <c r="J9">
        <v>71000</v>
      </c>
      <c r="K9" s="13">
        <f t="shared" si="2"/>
        <v>1.1766287590407308E-2</v>
      </c>
      <c r="L9" s="13">
        <f t="shared" si="0"/>
        <v>7.7381771397616464E-3</v>
      </c>
      <c r="M9" s="13">
        <f t="shared" si="0"/>
        <v>6.03189441527212E-3</v>
      </c>
      <c r="N9" s="13">
        <f t="shared" si="0"/>
        <v>5.0973782618189759E-3</v>
      </c>
      <c r="O9" s="13">
        <f t="shared" si="0"/>
        <v>4.512201237729406E-3</v>
      </c>
      <c r="P9" s="13">
        <f t="shared" si="0"/>
        <v>4.1141020838615988E-3</v>
      </c>
    </row>
    <row r="10" spans="1:19">
      <c r="A10">
        <v>3.5</v>
      </c>
      <c r="B10">
        <v>50</v>
      </c>
      <c r="C10">
        <v>55</v>
      </c>
      <c r="D10">
        <v>60</v>
      </c>
      <c r="E10">
        <v>65</v>
      </c>
      <c r="F10">
        <v>70</v>
      </c>
      <c r="G10">
        <v>75</v>
      </c>
      <c r="H10">
        <f t="shared" si="1"/>
        <v>42.5</v>
      </c>
      <c r="I10">
        <v>0.34499999999999997</v>
      </c>
      <c r="J10">
        <v>71000</v>
      </c>
      <c r="K10" s="13">
        <f t="shared" si="2"/>
        <v>1.3727335522141859E-2</v>
      </c>
      <c r="L10" s="13">
        <f t="shared" si="0"/>
        <v>9.0278733297219221E-3</v>
      </c>
      <c r="M10" s="13">
        <f t="shared" si="0"/>
        <v>7.0372101511508066E-3</v>
      </c>
      <c r="N10" s="13">
        <f t="shared" si="0"/>
        <v>5.9469413054554724E-3</v>
      </c>
      <c r="O10" s="13">
        <f t="shared" si="0"/>
        <v>5.264234777350974E-3</v>
      </c>
      <c r="P10" s="13">
        <f t="shared" si="0"/>
        <v>4.7997857645051987E-3</v>
      </c>
    </row>
    <row r="11" spans="1:19">
      <c r="A11">
        <v>4</v>
      </c>
      <c r="B11">
        <v>50</v>
      </c>
      <c r="C11">
        <v>55</v>
      </c>
      <c r="D11">
        <v>60</v>
      </c>
      <c r="E11">
        <v>65</v>
      </c>
      <c r="F11">
        <v>70</v>
      </c>
      <c r="G11">
        <v>75</v>
      </c>
      <c r="H11">
        <f t="shared" si="1"/>
        <v>42.5</v>
      </c>
      <c r="I11">
        <v>0.34499999999999997</v>
      </c>
      <c r="J11">
        <v>71000</v>
      </c>
      <c r="K11" s="13">
        <f t="shared" si="2"/>
        <v>1.5688383453876412E-2</v>
      </c>
      <c r="L11" s="13">
        <f t="shared" si="0"/>
        <v>1.0317569519682195E-2</v>
      </c>
      <c r="M11" s="13">
        <f t="shared" si="0"/>
        <v>8.0425258870294933E-3</v>
      </c>
      <c r="N11" s="13">
        <f t="shared" si="0"/>
        <v>6.796504349091969E-3</v>
      </c>
      <c r="O11" s="13">
        <f t="shared" si="0"/>
        <v>6.0162683169725419E-3</v>
      </c>
      <c r="P11" s="13">
        <f t="shared" si="0"/>
        <v>5.4854694451487987E-3</v>
      </c>
    </row>
    <row r="12" spans="1:19">
      <c r="A12">
        <v>4.5</v>
      </c>
      <c r="B12">
        <v>50</v>
      </c>
      <c r="C12">
        <v>55</v>
      </c>
      <c r="D12">
        <v>60</v>
      </c>
      <c r="E12">
        <v>65</v>
      </c>
      <c r="F12">
        <v>70</v>
      </c>
      <c r="G12">
        <v>75</v>
      </c>
      <c r="H12">
        <f t="shared" si="1"/>
        <v>42.5</v>
      </c>
      <c r="I12">
        <v>0.34499999999999997</v>
      </c>
      <c r="J12">
        <v>71000</v>
      </c>
      <c r="K12" s="13">
        <f t="shared" si="2"/>
        <v>1.7649431385610963E-2</v>
      </c>
      <c r="L12" s="13">
        <f t="shared" si="0"/>
        <v>1.160726570964247E-2</v>
      </c>
      <c r="M12" s="13">
        <f t="shared" si="0"/>
        <v>9.0478416229081791E-3</v>
      </c>
      <c r="N12" s="13">
        <f t="shared" si="0"/>
        <v>7.6460673927284646E-3</v>
      </c>
      <c r="O12" s="13">
        <f t="shared" si="0"/>
        <v>6.768301856594109E-3</v>
      </c>
      <c r="P12" s="13">
        <f t="shared" si="0"/>
        <v>6.1711531257923986E-3</v>
      </c>
    </row>
    <row r="13" spans="1:19">
      <c r="A13">
        <v>5</v>
      </c>
      <c r="B13">
        <v>50</v>
      </c>
      <c r="C13">
        <v>55</v>
      </c>
      <c r="D13">
        <v>60</v>
      </c>
      <c r="E13">
        <v>65</v>
      </c>
      <c r="F13">
        <v>70</v>
      </c>
      <c r="G13">
        <v>75</v>
      </c>
      <c r="H13">
        <f t="shared" si="1"/>
        <v>42.5</v>
      </c>
      <c r="I13">
        <v>0.34499999999999997</v>
      </c>
      <c r="J13">
        <v>71000</v>
      </c>
      <c r="K13" s="13">
        <f t="shared" si="2"/>
        <v>1.9610479317345515E-2</v>
      </c>
      <c r="L13" s="13">
        <f t="shared" si="0"/>
        <v>1.2896961899602743E-2</v>
      </c>
      <c r="M13" s="13">
        <f t="shared" si="0"/>
        <v>1.0053157358786867E-2</v>
      </c>
      <c r="N13" s="13">
        <f t="shared" si="0"/>
        <v>8.4956304363649603E-3</v>
      </c>
      <c r="O13" s="13">
        <f t="shared" si="0"/>
        <v>7.520335396215677E-3</v>
      </c>
      <c r="P13" s="13">
        <f t="shared" si="0"/>
        <v>6.8568368064359977E-3</v>
      </c>
    </row>
    <row r="14" spans="1:19">
      <c r="A14">
        <v>5.5</v>
      </c>
      <c r="B14">
        <v>50</v>
      </c>
      <c r="C14">
        <v>55</v>
      </c>
      <c r="D14">
        <v>60</v>
      </c>
      <c r="E14">
        <v>65</v>
      </c>
      <c r="F14">
        <v>70</v>
      </c>
      <c r="G14">
        <v>75</v>
      </c>
      <c r="H14">
        <f t="shared" si="1"/>
        <v>42.5</v>
      </c>
      <c r="I14">
        <v>0.34499999999999997</v>
      </c>
      <c r="J14">
        <v>71000</v>
      </c>
      <c r="K14" s="13">
        <f t="shared" si="2"/>
        <v>2.1571527249080066E-2</v>
      </c>
      <c r="L14" s="13">
        <f t="shared" si="0"/>
        <v>1.4186658089563018E-2</v>
      </c>
      <c r="M14" s="13">
        <f t="shared" si="0"/>
        <v>1.1058473094665552E-2</v>
      </c>
      <c r="N14" s="13">
        <f t="shared" si="0"/>
        <v>9.3451934800014569E-3</v>
      </c>
      <c r="O14" s="13">
        <f t="shared" si="0"/>
        <v>8.2723689358372449E-3</v>
      </c>
      <c r="P14" s="13">
        <f t="shared" si="0"/>
        <v>7.5425204870795976E-3</v>
      </c>
    </row>
    <row r="15" spans="1:19">
      <c r="A15">
        <v>6</v>
      </c>
      <c r="B15">
        <v>50</v>
      </c>
      <c r="C15">
        <v>55</v>
      </c>
      <c r="D15">
        <v>60</v>
      </c>
      <c r="E15">
        <v>65</v>
      </c>
      <c r="F15">
        <v>70</v>
      </c>
      <c r="G15">
        <v>75</v>
      </c>
      <c r="H15">
        <f t="shared" si="1"/>
        <v>42.5</v>
      </c>
      <c r="I15">
        <v>0.34499999999999997</v>
      </c>
      <c r="J15">
        <v>71000</v>
      </c>
      <c r="K15" s="13">
        <f t="shared" si="2"/>
        <v>2.3532575180814617E-2</v>
      </c>
      <c r="L15" s="13">
        <f t="shared" si="0"/>
        <v>1.5476354279523293E-2</v>
      </c>
      <c r="M15" s="13">
        <f t="shared" si="0"/>
        <v>1.206378883054424E-2</v>
      </c>
      <c r="N15" s="13">
        <f t="shared" si="0"/>
        <v>1.0194756523637952E-2</v>
      </c>
      <c r="O15" s="13">
        <f t="shared" si="0"/>
        <v>9.024402475458812E-3</v>
      </c>
      <c r="P15" s="13">
        <f t="shared" si="0"/>
        <v>8.2282041677231976E-3</v>
      </c>
    </row>
    <row r="16" spans="1:19">
      <c r="A16">
        <v>6.5</v>
      </c>
      <c r="B16">
        <v>50</v>
      </c>
      <c r="C16">
        <v>55</v>
      </c>
      <c r="D16">
        <v>60</v>
      </c>
      <c r="E16">
        <v>65</v>
      </c>
      <c r="F16">
        <v>70</v>
      </c>
      <c r="G16">
        <v>75</v>
      </c>
      <c r="H16">
        <f t="shared" si="1"/>
        <v>42.5</v>
      </c>
      <c r="I16">
        <v>0.34499999999999997</v>
      </c>
      <c r="J16">
        <v>71000</v>
      </c>
      <c r="K16" s="13">
        <f t="shared" si="2"/>
        <v>2.5493623112549168E-2</v>
      </c>
      <c r="L16" s="13">
        <f t="shared" si="0"/>
        <v>1.6766050469483568E-2</v>
      </c>
      <c r="M16" s="13">
        <f t="shared" si="0"/>
        <v>1.3069104566422927E-2</v>
      </c>
      <c r="N16" s="13">
        <f t="shared" si="0"/>
        <v>1.104431956727445E-2</v>
      </c>
      <c r="O16" s="13">
        <f t="shared" si="0"/>
        <v>9.7764360150803808E-3</v>
      </c>
      <c r="P16" s="13">
        <f t="shared" si="0"/>
        <v>8.9138878483667975E-3</v>
      </c>
    </row>
    <row r="17" spans="1:16">
      <c r="A17">
        <v>7</v>
      </c>
      <c r="B17">
        <v>50</v>
      </c>
      <c r="C17">
        <v>55</v>
      </c>
      <c r="D17">
        <v>60</v>
      </c>
      <c r="E17">
        <v>65</v>
      </c>
      <c r="F17">
        <v>70</v>
      </c>
      <c r="G17">
        <v>75</v>
      </c>
      <c r="H17">
        <f t="shared" si="1"/>
        <v>42.5</v>
      </c>
      <c r="I17">
        <v>0.34499999999999997</v>
      </c>
      <c r="J17">
        <v>71000</v>
      </c>
      <c r="K17" s="13">
        <f t="shared" si="2"/>
        <v>2.7454671044283719E-2</v>
      </c>
      <c r="L17" s="13">
        <f t="shared" si="0"/>
        <v>1.8055746659443844E-2</v>
      </c>
      <c r="M17" s="13">
        <f t="shared" si="0"/>
        <v>1.4074420302301613E-2</v>
      </c>
      <c r="N17" s="13">
        <f t="shared" si="0"/>
        <v>1.1893882610910945E-2</v>
      </c>
      <c r="O17" s="13">
        <f t="shared" si="0"/>
        <v>1.0528469554701948E-2</v>
      </c>
      <c r="P17" s="13">
        <f t="shared" si="0"/>
        <v>9.5995715290103974E-3</v>
      </c>
    </row>
    <row r="18" spans="1:16">
      <c r="A18">
        <v>7.5</v>
      </c>
      <c r="B18">
        <v>50</v>
      </c>
      <c r="C18">
        <v>55</v>
      </c>
      <c r="D18">
        <v>60</v>
      </c>
      <c r="E18">
        <v>65</v>
      </c>
      <c r="F18">
        <v>70</v>
      </c>
      <c r="G18">
        <v>75</v>
      </c>
      <c r="H18">
        <f t="shared" si="1"/>
        <v>42.5</v>
      </c>
      <c r="I18">
        <v>0.34499999999999997</v>
      </c>
      <c r="J18">
        <v>71000</v>
      </c>
      <c r="K18" s="13">
        <f t="shared" si="2"/>
        <v>2.941571897601827E-2</v>
      </c>
      <c r="L18" s="13">
        <f t="shared" si="0"/>
        <v>1.9345442849404117E-2</v>
      </c>
      <c r="M18" s="13">
        <f t="shared" si="0"/>
        <v>1.5079736038180301E-2</v>
      </c>
      <c r="N18" s="13">
        <f t="shared" si="0"/>
        <v>1.2743445654547441E-2</v>
      </c>
      <c r="O18" s="13">
        <f t="shared" si="0"/>
        <v>1.1280503094323515E-2</v>
      </c>
      <c r="P18" s="13">
        <f t="shared" si="0"/>
        <v>1.0285255209653997E-2</v>
      </c>
    </row>
    <row r="19" spans="1:16">
      <c r="A19">
        <v>8</v>
      </c>
      <c r="B19">
        <v>50</v>
      </c>
      <c r="C19">
        <v>55</v>
      </c>
      <c r="D19">
        <v>60</v>
      </c>
      <c r="E19">
        <v>65</v>
      </c>
      <c r="F19">
        <v>70</v>
      </c>
      <c r="G19">
        <v>75</v>
      </c>
      <c r="H19">
        <f t="shared" si="1"/>
        <v>42.5</v>
      </c>
      <c r="I19">
        <v>0.34499999999999997</v>
      </c>
      <c r="J19">
        <v>71000</v>
      </c>
      <c r="K19" s="13">
        <f t="shared" si="2"/>
        <v>3.1376766907752825E-2</v>
      </c>
      <c r="L19" s="13">
        <f t="shared" ref="L19:P23" si="3">($A19*$H19/$J19)*((C19^2+$H19^2)/(C19^2-$H19^2)+$I19)</f>
        <v>2.063513903936439E-2</v>
      </c>
      <c r="M19" s="13">
        <f t="shared" si="3"/>
        <v>1.6085051774058987E-2</v>
      </c>
      <c r="N19" s="13">
        <f t="shared" si="3"/>
        <v>1.3593008698183938E-2</v>
      </c>
      <c r="O19" s="13">
        <f t="shared" si="3"/>
        <v>1.2032536633945084E-2</v>
      </c>
      <c r="P19" s="13">
        <f t="shared" si="3"/>
        <v>1.0970938890297597E-2</v>
      </c>
    </row>
    <row r="20" spans="1:16">
      <c r="A20">
        <v>8.5</v>
      </c>
      <c r="B20">
        <v>50</v>
      </c>
      <c r="C20">
        <v>55</v>
      </c>
      <c r="D20">
        <v>60</v>
      </c>
      <c r="E20">
        <v>65</v>
      </c>
      <c r="F20">
        <v>70</v>
      </c>
      <c r="G20">
        <v>75</v>
      </c>
      <c r="H20">
        <f t="shared" si="1"/>
        <v>42.5</v>
      </c>
      <c r="I20">
        <v>0.34499999999999997</v>
      </c>
      <c r="J20">
        <v>71000</v>
      </c>
      <c r="K20" s="13">
        <f t="shared" si="2"/>
        <v>3.3337814839487376E-2</v>
      </c>
      <c r="L20" s="13">
        <f t="shared" si="3"/>
        <v>2.1924835229324664E-2</v>
      </c>
      <c r="M20" s="13">
        <f t="shared" si="3"/>
        <v>1.7090367509937674E-2</v>
      </c>
      <c r="N20" s="13">
        <f t="shared" si="3"/>
        <v>1.4442571741820433E-2</v>
      </c>
      <c r="O20" s="13">
        <f t="shared" si="3"/>
        <v>1.2784570173566651E-2</v>
      </c>
      <c r="P20" s="13">
        <f t="shared" si="3"/>
        <v>1.1656622570941197E-2</v>
      </c>
    </row>
    <row r="21" spans="1:16">
      <c r="A21">
        <v>9</v>
      </c>
      <c r="B21">
        <v>50</v>
      </c>
      <c r="C21">
        <v>55</v>
      </c>
      <c r="D21">
        <v>60</v>
      </c>
      <c r="E21">
        <v>65</v>
      </c>
      <c r="F21">
        <v>70</v>
      </c>
      <c r="G21">
        <v>75</v>
      </c>
      <c r="H21">
        <f t="shared" si="1"/>
        <v>42.5</v>
      </c>
      <c r="I21">
        <v>0.34499999999999997</v>
      </c>
      <c r="J21">
        <v>71000</v>
      </c>
      <c r="K21" s="13">
        <f t="shared" si="2"/>
        <v>3.5298862771221927E-2</v>
      </c>
      <c r="L21" s="13">
        <f t="shared" si="3"/>
        <v>2.321453141928494E-2</v>
      </c>
      <c r="M21" s="13">
        <f t="shared" si="3"/>
        <v>1.8095683245816358E-2</v>
      </c>
      <c r="N21" s="13">
        <f t="shared" si="3"/>
        <v>1.5292134785456929E-2</v>
      </c>
      <c r="O21" s="13">
        <f t="shared" si="3"/>
        <v>1.3536603713188218E-2</v>
      </c>
      <c r="P21" s="13">
        <f t="shared" si="3"/>
        <v>1.2342306251584797E-2</v>
      </c>
    </row>
    <row r="22" spans="1:16">
      <c r="A22">
        <v>9.5</v>
      </c>
      <c r="B22">
        <v>50</v>
      </c>
      <c r="C22">
        <v>55</v>
      </c>
      <c r="D22">
        <v>60</v>
      </c>
      <c r="E22">
        <v>65</v>
      </c>
      <c r="F22">
        <v>70</v>
      </c>
      <c r="G22">
        <v>75</v>
      </c>
      <c r="H22">
        <f t="shared" si="1"/>
        <v>42.5</v>
      </c>
      <c r="I22">
        <v>0.34499999999999997</v>
      </c>
      <c r="J22">
        <v>71000</v>
      </c>
      <c r="K22" s="13">
        <f t="shared" si="2"/>
        <v>3.7259910702956478E-2</v>
      </c>
      <c r="L22" s="13">
        <f t="shared" si="3"/>
        <v>2.4504227609245213E-2</v>
      </c>
      <c r="M22" s="13">
        <f t="shared" si="3"/>
        <v>1.9100998981695046E-2</v>
      </c>
      <c r="N22" s="13">
        <f t="shared" si="3"/>
        <v>1.6141697829093426E-2</v>
      </c>
      <c r="O22" s="13">
        <f t="shared" si="3"/>
        <v>1.4288637252809787E-2</v>
      </c>
      <c r="P22" s="13">
        <f t="shared" si="3"/>
        <v>1.3027989932228395E-2</v>
      </c>
    </row>
    <row r="23" spans="1:16">
      <c r="A23">
        <v>10</v>
      </c>
      <c r="B23">
        <v>50</v>
      </c>
      <c r="C23">
        <v>55</v>
      </c>
      <c r="D23">
        <v>60</v>
      </c>
      <c r="E23">
        <v>65</v>
      </c>
      <c r="F23">
        <v>70</v>
      </c>
      <c r="G23">
        <v>75</v>
      </c>
      <c r="H23">
        <f t="shared" si="1"/>
        <v>42.5</v>
      </c>
      <c r="I23">
        <v>0.34499999999999997</v>
      </c>
      <c r="J23">
        <v>71000</v>
      </c>
      <c r="K23" s="13">
        <f t="shared" si="2"/>
        <v>3.9220958634691029E-2</v>
      </c>
      <c r="L23" s="13">
        <f t="shared" si="3"/>
        <v>2.5793923799205486E-2</v>
      </c>
      <c r="M23" s="13">
        <f t="shared" si="3"/>
        <v>2.0106314717573733E-2</v>
      </c>
      <c r="N23" s="13">
        <f t="shared" si="3"/>
        <v>1.6991260872729921E-2</v>
      </c>
      <c r="O23" s="13">
        <f t="shared" si="3"/>
        <v>1.5040670792431354E-2</v>
      </c>
      <c r="P23" s="13">
        <f t="shared" si="3"/>
        <v>1.3713673612871995E-2</v>
      </c>
    </row>
  </sheetData>
  <phoneticPr fontId="1"/>
  <hyperlinks>
    <hyperlink ref="A1" r:id="rId1" xr:uid="{00000000-0004-0000-0300-000000000000}"/>
  </hyperlinks>
  <pageMargins left="0.7" right="0.7" top="0.75" bottom="0.75" header="0.3" footer="0.3"/>
  <pageSetup paperSize="9" orientation="portrait" horizontalDpi="300" verticalDpi="300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97308-FBBF-4EE8-A0F6-1E6BC5A0B069}">
  <sheetPr codeName="Sheet12"/>
  <dimension ref="A1:I46"/>
  <sheetViews>
    <sheetView topLeftCell="D31" workbookViewId="0">
      <selection activeCell="G45" sqref="G45"/>
    </sheetView>
  </sheetViews>
  <sheetFormatPr defaultRowHeight="17.649999999999999"/>
  <sheetData>
    <row r="1" spans="1:4">
      <c r="A1" t="s">
        <v>256</v>
      </c>
      <c r="B1">
        <v>40</v>
      </c>
    </row>
    <row r="2" spans="1:4">
      <c r="A2" t="s">
        <v>257</v>
      </c>
      <c r="B2">
        <v>60</v>
      </c>
    </row>
    <row r="3" spans="1:4">
      <c r="A3" t="s">
        <v>258</v>
      </c>
      <c r="B3">
        <v>45</v>
      </c>
    </row>
    <row r="4" spans="1:4">
      <c r="A4" t="s">
        <v>259</v>
      </c>
      <c r="B4">
        <v>50</v>
      </c>
    </row>
    <row r="5" spans="1:4">
      <c r="A5" t="s">
        <v>260</v>
      </c>
      <c r="B5">
        <f>(B1^2*(B4^2+B2^2))
/(B4^2*(B2^2-B1^2))*B3</f>
        <v>87.84</v>
      </c>
      <c r="D5">
        <f>B3*(1+(B2/B4)^2)/((B2/B1)^2-1)</f>
        <v>87.84</v>
      </c>
    </row>
    <row r="8" spans="1:4">
      <c r="D8" t="s">
        <v>261</v>
      </c>
    </row>
    <row r="9" spans="1:4">
      <c r="B9" t="s">
        <v>262</v>
      </c>
    </row>
    <row r="16" spans="1:4">
      <c r="A16" t="s">
        <v>256</v>
      </c>
      <c r="B16">
        <v>40</v>
      </c>
    </row>
    <row r="17" spans="1:2">
      <c r="A17" t="s">
        <v>257</v>
      </c>
      <c r="B17">
        <v>60</v>
      </c>
    </row>
    <row r="18" spans="1:2">
      <c r="A18" t="s">
        <v>265</v>
      </c>
      <c r="B18">
        <v>0</v>
      </c>
    </row>
    <row r="19" spans="1:2">
      <c r="A19" t="s">
        <v>264</v>
      </c>
      <c r="B19">
        <v>45</v>
      </c>
    </row>
    <row r="20" spans="1:2">
      <c r="A20" t="s">
        <v>259</v>
      </c>
      <c r="B20">
        <v>40</v>
      </c>
    </row>
    <row r="21" spans="1:2">
      <c r="B21">
        <f>(B18*B16^2*(B17^2+B20^2)-B19*B17^2*(B20^2+B16^2))
/((B17^2-B16^2)*B20^2)</f>
        <v>-162</v>
      </c>
    </row>
    <row r="22" spans="1:2">
      <c r="B22" t="s">
        <v>266</v>
      </c>
    </row>
    <row r="46" spans="9:9">
      <c r="I46" t="s">
        <v>267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188EE1-70BF-433F-B6A0-0BAF0E44308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22</vt:i4>
      </vt:variant>
    </vt:vector>
  </HeadingPairs>
  <TitlesOfParts>
    <vt:vector size="34" baseType="lpstr">
      <vt:lpstr>寸法→圧入力</vt:lpstr>
      <vt:lpstr>Sheet1</vt:lpstr>
      <vt:lpstr>グラフ</vt:lpstr>
      <vt:lpstr>外力→寸法</vt:lpstr>
      <vt:lpstr>外力→寸法(焼き嵌め）</vt:lpstr>
      <vt:lpstr>はめあい公差表</vt:lpstr>
      <vt:lpstr>Sheet4</vt:lpstr>
      <vt:lpstr>Material Table</vt:lpstr>
      <vt:lpstr>圧入力推定</vt:lpstr>
      <vt:lpstr>圧入力推定 (2)</vt:lpstr>
      <vt:lpstr>円筒近似</vt:lpstr>
      <vt:lpstr>円周応力</vt:lpstr>
      <vt:lpstr>グラフ!Linear_Expansion_Coefficient_List</vt:lpstr>
      <vt:lpstr>'外力→寸法(焼き嵌め）'!Linear_Expansion_Coefficient_List</vt:lpstr>
      <vt:lpstr>寸法→圧入力!Linear_Expansion_Coefficient_List</vt:lpstr>
      <vt:lpstr>Linear_Expansion_Coefficient_List</vt:lpstr>
      <vt:lpstr>グラフ!Material_List</vt:lpstr>
      <vt:lpstr>'外力→寸法(焼き嵌め）'!Material_List</vt:lpstr>
      <vt:lpstr>寸法→圧入力!Material_List</vt:lpstr>
      <vt:lpstr>Material_List</vt:lpstr>
      <vt:lpstr>グラフ!Poissons_Ratio_List</vt:lpstr>
      <vt:lpstr>'外力→寸法(焼き嵌め）'!Poissons_Ratio_List</vt:lpstr>
      <vt:lpstr>寸法→圧入力!Poissons_Ratio_List</vt:lpstr>
      <vt:lpstr>Poissons_Ratio_List</vt:lpstr>
      <vt:lpstr>グラフ!Yield_Point_List</vt:lpstr>
      <vt:lpstr>'外力→寸法(焼き嵌め）'!Yield_Point_List</vt:lpstr>
      <vt:lpstr>寸法→圧入力!Yield_Point_List</vt:lpstr>
      <vt:lpstr>Yield_Point_List</vt:lpstr>
      <vt:lpstr>グラフ!Youngs_Modulus_List</vt:lpstr>
      <vt:lpstr>'外力→寸法(焼き嵌め）'!Youngs_Modulus_List</vt:lpstr>
      <vt:lpstr>寸法→圧入力!Youngs_Modulus_List</vt:lpstr>
      <vt:lpstr>Youngs_Modulus_List</vt:lpstr>
      <vt:lpstr>穴を軸に圧入</vt:lpstr>
      <vt:lpstr>軸を穴に圧入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2021-03-13T14:48:09Z</dcterms:modified>
</cp:coreProperties>
</file>