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Объединенные данные" sheetId="3" r:id="rId6"/>
    <sheet state="visible" name="Pivot Table 4" sheetId="4" r:id="rId7"/>
    <sheet state="visible" name="2.1. топ 3 территорий по доле в" sheetId="5" r:id="rId8"/>
    <sheet state="visible" name="2.1. топ 3 территорий по доле н" sheetId="6" r:id="rId9"/>
    <sheet state="visible" name="график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sQBC5KcPI7krFWUWvLUpyjT/vLl0mKFlyA/W3LLh/Xw="/>
    </ext>
  </extLst>
</workbook>
</file>

<file path=xl/sharedStrings.xml><?xml version="1.0" encoding="utf-8"?>
<sst xmlns="http://schemas.openxmlformats.org/spreadsheetml/2006/main" count="1119" uniqueCount="35">
  <si>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</si>
  <si>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</si>
  <si>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</si>
  <si>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</si>
  <si>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</si>
  <si>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</si>
  <si>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</si>
  <si>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</si>
  <si>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</si>
  <si>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</si>
  <si>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</si>
  <si>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</si>
  <si>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</si>
  <si>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</si>
  <si>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</si>
  <si>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</si>
  <si>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</si>
  <si>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</si>
  <si>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</si>
  <si>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</si>
  <si>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</si>
  <si>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</si>
  <si>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</si>
  <si>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</si>
  <si>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</si>
  <si>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</si>
  <si>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</si>
  <si>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неделя</t>
  </si>
  <si>
    <t>Наценка %</t>
  </si>
  <si>
    <t>Доходность %</t>
  </si>
  <si>
    <t>Values</t>
  </si>
  <si>
    <t>Grand Total</t>
  </si>
  <si>
    <t>SUM of Товарооборот, руб</t>
  </si>
  <si>
    <t>SUM of Доходность %</t>
  </si>
  <si>
    <t>Доля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</si>
</sst>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2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/>
      <right/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3" fontId="2" numFmtId="164" xfId="0" applyBorder="1" applyFill="1" applyFont="1" applyNumberFormat="1"/>
    <xf borderId="2" fillId="3" fontId="2" numFmtId="0" xfId="0" applyBorder="1" applyFont="1"/>
    <xf borderId="3" fillId="3" fontId="2" numFmtId="0" xfId="0" applyBorder="1" applyFont="1"/>
    <xf borderId="5" fillId="0" fontId="2" numFmtId="164" xfId="0" applyBorder="1" applyFont="1" applyNumberFormat="1"/>
    <xf borderId="6" fillId="0" fontId="2" numFmtId="0" xfId="0" applyBorder="1" applyFont="1"/>
    <xf borderId="7" fillId="0" fontId="2" numFmtId="0" xfId="0" applyBorder="1" applyFont="1"/>
    <xf borderId="8" fillId="0" fontId="2" numFmtId="164" xfId="0" applyBorder="1" applyFont="1" applyNumberFormat="1"/>
    <xf borderId="9" fillId="0" fontId="2" numFmtId="0" xfId="0" applyBorder="1" applyFont="1"/>
    <xf borderId="10" fillId="0" fontId="2" numFmtId="0" xfId="0" applyBorder="1" applyFon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4" numFmtId="164" xfId="0" applyFont="1" applyNumberFormat="1"/>
    <xf borderId="11" fillId="0" fontId="4" numFmtId="0" xfId="0" applyAlignment="1" applyBorder="1" applyFont="1">
      <alignment horizontal="center"/>
    </xf>
    <xf borderId="11" fillId="0" fontId="4" numFmtId="164" xfId="0" applyAlignment="1" applyBorder="1" applyFont="1" applyNumberFormat="1">
      <alignment horizontal="center"/>
    </xf>
    <xf borderId="11" fillId="0" fontId="4" numFmtId="0" xfId="0" applyAlignment="1" applyBorder="1" applyFont="1">
      <alignment horizontal="center" readingOrder="0"/>
    </xf>
    <xf borderId="11" fillId="0" fontId="4" numFmtId="0" xfId="0" applyBorder="1" applyFont="1"/>
    <xf borderId="11" fillId="0" fontId="4" numFmtId="10" xfId="0" applyBorder="1" applyFont="1" applyNumberFormat="1"/>
    <xf borderId="11" fillId="0" fontId="4" numFmtId="164" xfId="0" applyBorder="1" applyFont="1" applyNumberFormat="1"/>
    <xf borderId="1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Товарооборот, руб и Доходность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'график'!$B$2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'график'!$A$3:$A$20</c:f>
            </c:strRef>
          </c:cat>
          <c:val>
            <c:numRef>
              <c:f>'график'!$B$3:$B$20</c:f>
              <c:numCache/>
            </c:numRef>
          </c:val>
          <c:smooth val="0"/>
        </c:ser>
        <c:ser>
          <c:idx val="1"/>
          <c:order val="1"/>
          <c:tx>
            <c:strRef>
              <c:f>'график'!$C$2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'график'!$A$3:$A$20</c:f>
            </c:strRef>
          </c:cat>
          <c:val>
            <c:numRef>
              <c:f>'график'!$C$3:$C$20</c:f>
              <c:numCache/>
            </c:numRef>
          </c:val>
          <c:smooth val="0"/>
        </c:ser>
        <c:axId val="2140344001"/>
        <c:axId val="115128486"/>
      </c:lineChart>
      <c:catAx>
        <c:axId val="214034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Территория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28486"/>
      </c:catAx>
      <c:valAx>
        <c:axId val="115128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344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2</xdr:row>
      <xdr:rowOff>171450</xdr:rowOff>
    </xdr:from>
    <xdr:ext cx="5715000" cy="3533775"/>
    <xdr:graphicFrame>
      <xdr:nvGraphicFramePr>
        <xdr:cNvPr id="202812960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9" sheet="Объединенные данные"/>
  </cacheSource>
  <cacheFields>
    <cacheField name="Дата" numFmtId="164">
      <sharedItems containsSemiMixedTypes="0" containsDate="1" containsString="0">
        <d v="2020-05-31T00:00:00Z"/>
        <d v="2020-05-30T00:00:00Z"/>
        <d v="2020-05-28T00:00:00Z"/>
        <d v="2020-05-16T00:00:00Z"/>
        <d v="2020-05-19T00:00:00Z"/>
        <d v="2020-05-17T00:00:00Z"/>
        <d v="2020-05-09T00:00:00Z"/>
        <d v="2020-05-04T00:00:00Z"/>
        <d v="2020-04-29T00:00:00Z"/>
        <d v="2020-05-02T00:00:00Z"/>
        <d v="2020-05-26T00:00:00Z"/>
        <d v="2020-05-01T00:00:00Z"/>
        <d v="2020-05-12T00:00:00Z"/>
        <d v="2020-05-21T00:00:00Z"/>
        <d v="2020-05-20T00:00:00Z"/>
        <d v="2020-05-05T00:00:00Z"/>
        <d v="2020-04-28T00:00:00Z"/>
        <d v="2020-05-13T00:00:00Z"/>
        <d v="2020-05-03T00:00:00Z"/>
        <d v="2020-05-06T00:00:00Z"/>
        <d v="2020-05-23T00:00:00Z"/>
        <d v="2020-05-25T00:00:00Z"/>
        <d v="2020-04-30T00:00:00Z"/>
        <d v="2020-05-10T00:00:00Z"/>
        <d v="2020-05-08T00:00:00Z"/>
        <d v="2020-05-07T00:00:00Z"/>
        <d v="2020-05-24T00:00:00Z"/>
        <d v="2020-06-01T00:00:00Z"/>
        <d v="2020-05-29T00:00:00Z"/>
        <d v="2020-05-27T00:00:00Z"/>
        <d v="2020-05-22T00:00:00Z"/>
        <d v="2020-05-11T00:00:00Z"/>
        <d v="2020-05-18T00:00:00Z"/>
        <d v="2020-05-14T00:00:00Z"/>
        <d v="2020-05-15T00:00:00Z"/>
      </sharedItems>
    </cacheField>
    <cacheField name="Территория" numFmtId="0">
      <sharedItems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>
        <n v="7944.0"/>
        <n v="10029.0"/>
        <n v="8536.5"/>
        <n v="38947.5"/>
        <n v="31842.0"/>
        <n v="32023.5"/>
        <n v="31147.5"/>
        <n v="25566.0"/>
        <n v="29319.0"/>
        <n v="29031.0"/>
        <n v="33423.0"/>
        <n v="32487.0"/>
        <n v="28219.5"/>
        <n v="31272.0"/>
        <n v="34077.0"/>
        <n v="31566.0"/>
        <n v="26940.0"/>
        <n v="29241.0"/>
        <n v="26082.0"/>
        <n v="32511.0"/>
        <n v="42703.5"/>
        <n v="35592.0"/>
        <n v="30445.5"/>
        <n v="36619.5"/>
        <n v="29409.0"/>
        <n v="27018.0"/>
        <n v="34303.5"/>
        <n v="36999.0"/>
        <n v="44001.0"/>
        <n v="30982.5"/>
        <n v="88063.5"/>
        <n v="84024.0"/>
        <n v="78057.0"/>
        <n v="69720.0"/>
        <n v="72928.5"/>
        <n v="79527.0"/>
        <n v="60463.5"/>
        <n v="79975.5"/>
        <n v="97534.5"/>
        <n v="71520.0"/>
        <n v="79485.0"/>
        <n v="93313.5"/>
        <n v="76585.5"/>
        <n v="81826.5"/>
        <n v="78846.0"/>
        <n v="77263.5"/>
        <n v="68994.0"/>
        <n v="102889.5"/>
        <n v="76999.5"/>
        <n v="77565.0"/>
        <n v="84132.0"/>
        <n v="69544.5"/>
        <n v="73204.5"/>
        <n v="76663.5"/>
        <n v="14265.0"/>
        <n v="11526.0"/>
        <n v="10402.5"/>
        <n v="13216.5"/>
        <n v="9130.5"/>
        <n v="10840.5"/>
        <n v="7866.0"/>
        <n v="11835.0"/>
        <n v="11619.0"/>
        <n v="9328.5"/>
        <n v="11250.0"/>
        <n v="13063.5"/>
        <n v="10147.5"/>
        <n v="12331.5"/>
        <n v="11202.0"/>
        <n v="89149.5"/>
        <n v="8185.5"/>
        <n v="108123.0"/>
        <n v="9210.0"/>
        <n v="14773.5"/>
        <n v="78141.0"/>
        <n v="12280.5"/>
        <n v="8934.0"/>
        <n v="12918.0"/>
        <n v="12528.0"/>
        <n v="11029.5"/>
        <n v="9994.5"/>
        <n v="12724.5"/>
        <n v="14728.5"/>
        <n v="13038.0"/>
        <n v="35482.5"/>
        <n v="32434.5"/>
        <n v="30486.0"/>
        <n v="32079.0"/>
        <n v="27072.0"/>
        <n v="25917.0"/>
        <n v="19461.0"/>
        <n v="31407.0"/>
        <n v="25792.5"/>
        <n v="26032.5"/>
        <n v="31707.0"/>
        <n v="29955.0"/>
        <n v="22848.0"/>
        <n v="23314.5"/>
        <n v="26464.5"/>
        <n v="23539.5"/>
        <n v="24678.0"/>
        <n v="38176.5"/>
        <n v="30603.0"/>
        <n v="24211.5"/>
        <n v="31399.5"/>
        <n v="25294.5"/>
        <n v="25468.5"/>
        <n v="31854.0"/>
        <n v="32359.5"/>
        <n v="39867.0"/>
        <n v="31974.0"/>
        <n v="321412.5"/>
        <n v="276568.5"/>
        <n v="269029.5"/>
        <n v="285972.0"/>
        <n v="283942.5"/>
        <n v="298059.0"/>
        <n v="232903.5"/>
        <n v="276966.0"/>
        <n v="296149.5"/>
        <n v="281796.0"/>
        <n v="288936.0"/>
        <n v="300151.5"/>
        <n v="262734.0"/>
        <n v="286002.0"/>
        <n v="258459.0"/>
        <n v="274083.0"/>
        <n v="277512.0"/>
        <n v="356982.0"/>
        <n v="266983.5"/>
        <n v="311131.5"/>
        <n v="287206.5"/>
        <n v="370092.0"/>
        <n v="247813.5"/>
        <n v="287740.5"/>
        <n v="408810.0"/>
        <n v="362536.5"/>
        <n v="357072.0"/>
        <n v="359214.0"/>
        <n v="360255.0"/>
        <n v="387220.5"/>
        <n v="296580.0"/>
        <n v="369861.0"/>
        <n v="372504.0"/>
        <n v="373392.0"/>
        <n v="378043.5"/>
        <n v="388668.0"/>
        <n v="333792.0"/>
        <n v="376060.5"/>
        <n v="350068.5"/>
        <n v="294337.5"/>
        <n v="342666.0"/>
        <n v="364882.5"/>
        <n v="355278.0"/>
        <n v="456885.0"/>
        <n v="278491.5"/>
        <n v="349734.0"/>
        <n v="401580.0"/>
        <n v="368649.0"/>
        <n v="463530.0"/>
        <n v="319110.0"/>
        <n v="375744.0"/>
        <n v="81331.5"/>
        <n v="75796.5"/>
        <n v="72861.0"/>
        <n v="83373.0"/>
        <n v="64108.5"/>
        <n v="74707.5"/>
        <n v="46216.5"/>
        <n v="67726.5"/>
        <n v="82228.5"/>
        <n v="64390.5"/>
        <n v="73126.5"/>
        <n v="99631.5"/>
        <n v="66396.0"/>
        <n v="73147.5"/>
        <n v="73062.0"/>
        <n v="379663.5"/>
        <n v="70581.0"/>
        <n v="453123.0"/>
        <n v="63012.0"/>
        <n v="89556.0"/>
        <n v="364638.0"/>
        <n v="66316.5"/>
        <n v="78235.5"/>
        <n v="88311.0"/>
        <n v="61804.5"/>
        <n v="71067.0"/>
        <n v="74649.0"/>
        <n v="44560.5"/>
        <n v="38250.0"/>
        <n v="34830.0"/>
        <n v="32239.5"/>
        <n v="30780.0"/>
        <n v="29142.0"/>
        <n v="26428.5"/>
        <n v="40744.5"/>
        <n v="46620.0"/>
        <n v="32419.5"/>
        <n v="40819.5"/>
        <n v="41391.0"/>
        <n v="29482.5"/>
        <n v="32181.0"/>
        <n v="35535.0"/>
        <n v="76234.5"/>
        <n v="29935.5"/>
        <n v="106926.0"/>
        <n v="30342.0"/>
        <n v="42999.0"/>
        <n v="69945.0"/>
        <n v="38740.5"/>
        <n v="31231.5"/>
        <n v="37489.5"/>
        <n v="34399.5"/>
        <n v="32851.5"/>
        <n v="38194.5"/>
        <n v="42423.0"/>
        <n v="48286.5"/>
        <n v="41442.0"/>
        <n v="18600.0"/>
        <n v="16638.0"/>
        <n v="15609.0"/>
        <n v="13948.5"/>
        <n v="12301.5"/>
        <n v="13014.0"/>
        <n v="12313.5"/>
        <n v="17391.0"/>
        <n v="17113.5"/>
        <n v="12802.5"/>
        <n v="16554.0"/>
        <n v="17329.5"/>
        <n v="15987.0"/>
        <n v="13303.5"/>
        <n v="14305.5"/>
        <n v="12924.0"/>
        <n v="14061.0"/>
        <n v="21958.5"/>
        <n v="17211.0"/>
        <n v="12753.0"/>
        <n v="16435.5"/>
        <n v="14494.5"/>
        <n v="12705.0"/>
        <n v="18075.0"/>
        <n v="13120.5"/>
        <n v="16237.5"/>
        <n v="11967.0"/>
        <n v="12037.5"/>
        <n v="7087.5"/>
        <n v="25816.5"/>
        <n v="4624.5"/>
        <n v="12259.5"/>
        <n v="5446.5"/>
        <n v="11296.5"/>
        <n v="12135.0"/>
        <n v="12630.0"/>
        <n v="8223.0"/>
        <n v="25149.0"/>
        <n v="10401.0"/>
        <n v="17689.5"/>
        <n v="8127.0"/>
        <n v="27250.5"/>
        <n v="8464.5"/>
        <n v="14167.5"/>
        <n v="16500.0"/>
        <n v="13260.0"/>
        <n v="4285.5"/>
        <n v="13440.0"/>
        <n v="9058.5"/>
        <n v="8719.5"/>
        <n v="12666.0"/>
        <n v="34563.0"/>
        <n v="28882.5"/>
        <n v="28275.0"/>
        <n v="26271.0"/>
        <n v="23587.5"/>
        <n v="18427.5"/>
        <n v="27156.0"/>
        <n v="35190.0"/>
        <n v="25483.5"/>
        <n v="25362.0"/>
        <n v="28849.5"/>
        <n v="26367.0"/>
        <n v="25539.0"/>
        <n v="14808.0"/>
        <n v="21343.5"/>
        <n v="17946.0"/>
        <n v="24337.5"/>
        <n v="36997.5"/>
        <n v="13864.5"/>
        <n v="28494.0"/>
        <n v="27883.5"/>
        <n v="31224.0"/>
        <n v="25020.0"/>
        <n v="26184.0"/>
        <n v="29824.5"/>
        <n v="208351.5"/>
        <n v="204637.5"/>
        <n v="31372.5"/>
        <n v="34681.5"/>
        <n v="28197.0"/>
        <n v="236551.5"/>
        <n v="223597.5"/>
        <n v="193363.5"/>
        <n v="188319.0"/>
        <n v="237544.5"/>
        <n v="203209.5"/>
        <n v="185979.0"/>
        <n v="244905.0"/>
        <n v="239409.0"/>
        <n v="192886.5"/>
        <n v="224233.5"/>
        <n v="219622.5"/>
        <n v="213582.0"/>
        <n v="195705.0"/>
        <n v="193722.0"/>
        <n v="257215.5"/>
        <n v="224779.5"/>
        <n v="292018.5"/>
        <n v="198751.5"/>
        <n v="214386.0"/>
        <n v="243825.0"/>
        <n v="232701.0"/>
        <n v="219411.0"/>
        <n v="200029.5"/>
        <n v="225480.0"/>
        <n v="211453.5"/>
        <n v="184801.5"/>
        <n v="177976.5"/>
        <n v="223617.0"/>
        <n v="176397.0"/>
        <n v="232369.5"/>
        <n v="226540.5"/>
        <n v="189679.5"/>
        <n v="213640.5"/>
        <n v="214885.5"/>
        <n v="203832.0"/>
        <n v="188662.5"/>
        <n v="215277.0"/>
        <n v="248148.0"/>
        <n v="246414.0"/>
        <n v="216498.0"/>
        <n v="275793.0"/>
        <n v="199753.5"/>
        <n v="192948.0"/>
        <n v="206038.5"/>
        <n v="231559.5"/>
        <n v="225076.5"/>
        <n v="209415.0"/>
        <n v="193719.0"/>
        <n v="12250.5"/>
        <n v="12541.5"/>
        <n v="206758.5"/>
        <n v="244734.0"/>
        <n v="191641.5"/>
        <n v="16368.0"/>
        <n v="14427.0"/>
        <n v="11745.0"/>
        <n v="11062.5"/>
        <n v="10018.5"/>
        <n v="10437.0"/>
        <n v="13644.0"/>
        <n v="13443.0"/>
        <n v="14182.5"/>
        <n v="14928.0"/>
        <n v="13941.0"/>
        <n v="14643.0"/>
        <n v="10032.0"/>
        <n v="12468.0"/>
        <n v="17943.0"/>
        <n v="15807.0"/>
        <n v="11976.0"/>
        <n v="14566.5"/>
        <n v="12976.5"/>
        <n v="11719.5"/>
        <n v="17197.5"/>
        <n v="14419.5"/>
        <n v="7816.5"/>
        <n v="6409.5"/>
        <n v="11220.0"/>
        <n v="8350.5"/>
        <n v="8428.5"/>
        <n v="32817.0"/>
        <n v="36031.5"/>
        <n v="5127.0"/>
        <n v="27187.5"/>
        <n v="20688.0"/>
        <n v="15678.0"/>
        <n v="31329.0"/>
        <n v="29658.0"/>
        <n v="34150.5"/>
        <n v="31947.0"/>
        <n v="10416.0"/>
        <n v="35431.5"/>
        <n v="78544.5"/>
        <n v="97963.5"/>
        <n v="77269.5"/>
        <n v="16143.0"/>
        <n v="72220.5"/>
        <n v="78058.5"/>
        <n v="70498.5"/>
        <n v="78961.5"/>
        <n v="12490.5"/>
        <n v="18036.0"/>
        <n v="11416.5"/>
        <n v="9007.5"/>
        <n v="87552.0"/>
        <n v="11680.5"/>
        <n v="14421.0"/>
        <n v="14823.0"/>
        <n v="31257.0"/>
        <n v="38074.5"/>
        <n v="32170.5"/>
        <n v="42397.5"/>
        <n v="28668.0"/>
        <n v="27411.0"/>
        <n v="32854.5"/>
        <n v="35346.0"/>
        <n v="286558.5"/>
        <n v="304092.0"/>
        <n v="272926.5"/>
        <n v="237099.0"/>
        <n v="273900.0"/>
        <n v="274059.0"/>
        <n v="318816.0"/>
        <n v="370012.5"/>
        <n v="393018.0"/>
        <n v="349699.5"/>
        <n v="318565.5"/>
        <n v="422965.5"/>
        <n v="355081.5"/>
        <n v="358387.5"/>
        <n v="403261.5"/>
        <n v="69010.5"/>
        <n v="75820.5"/>
        <n v="64740.0"/>
        <n v="59574.0"/>
        <n v="524481.0"/>
        <n v="70278.0"/>
        <n v="63645.0"/>
        <n v="75642.0"/>
        <n v="40420.5"/>
        <n v="53838.0"/>
        <n v="40528.5"/>
        <n v="32733.0"/>
        <n v="84433.5"/>
        <n v="36655.5"/>
        <n v="33886.5"/>
        <n v="41697.0"/>
        <n v="44569.5"/>
        <n v="18069.0"/>
        <n v="21483.0"/>
        <n v="16687.5"/>
        <n v="12238.5"/>
        <n v="14290.5"/>
        <n v="14385.0"/>
        <n v="16498.5"/>
        <n v="13203.0"/>
        <n v="15802.5"/>
        <n v="16476.0"/>
        <n v="12654.0"/>
        <n v="19647.0"/>
        <n v="12450.0"/>
        <n v="11161.5"/>
        <n v="12229.5"/>
        <n v="28050.0"/>
        <n v="30781.5"/>
        <n v="27960.0"/>
        <n v="23629.5"/>
        <n v="17052.0"/>
        <n v="27181.5"/>
        <n v="25656.0"/>
        <n v="29283.0"/>
        <n v="32782.5"/>
        <n v="215592.0"/>
        <n v="228334.5"/>
        <n v="188776.5"/>
        <n v="175293.0"/>
        <n v="201999.0"/>
        <n v="197946.0"/>
        <n v="230896.5"/>
        <n v="203532.0"/>
        <n v="214428.0"/>
        <n v="183228.0"/>
        <n v="166948.5"/>
        <n v="232102.5"/>
        <n v="196560.0"/>
        <n v="186496.5"/>
        <n v="219772.5"/>
        <n v="226476.0"/>
        <n v="8362.5"/>
        <n v="17008.5"/>
        <n v="5166.0"/>
        <n v="10941.0"/>
        <n v="14497.5"/>
        <n v="13810.5"/>
        <n v="13752.0"/>
        <n v="15276.0"/>
        <n v="4408.5"/>
        <n v="9927.0"/>
        <n v="9474.0"/>
        <n v="16878.0"/>
        <n v="14238.0"/>
        <n v="36.0"/>
        <n v="31.0"/>
        <n v="19.0"/>
        <n v="18.0"/>
        <n v="54.0"/>
        <n v="59.0"/>
        <n v="17.0"/>
        <n v="15.0"/>
        <n v="125.0"/>
        <n v="128.0"/>
        <n v="10.0"/>
        <n v="20.0"/>
        <n v="129.0"/>
        <n v="21.0"/>
        <n v="60.0"/>
        <n v="16.0"/>
        <n v="124.0"/>
        <n v="7.0"/>
        <n v="37.0"/>
        <n v="22.0"/>
        <n v="23.0"/>
        <n v="9.0"/>
        <n v="6.0"/>
        <n v="123.0"/>
      </sharedItems>
    </cacheField>
    <cacheField name="Товарооборот, руб" numFmtId="0">
      <sharedItems containsSemiMixedTypes="0" containsString="0" containsNumber="1">
        <n v="623971.5"/>
        <n v="787101.0"/>
        <n v="643944.0"/>
        <n v="3395892.0"/>
        <n v="2771116.5"/>
        <n v="2882458.5"/>
        <n v="2831019.0"/>
        <n v="2372310.0"/>
        <n v="2623480.5"/>
        <n v="2711247.0"/>
        <n v="2970330.0"/>
        <n v="3031254.0"/>
        <n v="2595778.5"/>
        <n v="2744382.0"/>
        <n v="2929330.5"/>
        <n v="2906763.0"/>
        <n v="2411587.5"/>
        <n v="2629782.0"/>
        <n v="2434914.0"/>
        <n v="2938623.0"/>
        <n v="3628726.5"/>
        <n v="3176580.0"/>
        <n v="2817196.5"/>
        <n v="3312967.5"/>
        <n v="2645160.0"/>
        <n v="2472213.0"/>
        <n v="2924746.5"/>
        <n v="3473895.0"/>
        <n v="3921784.5"/>
        <n v="2827773.0"/>
        <n v="7583758.5"/>
        <n v="6815511.0"/>
        <n v="6774946.5"/>
        <n v="6264933.0"/>
        <n v="6642249.0"/>
        <n v="7180498.5"/>
        <n v="5554192.5"/>
        <n v="6676459.5"/>
        <n v="8893024.5"/>
        <n v="6398361.0"/>
        <n v="6633847.5"/>
        <n v="7247575.5"/>
        <n v="6921316.5"/>
        <n v="7163644.5"/>
        <n v="6993952.5"/>
        <n v="7013670.0"/>
        <n v="6168657.0"/>
        <n v="8089143.0"/>
        <n v="6645603.0"/>
        <n v="7023727.5"/>
        <n v="7483194.0"/>
        <n v="6293776.5"/>
        <n v="6591883.5"/>
        <n v="6451032.0"/>
        <n v="1130506.5"/>
        <n v="938764.5"/>
        <n v="843727.5"/>
        <n v="1046400.0"/>
        <n v="728890.5"/>
        <n v="797919.0"/>
        <n v="617881.5"/>
        <n v="983109.0"/>
        <n v="891139.5"/>
        <n v="732964.5"/>
        <n v="935523.0"/>
        <n v="1037247.0"/>
        <n v="793320.0"/>
        <n v="869983.5"/>
        <n v="865714.5"/>
        <n v="7512646.5"/>
        <n v="637881.0"/>
        <n v="9164707.5"/>
        <n v="696832.5"/>
        <n v="1241383.5"/>
        <n v="6641569.5"/>
        <n v="1030440.0"/>
        <n v="716196.0"/>
        <n v="1004788.5"/>
        <n v="959703.0"/>
        <n v="863754.0"/>
        <n v="828984.0"/>
        <n v="1045515.0"/>
        <n v="1260483.0"/>
        <n v="1114552.5"/>
        <n v="3222517.5"/>
        <n v="2865337.5"/>
        <n v="2694289.5"/>
        <n v="2902167.0"/>
        <n v="2450968.5"/>
        <n v="2397588.0"/>
        <n v="1799230.5"/>
        <n v="2907411.0"/>
        <n v="2374356.0"/>
        <n v="2370432.0"/>
        <n v="2853181.5"/>
        <n v="2692230.0"/>
        <n v="2079900.0"/>
        <n v="2136817.5"/>
        <n v="2373337.5"/>
        <n v="2170309.5"/>
        <n v="2232519.0"/>
        <n v="3385372.5"/>
        <n v="2865727.5"/>
        <n v="2267664.0"/>
        <n v="2862298.5"/>
        <n v="2271454.5"/>
        <n v="2350672.5"/>
        <n v="2915533.5"/>
        <n v="2991999.0"/>
        <n v="3654166.5"/>
        <n v="3004213.5"/>
        <n v="3.2235864E7"/>
        <n v="2.7093624E7"/>
        <n v="2.66599305E7"/>
        <n v="2.9768199E7"/>
        <n v="2.935794E7"/>
        <n v="3.08692875E7"/>
        <n v="2.43420165E7"/>
        <n v="2.787261789885E7"/>
        <n v="3.10533165E7"/>
        <n v="2.904252E7"/>
        <n v="2.78529E7"/>
        <n v="2.936877161745E7"/>
        <n v="2.7278441145E7"/>
        <n v="2.91590325E7"/>
        <n v="2.64674535E7"/>
        <n v="2.8427001E7"/>
        <n v="2.87708101056E7"/>
        <n v="3.510392671155E7"/>
        <n v="2.71659135E7"/>
        <n v="3.2418879E7"/>
        <n v="2.953617610605E7"/>
        <n v="3.80915565E7"/>
        <n v="2.5325271E7"/>
        <n v="2.8188534E7"/>
        <n v="4.2323631E7"/>
        <n v="3.7023243E7"/>
        <n v="3.6834567E7"/>
        <n v="3.8693427E7"/>
        <n v="3.8406954E7"/>
        <n v="4.1559384E7"/>
        <n v="3.1843737E7"/>
        <n v="3.83659605E7"/>
        <n v="4.00771935E7"/>
        <n v="3.9578577E7"/>
        <n v="3.790215657E7"/>
        <n v="3.9639309E7"/>
        <n v="3.5671734E7"/>
        <n v="3.99180285E7"/>
        <n v="3.71971155E7"/>
        <n v="2.9327766E7"/>
        <n v="3.66319995E7"/>
        <n v="3.57244935E7"/>
        <n v="3.8092344E7"/>
        <n v="4.640808E7"/>
        <n v="2.815100475E7"/>
        <n v="3.6883428E7"/>
        <n v="4.30287345E7"/>
        <n v="3.9010875E7"/>
        <n v="4.91231805E7"/>
        <n v="3.3763989E7"/>
        <n v="3.81913815E7"/>
        <n v="6652179.0"/>
        <n v="6173463.0"/>
        <n v="5952802.5"/>
        <n v="7253427.0"/>
        <n v="5561452.5"/>
        <n v="6454458.0"/>
        <n v="4118251.5"/>
        <n v="5864989.5"/>
        <n v="7032225.0"/>
        <n v="5523145.5"/>
        <n v="5864085.0"/>
        <n v="7121946.0"/>
        <n v="5770539.0"/>
        <n v="6288246.0"/>
        <n v="6333828.0"/>
        <n v="3.9380178E7"/>
        <n v="6221320.5"/>
        <n v="4.6370904E7"/>
        <n v="5454121.5"/>
        <n v="7173117.0"/>
        <n v="3.79476885E7"/>
        <n v="5704650.0"/>
        <n v="6819594.0"/>
        <n v="7726069.5"/>
        <n v="5365708.5"/>
        <n v="6175837.5"/>
        <n v="6098236.5"/>
        <n v="4025148.0"/>
        <n v="3552937.5"/>
        <n v="3191155.5"/>
        <n v="3084892.5"/>
        <n v="2817853.5"/>
        <n v="2627595.0"/>
        <n v="2470465.5"/>
        <n v="3700311.0"/>
        <n v="4293241.5"/>
        <n v="3080614.5"/>
        <n v="3810394.5"/>
        <n v="3918987.0"/>
        <n v="2648688.0"/>
        <n v="2863600.5"/>
        <n v="3288069.0"/>
        <n v="6500848.5"/>
        <n v="2720002.5"/>
        <n v="9098386.5"/>
        <n v="2738127.0"/>
        <n v="3883215.0"/>
        <n v="6101931.0"/>
        <n v="3561655.5"/>
        <n v="2853310.5"/>
        <n v="3549097.5"/>
        <n v="3201358.5"/>
        <n v="2934504.0"/>
        <n v="3449302.5"/>
        <n v="3994153.5"/>
        <n v="4456441.5"/>
        <n v="3893680.5"/>
        <n v="1601425.5"/>
        <n v="1364847.0"/>
        <n v="1377577.5"/>
        <n v="1222932.0"/>
        <n v="1085211.0"/>
        <n v="1115992.5"/>
        <n v="1053220.5"/>
        <n v="1489132.5"/>
        <n v="1465842.0"/>
        <n v="1123830.0"/>
        <n v="1380751.5"/>
        <n v="1430254.5"/>
        <n v="1384179.0"/>
        <n v="1102887.0"/>
        <n v="1243507.5"/>
        <n v="1120009.5"/>
        <n v="1221057.0"/>
        <n v="1854001.5"/>
        <n v="1507867.5"/>
        <n v="1103068.5"/>
        <n v="1471537.5"/>
        <n v="1269786.0"/>
        <n v="1123894.5"/>
        <n v="1548099.0"/>
        <n v="1215033.0"/>
        <n v="1403047.5"/>
        <n v="1060489.5"/>
        <n v="1081216.5"/>
        <n v="610855.5"/>
        <n v="2360914.5"/>
        <n v="433243.5"/>
        <n v="1152054.0"/>
        <n v="505572.0"/>
        <n v="989632.5"/>
        <n v="1103623.5"/>
        <n v="1104858.0"/>
        <n v="694593.0"/>
        <n v="2277072.0"/>
        <n v="949912.5"/>
        <n v="1592119.5"/>
        <n v="665302.5"/>
        <n v="2457252.0"/>
        <n v="739291.5"/>
        <n v="1315075.5"/>
        <n v="1487928.0"/>
        <n v="1230687.0"/>
        <n v="404691.0"/>
        <n v="1198285.5"/>
        <n v="798759.0"/>
        <n v="769276.5"/>
        <n v="1184865.0"/>
        <n v="2922883.5"/>
        <n v="2446530.0"/>
        <n v="2435632.5"/>
        <n v="2384937.0"/>
        <n v="2155668.0"/>
        <n v="1682851.5"/>
        <n v="2410803.0"/>
        <n v="3168510.0"/>
        <n v="2243160.0"/>
        <n v="2198935.5"/>
        <n v="2520759.0"/>
        <n v="2380333.5"/>
        <n v="2263651.5"/>
        <n v="1336789.5"/>
        <n v="1906557.0"/>
        <n v="1609090.5"/>
        <n v="2159350.5"/>
        <n v="3089140.5"/>
        <n v="1239747.0"/>
        <n v="2512803.0"/>
        <n v="2560080.0"/>
        <n v="2767270.5"/>
        <n v="2235960.0"/>
        <n v="2308336.5"/>
        <n v="2526909.0"/>
        <n v="2.1615333E7"/>
        <n v="2.11148985E7"/>
        <n v="2794324.5"/>
        <n v="3005334.0"/>
        <n v="2559211.5"/>
        <n v="2.3689383E7"/>
        <n v="2.1945858E7"/>
        <n v="1.9546386E7"/>
        <n v="1.92186315E7"/>
        <n v="2.4292218E7"/>
        <n v="2.08713915E7"/>
        <n v="1.9625364E7"/>
        <n v="2.51634315E7"/>
        <n v="2.5413351E7"/>
        <n v="1.92051795E7"/>
        <n v="2.2253295E7"/>
        <n v="2.1959286E7"/>
        <n v="2.19194355E7"/>
        <n v="2.00032635E7"/>
        <n v="1.9437273E7"/>
        <n v="2.64922785E7"/>
        <n v="2.3032992E7"/>
        <n v="2.85909105E7"/>
        <n v="2.05827435E7"/>
        <n v="2.253E7"/>
        <n v="2.48904045E7"/>
        <n v="2.38819485E7"/>
        <n v="2.246013E7"/>
        <n v="1.9959801E7"/>
        <n v="2.23553385E7"/>
        <n v="2.05900725E7"/>
        <n v="1.8449091E7"/>
        <n v="1.80857985E7"/>
        <n v="2.27968275E7"/>
        <n v="1.86259215E7"/>
        <n v="2.3856345E7"/>
        <n v="2.3953536E7"/>
        <n v="1.87180365E7"/>
        <n v="2.10426735E7"/>
        <n v="2.14113495E7"/>
        <n v="2.08801425E7"/>
        <n v="1.87840005E7"/>
        <n v="2.15853165E7"/>
        <n v="2.55190725E7"/>
        <n v="2.45272455E7"/>
        <n v="2.21264445E7"/>
        <n v="2.6806626E7"/>
        <n v="2.05357335E7"/>
        <n v="1.9806927E7"/>
        <n v="2.174046E7"/>
        <n v="2.3443725E7"/>
        <n v="2.28460785E7"/>
        <n v="2.1463023E7"/>
        <n v="1.9071117E7"/>
        <n v="981519.0"/>
        <n v="992541.0"/>
        <n v="2.07172485E7"/>
        <n v="2.415198E7"/>
        <n v="1.95490365E7"/>
        <n v="1316350.5"/>
        <n v="1126810.5"/>
        <n v="1157529.0"/>
        <n v="955801.5"/>
        <n v="906343.5"/>
        <n v="816859.5"/>
        <n v="833815.5"/>
        <n v="1134444.0"/>
        <n v="1092277.5"/>
        <n v="1172574.0"/>
        <n v="1217749.5"/>
        <n v="1145575.5"/>
        <n v="1172691.0"/>
        <n v="816150.0"/>
        <n v="1016566.5"/>
        <n v="1457391.0"/>
        <n v="1326705.0"/>
        <n v="1004511.0"/>
        <n v="1216557.0"/>
        <n v="1046848.5"/>
        <n v="965880.0"/>
        <n v="1386262.5"/>
        <n v="1210456.5"/>
        <n v="636345.0"/>
        <n v="493893.0"/>
        <n v="928675.5"/>
        <n v="651237.0"/>
        <n v="694669.5"/>
        <n v="3015751.5"/>
        <n v="3091069.5"/>
        <n v="468835.5"/>
        <n v="2479396.5"/>
        <n v="1773154.5"/>
        <n v="1387443.0"/>
        <n v="2826379.5"/>
        <n v="2703132.0"/>
        <n v="3038293.5"/>
        <n v="2945035.5"/>
        <n v="866023.5"/>
        <n v="3193167.0"/>
        <n v="6701083.5"/>
        <n v="7728465.0"/>
        <n v="6829921.5"/>
        <n v="1423410.0"/>
        <n v="6398719.5"/>
        <n v="6609714.0"/>
        <n v="6053649.0"/>
        <n v="6876454.5"/>
        <n v="1054798.5"/>
        <n v="1455049.5"/>
        <n v="1007742.0"/>
        <n v="734335.5"/>
        <n v="7387116.0"/>
        <n v="936427.5"/>
        <n v="981564.0"/>
        <n v="1150579.5"/>
        <n v="1273464.0"/>
        <n v="2924133.0"/>
        <n v="3414180.0"/>
        <n v="3013512.0"/>
        <n v="3911979.0"/>
        <n v="2588148.0"/>
        <n v="2441520.0"/>
        <n v="2949078.0"/>
        <n v="3258054.0"/>
        <n v="2.9256993E7"/>
        <n v="2.9465769E7"/>
        <n v="2.77700925E7"/>
        <n v="2.462823322395E7"/>
        <n v="2.7535284147600003E7"/>
        <n v="2.8181292E7"/>
        <n v="3.2354331E7"/>
        <n v="3.90348615E7"/>
        <n v="3.94983735E7"/>
        <n v="3.725784018135E7"/>
        <n v="3.3781581E7"/>
        <n v="4.1767140105000004E7"/>
        <n v="3.6876888E7"/>
        <n v="3.79631505E7"/>
        <n v="4.2271377E7"/>
        <n v="5985894.0"/>
        <n v="5943489.0"/>
        <n v="5800290.0"/>
        <n v="5178169.5"/>
        <n v="5.4172029E7"/>
        <n v="5798476.5"/>
        <n v="5366602.5"/>
        <n v="6293952.0"/>
        <n v="3780852.0"/>
        <n v="4840833.0"/>
        <n v="3865251.0"/>
        <n v="3079630.5"/>
        <n v="7228395.0"/>
        <n v="3360135.0"/>
        <n v="3166479.0"/>
        <n v="3772258.5"/>
        <n v="4108596.0"/>
        <n v="1603084.5"/>
        <n v="1774329.0"/>
        <n v="1526608.5"/>
        <n v="1096002.0"/>
        <n v="1246162.5"/>
        <n v="1223491.5"/>
        <n v="1370482.5"/>
        <n v="1211457.0"/>
        <n v="1411909.5"/>
        <n v="1565632.5"/>
        <n v="1081158.0"/>
        <n v="1764669.0"/>
        <n v="1115146.5"/>
        <n v="963502.5"/>
        <n v="1122730.5"/>
        <n v="2458555.5"/>
        <n v="2540715.0"/>
        <n v="2538967.5"/>
        <n v="2164365.0"/>
        <n v="1549020.0"/>
        <n v="2324490.0"/>
        <n v="2225341.5"/>
        <n v="2477487.0"/>
        <n v="2854741.5"/>
        <n v="2.23423005E7"/>
        <n v="2.23807725E7"/>
        <n v="1.94653725E7"/>
        <n v="1.7919144E7"/>
        <n v="2.04224355E7"/>
        <n v="1.99424355E7"/>
        <n v="2.3085222E7"/>
        <n v="2.09533245E7"/>
        <n v="2.08125855E7"/>
        <n v="1.89141945E7"/>
        <n v="1.6971231E7"/>
        <n v="2.31204435E7"/>
        <n v="1.9855122E7"/>
        <n v="1.8640998E7"/>
        <n v="2.18952945E7"/>
        <n v="2.24161515E7"/>
        <n v="687684.0"/>
        <n v="1398771.0"/>
        <n v="389013.0"/>
        <n v="880356.0"/>
        <n v="1230711.0"/>
        <n v="1131676.5"/>
        <n v="1091040.0"/>
        <n v="1350199.5"/>
        <n v="410892.0"/>
        <n v="850840.5"/>
        <n v="802447.5"/>
        <n v="1438255.5"/>
        <n v="1293219.0"/>
        <n v="4923.0"/>
        <n v="5465.0"/>
        <n v="1846.0"/>
        <n v="1539.0"/>
        <n v="1505.0"/>
        <n v="12306.0"/>
        <n v="12943.0"/>
        <n v="1439.0"/>
        <n v="636.0"/>
        <n v="780.0"/>
        <n v="20914.0"/>
        <n v="16450.0"/>
        <n v="580.0"/>
        <n v="4937.0"/>
        <n v="5378.0"/>
        <n v="1676.0"/>
        <n v="1684.0"/>
        <n v="1599.0"/>
        <n v="12747.0"/>
        <n v="13186.0"/>
        <n v="1534.0"/>
        <n v="659.0"/>
        <n v="786.0"/>
        <n v="21863.0"/>
        <n v="17368.0"/>
        <n v="502.0"/>
        <n v="5143.0"/>
        <n v="5120.0"/>
        <n v="1756.0"/>
        <n v="1712.0"/>
        <n v="1662.0"/>
        <n v="12817.0"/>
        <n v="13251.0"/>
        <n v="1499.0"/>
        <n v="644.0"/>
        <n v="791.0"/>
        <n v="262.0"/>
        <n v="22368.0"/>
        <n v="18042.0"/>
        <n v="448.0"/>
        <n v="5457.0"/>
        <n v="6118.0"/>
        <n v="2468.0"/>
        <n v="1826.0"/>
        <n v="1987.0"/>
        <n v="14205.0"/>
        <n v="15222.0"/>
        <n v="1497.0"/>
        <n v="721.0"/>
        <n v="996.0"/>
        <n v="294.0"/>
        <n v="20602.0"/>
        <n v="17002.0"/>
        <n v="554.0"/>
        <n v="3442.0"/>
        <n v="4157.0"/>
        <n v="1613.0"/>
        <n v="1708.0"/>
        <n v="1206.0"/>
        <n v="11622.0"/>
        <n v="12429.0"/>
        <n v="1217.0"/>
        <n v="567.0"/>
        <n v="751.0"/>
        <n v="274.0"/>
        <n v="16932.0"/>
        <n v="14009.0"/>
        <n v="416.0"/>
        <n v="4751.0"/>
        <n v="5155.0"/>
        <n v="1716.0"/>
        <n v="1520.0"/>
        <n v="1314.0"/>
        <n v="14823.0"/>
        <n v="15277.0"/>
        <n v="1402.0"/>
        <n v="585.0"/>
        <n v="784.0"/>
        <n v="455.0"/>
        <n v="18861.0"/>
        <n v="15778.0"/>
        <n v="402.0"/>
        <n v="4508.0"/>
        <n v="4968.0"/>
        <n v="1804.0"/>
        <n v="1519.0"/>
        <n v="1479.0"/>
        <n v="13606.0"/>
        <n v="14423.0"/>
        <n v="1582.0"/>
        <n v="622.0"/>
        <n v="750.0"/>
        <n v="390.0"/>
        <n v="20495.0"/>
        <n v="16525.0"/>
        <n v="462.0"/>
        <n v="4575.0"/>
        <n v="5188.0"/>
        <n v="1757.0"/>
        <n v="1773.0"/>
        <n v="1622.0"/>
        <n v="12775.0"/>
        <n v="13469.0"/>
        <n v="1417.0"/>
        <n v="922.0"/>
        <n v="18944.0"/>
        <n v="15665.0"/>
        <n v="511.0"/>
        <n v="4384.0"/>
        <n v="4709.0"/>
        <n v="1747.0"/>
        <n v="1784.0"/>
        <n v="1509.0"/>
        <n v="13406.0"/>
        <n v="14103.0"/>
        <n v="701.0"/>
        <n v="839.0"/>
        <n v="467.0"/>
        <n v="20218.0"/>
        <n v="16376.0"/>
        <n v="465.0"/>
        <n v="4826.0"/>
        <n v="4903.0"/>
        <n v="1879.0"/>
        <n v="1542.0"/>
        <n v="1580.0"/>
        <n v="12743.0"/>
        <n v="13495.0"/>
        <n v="1530.0"/>
        <n v="676.0"/>
        <n v="805.0"/>
        <n v="480.0"/>
        <n v="18014.0"/>
        <n v="14582.0"/>
        <n v="563.0"/>
        <n v="4199.0"/>
        <n v="4635.0"/>
        <n v="1957.0"/>
        <n v="1646.0"/>
        <n v="13563.0"/>
        <n v="14098.0"/>
        <n v="1522.0"/>
        <n v="703.0"/>
        <n v="879.0"/>
        <n v="492.0"/>
        <n v="24620.0"/>
        <n v="20452.0"/>
        <n v="638.0"/>
        <n v="5413.0"/>
        <n v="4556.0"/>
        <n v="1891.0"/>
        <n v="1735.0"/>
        <n v="11288.0"/>
        <n v="12016.0"/>
        <n v="1851.0"/>
        <n v="654.0"/>
        <n v="849.0"/>
        <n v="623.0"/>
        <n v="20132.0"/>
        <n v="16420.0"/>
        <n v="5746.0"/>
        <n v="5495.0"/>
        <n v="2120.0"/>
        <n v="2016.0"/>
        <n v="1836.0"/>
        <n v="13832.0"/>
        <n v="14569.0"/>
        <n v="1848.0"/>
        <n v="792.0"/>
        <n v="950.0"/>
        <n v="706.0"/>
        <n v="20368.0"/>
        <n v="16437.0"/>
        <n v="642.0"/>
        <n v="4150.0"/>
        <n v="1916.0"/>
        <n v="1597.0"/>
        <n v="1527.0"/>
        <n v="10570.0"/>
        <n v="11100.0"/>
        <n v="2530.0"/>
        <n v="812.0"/>
        <n v="684.0"/>
        <n v="18066.0"/>
        <n v="14043.0"/>
        <n v="494.0"/>
        <n v="4418.0"/>
        <n v="4800.0"/>
        <n v="1926.0"/>
        <n v="1656.0"/>
        <n v="1598.0"/>
        <n v="11614.0"/>
        <n v="12000.0"/>
        <n v="1649.0"/>
        <n v="845.0"/>
        <n v="624.0"/>
        <n v="21106.0"/>
        <n v="16387.0"/>
        <n v="526.0"/>
        <n v="4967.0"/>
        <n v="5251.0"/>
        <n v="2061.0"/>
        <n v="1698.0"/>
        <n v="1605.0"/>
        <n v="11522.0"/>
        <n v="12007.0"/>
        <n v="1625.0"/>
        <n v="854.0"/>
        <n v="898.0"/>
        <n v="599.0"/>
        <n v="19965.0"/>
        <n v="15304.0"/>
        <n v="612.0"/>
        <n v="4285.0"/>
        <n v="4695.0"/>
        <n v="1993.0"/>
        <n v="1706.0"/>
        <n v="1635.0"/>
        <n v="11194.0"/>
        <n v="11935.0"/>
        <n v="1675.0"/>
        <n v="834.0"/>
        <n v="890.0"/>
        <n v="20247.0"/>
        <n v="15804.0"/>
        <n v="627.0"/>
        <n v="4862.0"/>
        <n v="5184.0"/>
        <n v="2255.0"/>
        <n v="1780.0"/>
        <n v="12791.0"/>
        <n v="13544.0"/>
        <n v="1940.0"/>
        <n v="817.0"/>
        <n v="980.0"/>
        <n v="688.0"/>
        <n v="21862.0"/>
        <n v="17808.0"/>
        <n v="743.0"/>
        <n v="5286.0"/>
        <n v="5593.0"/>
        <n v="2427.0"/>
        <n v="2145.0"/>
        <n v="2039.0"/>
        <n v="13170.0"/>
        <n v="14049.0"/>
        <n v="2080.0"/>
        <n v="920.0"/>
        <n v="1111.0"/>
        <n v="747.0"/>
        <n v="22291.0"/>
        <n v="17914.0"/>
        <n v="760.0"/>
        <n v="4918.0"/>
        <n v="5206.0"/>
        <n v="2054.0"/>
        <n v="1874.0"/>
        <n v="1790.0"/>
        <n v="11128.0"/>
        <n v="11698.0"/>
        <n v="1871.0"/>
        <n v="859.0"/>
        <n v="971.0"/>
        <n v="692.0"/>
        <n v="20079.0"/>
        <n v="15744.0"/>
        <n v="591.0"/>
        <n v="4885.0"/>
        <n v="5165.0"/>
        <n v="2136.0"/>
        <n v="1834.0"/>
        <n v="1741.0"/>
        <n v="12012.0"/>
        <n v="12460.0"/>
        <n v="1858.0"/>
        <n v="864.0"/>
        <n v="925.0"/>
        <n v="729.0"/>
        <n v="20449.0"/>
        <n v="16110.0"/>
        <n v="645.0"/>
        <n v="5094.0"/>
        <n v="5389.0"/>
        <n v="2245.0"/>
        <n v="1860.0"/>
        <n v="1831.0"/>
        <n v="13070.0"/>
        <n v="13867.0"/>
        <n v="1999.0"/>
        <n v="857.0"/>
        <n v="1012.0"/>
        <n v="930.0"/>
        <n v="20771.0"/>
        <n v="16191.0"/>
        <n v="649.0"/>
        <n v="5914.0"/>
        <n v="5698.0"/>
        <n v="2410.0"/>
        <n v="1921.0"/>
        <n v="1823.0"/>
        <n v="13298.0"/>
        <n v="13792.0"/>
        <n v="1889.0"/>
        <n v="1050.0"/>
        <n v="21674.0"/>
        <n v="17095.0"/>
        <n v="745.0"/>
        <n v="4816.0"/>
        <n v="5207.0"/>
        <n v="2335.0"/>
        <n v="1787.0"/>
        <n v="1650.0"/>
        <n v="13240.0"/>
        <n v="14005.0"/>
        <n v="1949.0"/>
        <n v="888.0"/>
        <n v="1045.0"/>
        <n v="749.0"/>
        <n v="20911.0"/>
        <n v="16373.0"/>
        <n v="677.0"/>
        <n v="4857.0"/>
        <n v="5965.0"/>
        <n v="2861.0"/>
        <n v="2046.0"/>
        <n v="1859.0"/>
        <n v="13014.0"/>
        <n v="14050.0"/>
        <n v="2306.0"/>
        <n v="985.0"/>
        <n v="1268.0"/>
        <n v="903.0"/>
        <n v="21427.0"/>
        <n v="17088.0"/>
        <n v="965.0"/>
        <n v="5651.0"/>
        <n v="6276.0"/>
        <n v="2460.0"/>
        <n v="2340.0"/>
        <n v="2195.0"/>
        <n v="16221.0"/>
        <n v="17295.0"/>
        <n v="2266.0"/>
        <n v="1031.0"/>
        <n v="1294.0"/>
        <n v="840.0"/>
        <n v="24574.0"/>
        <n v="19856.0"/>
        <n v="828.0"/>
        <n v="4915.0"/>
        <n v="5035.0"/>
        <n v="2254.0"/>
        <n v="1868.0"/>
        <n v="12211.0"/>
        <n v="12822.0"/>
        <n v="2015.0"/>
        <n v="1006.0"/>
        <n v="1128.0"/>
        <n v="779.0"/>
        <n v="21004.0"/>
        <n v="16432.0"/>
        <n v="639.0"/>
        <n v="4641.0"/>
        <n v="5210.0"/>
        <n v="2330.0"/>
        <n v="2087.0"/>
        <n v="1899.0"/>
        <n v="12336.0"/>
        <n v="12983.0"/>
        <n v="2011.0"/>
        <n v="989.0"/>
        <n v="1142.0"/>
        <n v="835.0"/>
        <n v="20358.0"/>
        <n v="15822.0"/>
        <n v="739.0"/>
        <n v="4770.0"/>
        <n v="5493.0"/>
        <n v="2418.0"/>
        <n v="2044.0"/>
        <n v="1814.0"/>
        <n v="14482.0"/>
        <n v="15369.0"/>
        <n v="2036.0"/>
        <n v="914.0"/>
        <n v="1140.0"/>
        <n v="21153.0"/>
        <n v="16459.0"/>
        <n v="577.0"/>
        <n v="4951.0"/>
        <n v="5330.0"/>
        <n v="2430.0"/>
        <n v="2079.0"/>
        <n v="1873.0"/>
        <n v="13091.0"/>
        <n v="13942.0"/>
        <n v="962.0"/>
        <n v="1203.0"/>
        <n v="809.0"/>
        <n v="21384.0"/>
        <n v="17115.0"/>
        <n v="757.0"/>
        <n v="409.0"/>
        <n v="4840.0"/>
        <n v="5355.0"/>
        <n v="2454.0"/>
        <n v="1886.0"/>
        <n v="1875.0"/>
        <n v="12409.0"/>
        <n v="12854.0"/>
        <n v="2088.0"/>
        <n v="1020.0"/>
        <n v="1097.0"/>
        <n v="876.0"/>
        <n v="464.0"/>
        <n v="20868.0"/>
        <n v="16453.0"/>
        <n v="420.0"/>
        <n v="5672.0"/>
        <n v="5751.0"/>
        <n v="2597.0"/>
        <n v="2111.0"/>
        <n v="2064.0"/>
        <n v="14031.0"/>
        <n v="14507.0"/>
        <n v="2249.0"/>
        <n v="1014.0"/>
        <n v="1296.0"/>
        <n v="981.0"/>
        <n v="400.0"/>
        <n v="25828.0"/>
        <n v="22403.0"/>
        <n v="873.0"/>
        <n v="491.0"/>
        <n v="6645.0"/>
        <n v="6735.0"/>
        <n v="2793.0"/>
        <n v="2174.0"/>
        <n v="14590.0"/>
        <n v="15030.0"/>
        <n v="2451.0"/>
        <n v="1216.0"/>
        <n v="1697.0"/>
        <n v="1048.0"/>
        <n v="490.0"/>
        <n v="24325.0"/>
        <n v="20243.0"/>
        <n v="865.0"/>
        <n v="532.0"/>
        <n v="5215.0"/>
        <n v="5760.0"/>
        <n v="2522.0"/>
        <n v="2271.0"/>
        <n v="2056.0"/>
        <n v="13106.0"/>
        <n v="13684.0"/>
        <n v="2060.0"/>
        <n v="1029.0"/>
        <n v="1186.0"/>
        <n v="917.0"/>
        <n v="441.0"/>
        <n v="21392.0"/>
        <n v="17235.0"/>
        <n v="345.0"/>
        <n v="530.0"/>
        <n v="261.0"/>
        <n v="4722.0"/>
        <n v="5468.0"/>
        <n v="2531.0"/>
        <n v="2025.0"/>
        <n v="11864.0"/>
        <n v="12299.0"/>
        <n v="923.0"/>
        <n v="1185.0"/>
        <n v="1019.0"/>
        <n v="453.0"/>
        <n v="20325.0"/>
        <n v="16285.0"/>
        <n v="719.0"/>
        <n v="500.0"/>
        <n v="237.0"/>
      </sharedItems>
    </cacheField>
    <cacheField name="Товарооборот в себестоимости" numFmtId="0">
      <sharedItems containsSemiMixedTypes="0" containsString="0" containsNumber="1">
        <n v="565363.016"/>
        <n v="707654.6309999999"/>
        <n v="640961.693"/>
        <n v="2740255.211"/>
        <n v="2269371.4459999995"/>
        <n v="2290967.039"/>
        <n v="2261296.276"/>
        <n v="1875929.923"/>
        <n v="2115481.9889999996"/>
        <n v="2165434.925"/>
        <n v="2395998.377"/>
        <n v="2397503.37"/>
        <n v="2050101.9780000001"/>
        <n v="2257728.2139999997"/>
        <n v="2389543.528"/>
        <n v="2323003.267"/>
        <n v="1931011.4870000002"/>
        <n v="2071714.724"/>
        <n v="1925475.1139999998"/>
        <n v="2406562.0579999997"/>
        <n v="3056063.735"/>
        <n v="2540760.0409999997"/>
        <n v="2244503.1999999997"/>
        <n v="2647972.343"/>
        <n v="2133443.3049999997"/>
        <n v="2000889.9870000002"/>
        <n v="2399312.935"/>
        <n v="2757933.63"/>
        <n v="3132604.841"/>
        <n v="2232253.034"/>
        <n v="5779076.7979999995"/>
        <n v="5426339.5819999995"/>
        <n v="5115462.401"/>
        <n v="4726931.9569999995"/>
        <n v="4993791.956"/>
        <n v="5432087.979"/>
        <n v="4218316.029"/>
        <n v="5083946.169"/>
        <n v="6855177.24"/>
        <n v="4793096.143999999"/>
        <n v="5212858.58"/>
        <n v="5922822.677999999"/>
        <n v="5290094.272"/>
        <n v="5366333.713"/>
        <n v="5288518.779999999"/>
        <n v="5282661.8549999995"/>
        <n v="4695811.349"/>
        <n v="6673236.372"/>
        <n v="5032216.188999999"/>
        <n v="5349682.484999999"/>
        <n v="5637882.125"/>
        <n v="4773839.938"/>
        <n v="5001227.671"/>
        <n v="5048965.796"/>
        <n v="1024403.9859999999"/>
        <n v="820018.375"/>
        <n v="729677.519"/>
        <n v="937716.1579999999"/>
        <n v="644150.519"/>
        <n v="783753.2949999999"/>
        <n v="575518.068"/>
        <n v="825345.0530000001"/>
        <n v="829782.376"/>
        <n v="634517.673"/>
        <n v="808524.505"/>
        <n v="910480.6449999999"/>
        <n v="718019.2760000001"/>
        <n v="896773.3239999999"/>
        <n v="799644.759"/>
        <n v="5979210.097"/>
        <n v="575840.677"/>
        <n v="7329868.665"/>
        <n v="616683.3809999999"/>
        <n v="1069622.507"/>
        <n v="5084073.516"/>
        <n v="871047.598"/>
        <n v="663415.497"/>
        <n v="896111.803"/>
        <n v="861486.475"/>
        <n v="758428.735"/>
        <n v="702631.811"/>
        <n v="896490.07"/>
        <n v="1048221.1390000001"/>
        <n v="939269.567"/>
        <n v="2633868.174"/>
        <n v="2368028.685"/>
        <n v="2183502.7290000003"/>
        <n v="2319890.346"/>
        <n v="1980824.9889999998"/>
        <n v="1937222.0459999999"/>
        <n v="1457108.1479999998"/>
        <n v="2288433.495"/>
        <n v="1915101.034"/>
        <n v="1847737.837"/>
        <n v="2349459.5"/>
        <n v="2195766.121"/>
        <n v="1657688.853"/>
        <n v="1701780.478"/>
        <n v="1886244.741"/>
        <n v="1735984.614"/>
        <n v="1781999.058"/>
        <n v="2831498.2739999997"/>
        <n v="2288224.429"/>
        <n v="1801564.392"/>
        <n v="2267667.519"/>
        <n v="1811009.8979999998"/>
        <n v="1875294.65"/>
        <n v="2431800.394"/>
        <n v="2374135.6799999997"/>
        <n v="2919786.295"/>
        <n v="2389834.3129999996"/>
        <n v="2.3691368555E7"/>
        <n v="1.97686965E7"/>
        <n v="1.9515982116E7"/>
        <n v="2.1483666921E7"/>
        <n v="2.1174604830000002E7"/>
        <n v="2.2717731617999997E7"/>
        <n v="1.7790852444E7"/>
        <n v="2.0223763805E7"/>
        <n v="2.2737807547E7"/>
        <n v="2.0980503505E7"/>
        <n v="2.0824687999E7"/>
        <n v="2.1545834136E7"/>
        <n v="1.9610637316999998E7"/>
        <n v="2.1437602310000002E7"/>
        <n v="1.9153152527E7"/>
        <n v="2.0563887599E7"/>
        <n v="2.0810852736E7"/>
        <n v="2.6357141036999997E7"/>
        <n v="1.9659432722999997E7"/>
        <n v="2.3595019661E7"/>
        <n v="2.1276357106E7"/>
        <n v="2.8012065349999998E7"/>
        <n v="1.8582990428E7"/>
        <n v="2.1369401387E7"/>
        <n v="3.1033323692999996E7"/>
        <n v="2.6762183377E7"/>
        <n v="2.6914635671E7"/>
        <n v="2.7863789055E7"/>
        <n v="2.7588003988E7"/>
        <n v="3.0476170214999996E7"/>
        <n v="2.311977798E7"/>
        <n v="2.7592063503E7"/>
        <n v="2.9141359438E7"/>
        <n v="2.8453665595E7"/>
        <n v="2.8083686689999998E7"/>
        <n v="2.8736966634E7"/>
        <n v="2.5644478342E7"/>
        <n v="2.9154014884E7"/>
        <n v="2.6793668158999998E7"/>
        <n v="2.2491044692999996E7"/>
        <n v="2.6408496047999997E7"/>
        <n v="2.7535617434E7"/>
        <n v="2.7467616702999998E7"/>
        <n v="3.4793888933E7"/>
        <n v="2.0806418796E7"/>
        <n v="2.6438356803E7"/>
        <n v="3.1156525939999998E7"/>
        <n v="2.8090230959E7"/>
        <n v="3.6012087989E7"/>
        <n v="2.4610757489E7"/>
        <n v="2.8822960470999997E7"/>
        <n v="5305378.904"/>
        <n v="4915101.795"/>
        <n v="4711294.200999999"/>
        <n v="5531366.381"/>
        <n v="4257859.372"/>
        <n v="4968152.947"/>
        <n v="3133704.928"/>
        <n v="4506085.484"/>
        <n v="5546127.192"/>
        <n v="4230689.2069999995"/>
        <n v="4847142.986"/>
        <n v="6279205.85"/>
        <n v="4433831.250999999"/>
        <n v="4798265.113"/>
        <n v="4890619.262"/>
        <n v="2.9726473223999996E7"/>
        <n v="4762185.061"/>
        <n v="3.5190775285000004E7"/>
        <n v="4155234.554"/>
        <n v="6068194.523"/>
        <n v="2.7829971363E7"/>
        <n v="4375924.236"/>
        <n v="5260171.534999999"/>
        <n v="5922893.721"/>
        <n v="4091691.3249999997"/>
        <n v="4747959.614"/>
        <n v="5042435.841"/>
        <n v="3259483.304"/>
        <n v="2795344.17"/>
        <n v="2528990.584"/>
        <n v="2384575.363"/>
        <n v="2169377.225"/>
        <n v="2033299.2799999998"/>
        <n v="1911613.144"/>
        <n v="2861069.8419999997"/>
        <n v="3389723.959"/>
        <n v="2363955.7909999997"/>
        <n v="3046897.794"/>
        <n v="3141103.957"/>
        <n v="2021918.12"/>
        <n v="2246478.617"/>
        <n v="2580984.03"/>
        <n v="5172874.443999999"/>
        <n v="2102974.001"/>
        <n v="7354572.011"/>
        <n v="2094375.01"/>
        <n v="3151914.3419999997"/>
        <n v="4743581.977999999"/>
        <n v="2769041.2770000002"/>
        <n v="2211817.6569999997"/>
        <n v="2745646.948"/>
        <n v="2481896.334"/>
        <n v="2253872.138"/>
        <n v="2798056.2479999997"/>
        <n v="3105853.9129999997"/>
        <n v="3473157.545"/>
        <n v="3004872.349"/>
        <n v="1268422.666"/>
        <n v="1137103.412"/>
        <n v="1086345.0159999998"/>
        <n v="974409.1449999999"/>
        <n v="874153.345"/>
        <n v="928035.2359999999"/>
        <n v="843395.109"/>
        <n v="1209901.0159999998"/>
        <n v="1193019.642"/>
        <n v="914932.571"/>
        <n v="1137748.7319999998"/>
        <n v="1175778.837"/>
        <n v="1116620.792"/>
        <n v="914116.792"/>
        <n v="987216.7409999999"/>
        <n v="902752.717"/>
        <n v="983096.417"/>
        <n v="1515956.368"/>
        <n v="1217527.6069999998"/>
        <n v="904501.456"/>
        <n v="1176721.164"/>
        <n v="1018857.6680000001"/>
        <n v="898508.497"/>
        <n v="1256993.4810000001"/>
        <n v="985281.0359999998"/>
        <n v="1195875.8800000001"/>
        <n v="851805.179"/>
        <n v="910141.155"/>
        <n v="541946.128"/>
        <n v="1868643.6719999998"/>
        <n v="377401.46199999994"/>
        <n v="906579.6209999999"/>
        <n v="422390.908"/>
        <n v="829947.412"/>
        <n v="899589.3060000001"/>
        <n v="915994.1189999998"/>
        <n v="622755.0499999999"/>
        <n v="1804070.1239999998"/>
        <n v="785961.289"/>
        <n v="1279369.153"/>
        <n v="644221.494"/>
        <n v="1983435.05"/>
        <n v="651727.3679999999"/>
        <n v="1074904.135"/>
        <n v="1187884.8939999999"/>
        <n v="985675.487"/>
        <n v="333054.548"/>
        <n v="1018063.802"/>
        <n v="669115.9369999999"/>
        <n v="654599.977"/>
        <n v="953822.6209999999"/>
        <n v="2340316.3049999997"/>
        <n v="1956748.2629999998"/>
        <n v="1954139.7149999999"/>
        <n v="1880070.5110000002"/>
        <n v="1685753.184"/>
        <n v="1337535.2989999999"/>
        <n v="1897998.252"/>
        <n v="2533138.72"/>
        <n v="1757185.7729999998"/>
        <n v="1755958.305"/>
        <n v="2010739.0729999999"/>
        <n v="1873451.2719999999"/>
        <n v="1783039.3049999997"/>
        <n v="1084824.9949999999"/>
        <n v="1485927.8739999998"/>
        <n v="1298844.2"/>
        <n v="1715939.5399999998"/>
        <n v="2533823.174"/>
        <n v="995597.5199999999"/>
        <n v="1972327.267"/>
        <n v="2016381.645"/>
        <n v="2174380.5969999996"/>
        <n v="1780335.608"/>
        <n v="1837113.1940000001"/>
        <n v="2092407.26"/>
        <n v="1.5729720814999998E7"/>
        <n v="1.5426373359E7"/>
        <n v="2251714.549"/>
        <n v="2408136.819"/>
        <n v="2038847.009"/>
        <n v="1.7329462176E7"/>
        <n v="1.5975681728E7"/>
        <n v="1.4278298844E7"/>
        <n v="1.3973128512E7"/>
        <n v="1.7650186029E7"/>
        <n v="1.5206983089E7"/>
        <n v="1.4386025838000001E7"/>
        <n v="1.8210825697E7"/>
        <n v="1.8463277771E7"/>
        <n v="1.3834210462E7"/>
        <n v="1.6496134314E7"/>
        <n v="1.5958453928E7"/>
        <n v="1.5790923194999998E7"/>
        <n v="1.4633542982E7"/>
        <n v="1.3979092230999999E7"/>
        <n v="1.9179229932E7"/>
        <n v="1.6792969817999996E7"/>
        <n v="2.1740920338999998E7"/>
        <n v="1.4894008652E7"/>
        <n v="1.6370527077E7"/>
        <n v="1.8159589108E7"/>
        <n v="1.7462223404E7"/>
        <n v="1.6627687641E7"/>
        <n v="1.5125624641999999E7"/>
        <n v="1.6443448491999999E7"/>
        <n v="1.5078027685E7"/>
        <n v="1.3533023127999999E7"/>
        <n v="1.3150397668E7"/>
        <n v="1.6597666014999999E7"/>
        <n v="1.3628439163999999E7"/>
        <n v="1.7297352185000002E7"/>
        <n v="1.7342946797E7"/>
        <n v="1.3500671991999999E7"/>
        <n v="1.5681371557000002E7"/>
        <n v="1.5600701422999999E7"/>
        <n v="1.5015521489999998E7"/>
        <n v="1.3568684673999999E7"/>
        <n v="1.6285354714E7"/>
        <n v="1.8491870615E7"/>
        <n v="1.8595804535E7"/>
        <n v="1.6128268832E7"/>
        <n v="2.0508194544999998E7"/>
        <n v="1.5173462744E7"/>
        <n v="1.4358653389999999E7"/>
        <n v="1.5789926042999998E7"/>
        <n v="1.7121204866E7"/>
        <n v="1.6722171227E7"/>
        <n v="1.5847839739E7"/>
        <n v="1.4541424877999999E7"/>
        <n v="867080.682"/>
        <n v="874678.696"/>
        <n v="1.5667372685999999E7"/>
        <n v="1.8429449488E7"/>
        <n v="1.448116423E7"/>
        <n v="1092945.283"/>
        <n v="963035.414"/>
        <n v="935379.4229999998"/>
        <n v="795942.652"/>
        <n v="762082.749"/>
        <n v="697541.2969999999"/>
        <n v="737888.3659999999"/>
        <n v="971710.8709999999"/>
        <n v="921493.483"/>
        <n v="968784.8649999999"/>
        <n v="1025585.5199999999"/>
        <n v="974448.126"/>
        <n v="971555.083"/>
        <n v="698626.0329999999"/>
        <n v="858367.6039999999"/>
        <n v="1194154.7659999998"/>
        <n v="1070563.6439999999"/>
        <n v="861334.614"/>
        <n v="1013050.3829999999"/>
        <n v="892743.7459999999"/>
        <n v="809986.386"/>
        <n v="1130117.381"/>
        <n v="970917.124"/>
        <n v="550528.6630000001"/>
        <n v="459762.61999999994"/>
        <n v="802403.808"/>
        <n v="601485.126"/>
        <n v="594994.696"/>
        <n v="2415980.772"/>
        <n v="2549333.4129999997"/>
        <n v="412625.887"/>
        <n v="1950422.9030000002"/>
        <n v="1458979.491"/>
        <n v="1121336.507"/>
        <n v="2229453.508"/>
        <n v="2160539.996"/>
        <n v="2442084.561"/>
        <n v="2320195.4450000003"/>
        <n v="744833.002"/>
        <n v="2545757.0549999997"/>
        <n v="5109499.617"/>
        <n v="6415904.924000001"/>
        <n v="5152925.182"/>
        <n v="1183524.938"/>
        <n v="4782829.606000001"/>
        <n v="5024858.793"/>
        <n v="4580254.154999999"/>
        <n v="5258162.288"/>
        <n v="878389.065"/>
        <n v="1301439.284"/>
        <n v="815296.88"/>
        <n v="622482.404"/>
        <n v="5815890.3319999995"/>
        <n v="813406.684"/>
        <n v="877726.201"/>
        <n v="1038033.7869999999"/>
        <n v="1068326.937"/>
        <n v="2311405.017"/>
        <n v="2805831.5209999997"/>
        <n v="2355616.679"/>
        <n v="3086459.8370000003"/>
        <n v="2042294.167"/>
        <n v="1933378.3459999997"/>
        <n v="2391958.463"/>
        <n v="2595610.66"/>
        <n v="2.1169527457000002E7"/>
        <n v="2.2276452264999997E7"/>
        <n v="2.0952913508E7"/>
        <n v="1.767993047E7"/>
        <n v="1.9680985969E7"/>
        <n v="2.0493717226E7"/>
        <n v="2.3895072432E7"/>
        <n v="2.8040467216000002E7"/>
        <n v="2.9683782432999995E7"/>
        <n v="2.7640203134E7"/>
        <n v="2.4232690171E7"/>
        <n v="3.2361318847E7"/>
        <n v="2.6228948559E7"/>
        <n v="2.7483828209E7"/>
        <n v="3.1105053391E7"/>
        <n v="4624968.49"/>
        <n v="5046963.672"/>
        <n v="4332158.433"/>
        <n v="3929032.265"/>
        <n v="4.1382275210999995E7"/>
        <n v="4485664.506"/>
        <n v="4245727.339"/>
        <n v="5100877.931"/>
        <n v="2893288.4459999995"/>
        <n v="4017247.747"/>
        <n v="2972895.417"/>
        <n v="2364369.401"/>
        <n v="5795765.936"/>
        <n v="2596293.8219999997"/>
        <n v="2522496.074"/>
        <n v="3092823.668"/>
        <n v="3229427.083"/>
        <n v="1312709.009"/>
        <n v="1460215.51"/>
        <n v="1202670.0489999999"/>
        <n v="872395.086"/>
        <n v="983143.4899999999"/>
        <n v="977925.731"/>
        <n v="1095453.123"/>
        <n v="964554.2109999999"/>
        <n v="1158841.584"/>
        <n v="1234060.991"/>
        <n v="927698.8229999999"/>
        <n v="1409485.402"/>
        <n v="897555.5109999999"/>
        <n v="812962.6780000001"/>
        <n v="921566.447"/>
        <n v="1979227.4479999999"/>
        <n v="2108065.569"/>
        <n v="1983277.5959999997"/>
        <n v="1678039.859"/>
        <n v="1246591.997"/>
        <n v="1796459.479"/>
        <n v="1766450.28"/>
        <n v="2005719.3469999998"/>
        <n v="2293738.957"/>
        <n v="1.6240834603999998E7"/>
        <n v="1.7031004073E7"/>
        <n v="1.4354207141999999E7"/>
        <n v="1.2903628609E7"/>
        <n v="1.4541626939999998E7"/>
        <n v="1.4561721772999998E7"/>
        <n v="1.7099721813E7"/>
        <n v="1.5301120521000002E7"/>
        <n v="1.5857489721E7"/>
        <n v="1.3959979012E7"/>
        <n v="1.2200989641E7"/>
        <n v="1.7632080519E7"/>
        <n v="1.4172342451E7"/>
        <n v="1.3641908621E7"/>
        <n v="1.6241999308E7"/>
        <n v="1.7175270221E7"/>
        <n v="597300.389"/>
        <n v="1144986.397"/>
        <n v="357353.073"/>
        <n v="723289.055"/>
        <n v="1005560.455"/>
        <n v="966968.6359999999"/>
        <n v="898790.646"/>
        <n v="1100106.21"/>
        <n v="346029.05"/>
        <n v="733232.389"/>
        <n v="682814.146"/>
        <n v="1180692.704"/>
        <n v="1006008.1159999999"/>
        <n v="4560.0"/>
        <n v="5096.0"/>
        <n v="1681.0"/>
        <n v="1404.0"/>
        <n v="1368.0"/>
        <n v="11532.0"/>
        <n v="12072.0"/>
        <n v="1265.0"/>
        <n v="547.0"/>
        <n v="690.0"/>
        <n v="19479.0"/>
        <n v="15320.0"/>
        <n v="506.0"/>
        <n v="4561.0"/>
        <n v="4985.0"/>
        <n v="1516.0"/>
        <n v="1528.0"/>
        <n v="1450.0"/>
        <n v="11884.0"/>
        <n v="12251.0"/>
        <n v="1369.0"/>
        <n v="575.0"/>
        <n v="695.0"/>
        <n v="20160.0"/>
        <n v="16077.0"/>
        <n v="433.0"/>
        <n v="4715.0"/>
        <n v="4737.0"/>
        <n v="1586.0"/>
        <n v="1552.0"/>
        <n v="1506.0"/>
        <n v="11865.0"/>
        <n v="12255.0"/>
        <n v="1322.0"/>
        <n v="550.0"/>
        <n v="691.0"/>
        <n v="195.0"/>
        <n v="20625.0"/>
        <n v="16631.0"/>
        <n v="376.0"/>
        <n v="4916.0"/>
        <n v="5564.0"/>
        <n v="2221.0"/>
        <n v="1633.0"/>
        <n v="1791.0"/>
        <n v="13026.0"/>
        <n v="13873.0"/>
        <n v="1291.0"/>
        <n v="625.0"/>
        <n v="888.0"/>
        <n v="225.0"/>
        <n v="18845.0"/>
        <n v="15570.0"/>
        <n v="472.0"/>
        <n v="3147.0"/>
        <n v="3823.0"/>
        <n v="1457.0"/>
        <n v="1534.0"/>
        <n v="1080.0"/>
        <n v="10754.0"/>
        <n v="11477.0"/>
        <n v="1048.0"/>
        <n v="493.0"/>
        <n v="651.0"/>
        <n v="203.0"/>
        <n v="15601.0"/>
        <n v="12920.0"/>
        <n v="341.0"/>
        <n v="4370.0"/>
        <n v="4762.0"/>
        <n v="1561.0"/>
        <n v="1373.0"/>
        <n v="1192.0"/>
        <n v="13751.0"/>
        <n v="14163.0"/>
        <n v="1234.0"/>
        <n v="502.0"/>
        <n v="696.0"/>
        <n v="384.0"/>
        <n v="17420.0"/>
        <n v="14624.0"/>
        <n v="333.0"/>
        <n v="4149.0"/>
        <n v="4596.0"/>
        <n v="1638.0"/>
        <n v="1372.0"/>
        <n v="1346.0"/>
        <n v="12697.0"/>
        <n v="13432.0"/>
        <n v="1403.0"/>
        <n v="538.0"/>
        <n v="647.0"/>
        <n v="315.0"/>
        <n v="18964.0"/>
        <n v="15310.0"/>
        <n v="396.0"/>
        <n v="4206.0"/>
        <n v="4800.0"/>
        <n v="1596.0"/>
        <n v="1604.0"/>
        <n v="1482.0"/>
        <n v="11887.0"/>
        <n v="12486.0"/>
        <n v="1245.0"/>
        <n v="658.0"/>
        <n v="823.0"/>
        <n v="381.0"/>
        <n v="17541.0"/>
        <n v="14501.0"/>
        <n v="437.0"/>
        <n v="4025.0"/>
        <n v="4348.0"/>
        <n v="1570.0"/>
        <n v="1632.0"/>
        <n v="1374.0"/>
        <n v="12518.0"/>
        <n v="13118.0"/>
        <n v="1323.0"/>
        <n v="611.0"/>
        <n v="733.0"/>
        <n v="389.0"/>
        <n v="18647.0"/>
        <n v="15197.0"/>
        <n v="390.0"/>
        <n v="4426.0"/>
        <n v="4527.0"/>
        <n v="1695.0"/>
        <n v="1405.0"/>
        <n v="1435.0"/>
        <n v="11858.0"/>
        <n v="12517.0"/>
        <n v="1338.0"/>
        <n v="591.0"/>
        <n v="703.0"/>
        <n v="398.0"/>
        <n v="16675.0"/>
        <n v="13512.0"/>
        <n v="486.0"/>
        <n v="3867.0"/>
        <n v="4266.0"/>
        <n v="1755.0"/>
        <n v="1492.0"/>
        <n v="1380.0"/>
        <n v="12604.0"/>
        <n v="13106.0"/>
        <n v="1340.0"/>
        <n v="609.0"/>
        <n v="768.0"/>
        <n v="412.0"/>
        <n v="22641.0"/>
        <n v="18857.0"/>
        <n v="4959.0"/>
        <n v="4220.0"/>
        <n v="1709.0"/>
        <n v="1568.0"/>
        <n v="1412.0"/>
        <n v="10492.0"/>
        <n v="11137.0"/>
        <n v="1635.0"/>
        <n v="570.0"/>
        <n v="740.0"/>
        <n v="535.0"/>
        <n v="18617.0"/>
        <n v="15169.0"/>
        <n v="559.0"/>
        <n v="5277.0"/>
        <n v="5093.0"/>
        <n v="1921.0"/>
        <n v="1846.0"/>
        <n v="1680.0"/>
        <n v="12864.0"/>
        <n v="13566.0"/>
        <n v="1649.0"/>
        <n v="848.0"/>
        <n v="608.0"/>
        <n v="18884.0"/>
        <n v="15285.0"/>
        <n v="556.0"/>
        <n v="3838.0"/>
        <n v="4483.0"/>
        <n v="1733.0"/>
        <n v="1389.0"/>
        <n v="9926.0"/>
        <n v="10407.0"/>
        <n v="2270.0"/>
        <n v="564.0"/>
        <n v="714.0"/>
        <n v="585.0"/>
        <n v="16883.0"/>
        <n v="13167.0"/>
        <n v="421.0"/>
        <n v="4088.0"/>
        <n v="4470.0"/>
        <n v="1745.0"/>
        <n v="1454.0"/>
        <n v="10862.0"/>
        <n v="11194.0"/>
        <n v="1460.0"/>
        <n v="659.0"/>
        <n v="743.0"/>
        <n v="19651.0"/>
        <n v="15322.0"/>
        <n v="448.0"/>
        <n v="4583.0"/>
        <n v="4853.0"/>
        <n v="1876.0"/>
        <n v="1554.0"/>
        <n v="1447.0"/>
        <n v="10803.0"/>
        <n v="11245.0"/>
        <n v="1444.0"/>
        <n v="756.0"/>
        <n v="795.0"/>
        <n v="515.0"/>
        <n v="18573.0"/>
        <n v="14315.0"/>
        <n v="530.0"/>
        <n v="3950.0"/>
        <n v="4372.0"/>
        <n v="1796.0"/>
        <n v="1548.0"/>
        <n v="1487.0"/>
        <n v="10554.0"/>
        <n v="11178.0"/>
        <n v="1475.0"/>
        <n v="735.0"/>
        <n v="777.0"/>
        <n v="548.0"/>
        <n v="18812.0"/>
        <n v="14738.0"/>
        <n v="545.0"/>
        <n v="4476.0"/>
        <n v="4778.0"/>
        <n v="2045.0"/>
        <n v="1742.0"/>
        <n v="1615.0"/>
        <n v="11950.0"/>
        <n v="12643.0"/>
        <n v="1715.0"/>
        <n v="718.0"/>
        <n v="867.0"/>
        <n v="598.0"/>
        <n v="20235.0"/>
        <n v="16486.0"/>
        <n v="652.0"/>
        <n v="4867.0"/>
        <n v="5177.0"/>
        <n v="2213.0"/>
        <n v="1947.0"/>
        <n v="1868.0"/>
        <n v="12299.0"/>
        <n v="1844.0"/>
        <n v="818.0"/>
        <n v="992.0"/>
        <n v="20635.0"/>
        <n v="672.0"/>
        <n v="4554.0"/>
        <n v="4843.0"/>
        <n v="1883.0"/>
        <n v="1705.0"/>
        <n v="10467.0"/>
        <n v="10989.0"/>
        <n v="1660.0"/>
        <n v="746.0"/>
        <n v="856.0"/>
        <n v="18721.0"/>
        <n v="14685.0"/>
        <n v="513.0"/>
        <n v="4502.0"/>
        <n v="4813.0"/>
        <n v="1597.0"/>
        <n v="11308.0"/>
        <n v="11665.0"/>
        <n v="1648.0"/>
        <n v="765.0"/>
        <n v="816.0"/>
        <n v="636.0"/>
        <n v="19060.0"/>
        <n v="14992.0"/>
        <n v="565.0"/>
        <n v="4716.0"/>
        <n v="5024.0"/>
        <n v="2053.0"/>
        <n v="1704.0"/>
        <n v="1667.0"/>
        <n v="12244.0"/>
        <n v="12987.0"/>
        <n v="1799.0"/>
        <n v="757.0"/>
        <n v="900.0"/>
        <n v="827.0"/>
        <n v="19338.0"/>
        <n v="15102.0"/>
        <n v="568.0"/>
        <n v="5384.0"/>
        <n v="5258.0"/>
        <n v="2202.0"/>
        <n v="1767.0"/>
        <n v="1678.0"/>
        <n v="12428.0"/>
        <n v="12834.0"/>
        <n v="1690.0"/>
        <n v="794.0"/>
        <n v="938.0"/>
        <n v="664.0"/>
        <n v="20155.0"/>
        <n v="15919.0"/>
        <n v="654.0"/>
        <n v="4452.0"/>
        <n v="4868.0"/>
        <n v="2126.0"/>
        <n v="1626.0"/>
        <n v="1505.0"/>
        <n v="12360.0"/>
        <n v="13002.0"/>
        <n v="1724.0"/>
        <n v="786.0"/>
        <n v="930.0"/>
        <n v="19358.0"/>
        <n v="15223.0"/>
        <n v="4456.0"/>
        <n v="5533.0"/>
        <n v="2612.0"/>
        <n v="1853.0"/>
        <n v="1697.0"/>
        <n v="12095.0"/>
        <n v="13027.0"/>
        <n v="2054.0"/>
        <n v="861.0"/>
        <n v="1129.0"/>
        <n v="792.0"/>
        <n v="19799.0"/>
        <n v="15804.0"/>
        <n v="5212.0"/>
        <n v="5801.0"/>
        <n v="2226.0"/>
        <n v="2146.0"/>
        <n v="1999.0"/>
        <n v="15065.0"/>
        <n v="16010.0"/>
        <n v="1993.0"/>
        <n v="918.0"/>
        <n v="1155.0"/>
        <n v="725.0"/>
        <n v="22609.0"/>
        <n v="18325.0"/>
        <n v="734.0"/>
        <n v="4562.0"/>
        <n v="4683.0"/>
        <n v="2061.0"/>
        <n v="1829.0"/>
        <n v="1706.0"/>
        <n v="11427.0"/>
        <n v="11916.0"/>
        <n v="1803.0"/>
        <n v="904.0"/>
        <n v="1001.0"/>
        <n v="673.0"/>
        <n v="19556.0"/>
        <n v="15345.0"/>
        <n v="557.0"/>
        <n v="4274.0"/>
        <n v="4841.0"/>
        <n v="2142.0"/>
        <n v="1914.0"/>
        <n v="1738.0"/>
        <n v="11519.0"/>
        <n v="12056.0"/>
        <n v="887.0"/>
        <n v="1020.0"/>
        <n v="736.0"/>
        <n v="18890.0"/>
        <n v="14753.0"/>
        <n v="642.0"/>
        <n v="4424.0"/>
        <n v="5119.0"/>
        <n v="2215.0"/>
        <n v="1863.0"/>
        <n v="1655.0"/>
        <n v="13510.0"/>
        <n v="14299.0"/>
        <n v="1790.0"/>
        <n v="804.0"/>
        <n v="1016.0"/>
        <n v="711.0"/>
        <n v="19673.0"/>
        <n v="15355.0"/>
        <n v="601.0"/>
        <n v="4584.0"/>
        <n v="4977.0"/>
        <n v="2216.0"/>
        <n v="1893.0"/>
        <n v="12216.0"/>
        <n v="12986.0"/>
        <n v="1856.0"/>
        <n v="859.0"/>
        <n v="1077.0"/>
        <n v="702.0"/>
        <n v="19897.0"/>
        <n v="15962.0"/>
        <n v="660.0"/>
        <n v="329.0"/>
        <n v="4475.0"/>
        <n v="4969.0"/>
        <n v="2239.0"/>
        <n v="1736.0"/>
        <n v="1701.0"/>
        <n v="11582.0"/>
        <n v="11954.0"/>
        <n v="1848.0"/>
        <n v="911.0"/>
        <n v="968.0"/>
        <n v="762.0"/>
        <n v="19342.0"/>
        <n v="15289.0"/>
        <n v="697.0"/>
        <n v="347.0"/>
        <n v="5198.0"/>
        <n v="5319.0"/>
        <n v="2379.0"/>
        <n v="1917.0"/>
        <n v="1896.0"/>
        <n v="12943.0"/>
        <n v="13386.0"/>
        <n v="2000.0"/>
        <n v="893.0"/>
        <n v="1153.0"/>
        <n v="23974.0"/>
        <n v="20676.0"/>
        <n v="770.0"/>
        <n v="411.0"/>
        <n v="6122.0"/>
        <n v="6264.0"/>
        <n v="2539.0"/>
        <n v="2376.0"/>
        <n v="1957.0"/>
        <n v="13551.0"/>
        <n v="13956.0"/>
        <n v="2178.0"/>
        <n v="1101.0"/>
        <n v="1499.0"/>
        <n v="409.0"/>
        <n v="22469.0"/>
        <n v="18711.0"/>
        <n v="763.0"/>
        <n v="449.0"/>
        <n v="4848.0"/>
        <n v="5367.0"/>
        <n v="2295.0"/>
        <n v="2085.0"/>
        <n v="1879.0"/>
        <n v="12164.0"/>
        <n v="12690.0"/>
        <n v="1826.0"/>
        <n v="925.0"/>
        <n v="1054.0"/>
        <n v="802.0"/>
        <n v="368.0"/>
        <n v="19869.0"/>
        <n v="16052.0"/>
        <n v="655.0"/>
        <n v="255.0"/>
        <n v="447.0"/>
        <n v="188.0"/>
        <n v="4352.0"/>
        <n v="5081.0"/>
        <n v="2296.0"/>
        <n v="1849.0"/>
        <n v="1720.0"/>
        <n v="11071.0"/>
        <n v="11448.0"/>
        <n v="1899.0"/>
        <n v="824.0"/>
        <n v="1042.0"/>
        <n v="895.0"/>
        <n v="370.0"/>
        <n v="18935.0"/>
        <n v="15130.0"/>
        <n v="627.0"/>
        <n v="224.0"/>
        <n v="418.0"/>
        <n v="175.0"/>
      </sharedItems>
    </cacheField>
    <cacheField name="Потери, руб" numFmtId="0">
      <sharedItems containsString="0" containsBlank="1" containsNumber="1">
        <n v="64235.45692307692"/>
        <n v="112379.26539999999"/>
        <n v="61475.592307692306"/>
        <n v="294361.0811230769"/>
        <n v="328803.8461538461"/>
        <n v="246817.75113846152"/>
        <n v="225845.0"/>
        <n v="280340.1657"/>
        <n v="139204.6"/>
        <n v="185484.16923076924"/>
        <n v="259067.63954615386"/>
        <n v="232079.8475076923"/>
        <n v="309760.3357307692"/>
        <n v="301623.7923076923"/>
        <n v="459604.9079615384"/>
        <n v="287619.52953846153"/>
        <n v="149032.79178461537"/>
        <n v="361201.8010384615"/>
        <n v="247646.60936153846"/>
        <n v="306098.4769230769"/>
        <n v="223670.01693846151"/>
        <n v="351098.05384615384"/>
        <n v="203231.46096923074"/>
        <n v="371661.6538461539"/>
        <n v="355537.44449230767"/>
        <n v="283287.8692307692"/>
        <n v="282325.24615384615"/>
        <n v="112971.77692307692"/>
        <n v="242715.2625384615"/>
        <n v="343211.5426230769"/>
        <n v="152384.93586153846"/>
        <n v="195070.2500307692"/>
        <n v="61149.51538461538"/>
        <n v="294634.3553076923"/>
        <n v="215294.37692307692"/>
        <n v="172769.1923076923"/>
        <n v="244262.12107692307"/>
        <n v="141931.13193076922"/>
        <n v="185180.3800769231"/>
        <n v="181432.06769230767"/>
        <n v="120955.33846153846"/>
        <n v="714758.2"/>
        <n v="386033.17544615385"/>
        <n v="145122.77781538462"/>
        <n v="227969.01538461537"/>
        <n v="161473.0769230769"/>
        <n v="157384.1788307692"/>
        <n v="127223.84583076923"/>
        <n v="100883.95384615385"/>
        <n v="31578.20769230769"/>
        <n v="126673.26923076922"/>
        <n v="201777.4038153846"/>
        <n v="184167.76355384616"/>
        <n v="94608.14615384614"/>
        <n v="72626.81390769231"/>
        <n v="77816.21538461538"/>
        <n v="140731.9646153846"/>
        <n v="61387.77692307692"/>
        <n v="98026.49036923076"/>
        <n v="58214.93076923077"/>
        <n v="119723.42363076922"/>
        <n v="109486.33076923077"/>
        <n v="121759.66210769229"/>
        <n v="136157.9836153846"/>
        <n v="94344.95384615385"/>
        <n v="64430.96412307692"/>
        <n v="92027.36809230769"/>
        <n v="51681.03846153846"/>
        <n v="111860.49372307691"/>
        <n v="47580.14615384615"/>
        <n v="73920.5846153846"/>
        <n v="137418.1593076923"/>
        <n v="99623.13076923077"/>
        <n v="74049.52307692308"/>
        <n v="142499.01538461537"/>
        <n v="85172.08461538462"/>
        <n v="24274.438461538462"/>
        <n v="99729.92307692306"/>
        <n v="87212.13076923077"/>
        <n v="86710.8045076923"/>
        <n v="82264.56716923077"/>
        <n v="49463.98298461539"/>
        <n v="86278.1767"/>
        <n v="74269.06047692307"/>
        <n v="150484.18215384614"/>
        <n v="225452.8907846154"/>
        <n v="153558.02257692307"/>
        <n v="194963.39216923076"/>
        <n v="188174.3243923077"/>
        <n v="159472.57584615384"/>
        <n v="183829.81409230767"/>
        <n v="193538.8704076923"/>
        <n v="277477.3193230769"/>
        <n v="141864.00329999998"/>
        <n v="187617.05315384615"/>
        <n v="202002.14775384613"/>
        <n v="178454.88537692308"/>
        <n v="141999.40078461537"/>
        <n v="207105.15935384613"/>
        <n v="170377.8575384615"/>
        <n v="359577.9060076923"/>
        <n v="146460.30097692306"/>
        <n v="167381.28187692308"/>
        <n v="97090.63692307692"/>
        <n v="169650.86923076923"/>
        <n v="151659.17713846153"/>
        <n v="221739.45623076922"/>
        <n v="155421.87692307692"/>
        <n v="106116.64615384616"/>
        <n v="182639.11723076922"/>
        <n v="174780.66518461538"/>
        <n v="595097.1592923077"/>
        <n v="759335.8046923077"/>
        <n v="551393.4769230769"/>
        <n v="549316.9501538462"/>
        <n v="988153.4080307692"/>
        <n v="661329.1783384614"/>
        <n v="634118.8692307692"/>
        <n v="645572.5782615384"/>
        <n v="896375.1692307692"/>
        <n v="776209.0316999999"/>
        <n v="822353.4393615385"/>
        <n v="1052145.9026769232"/>
        <n v="919330.0461538462"/>
        <n v="637711.5937230769"/>
        <n v="636197.2334076923"/>
        <n v="779849.3653846154"/>
        <n v="790162.5769230769"/>
        <n v="601482.0769230769"/>
        <n v="698314.9846153846"/>
        <n v="265444.33165384614"/>
        <n v="541588.8935615384"/>
        <n v="725212.9959230769"/>
        <n v="865201.878576923"/>
        <n v="607679.3461538461"/>
        <n v="571764.0907692307"/>
        <n v="650375.7684923077"/>
        <n v="566638.9257538462"/>
        <n v="582268.7261538461"/>
        <n v="1078421.345076923"/>
        <n v="642893.5665692308"/>
        <n v="657754.3188"/>
        <n v="589339.0338461538"/>
        <n v="848425.4184384615"/>
        <n v="535419.8979692308"/>
        <n v="713697.6076923077"/>
        <n v="997757.7538461538"/>
        <n v="919576.9605538462"/>
        <n v="611904.2335230769"/>
        <n v="582815.3615384615"/>
        <n v="283716.73846153845"/>
        <n v="820373.5681538461"/>
        <n v="541116.6988461538"/>
        <n v="942702.9"/>
        <n v="595793.090653846"/>
        <n v="591565.3538461538"/>
        <n v="742420.2692307691"/>
        <n v="343786.0846153846"/>
        <n v="532663.1615384615"/>
        <n v="700442.1153769231"/>
        <n v="1101833.447230769"/>
        <n v="574198.1153846154"/>
        <n v="156413.8362153846"/>
        <n v="253686.7171923077"/>
        <n v="125880.90000000001"/>
        <n v="221053.87967692307"/>
        <n v="337872.83273076924"/>
        <n v="118941.29398461539"/>
        <n v="179531.89196153847"/>
        <n v="167003.69436153845"/>
        <n v="196859.98644615384"/>
        <n v="183154.05167692306"/>
        <n v="142998.2095"/>
        <n v="279127.2760230769"/>
        <n v="232587.42287692308"/>
        <n v="123081.63515384615"/>
        <n v="181964.6876923077"/>
        <n v="305744.9884307692"/>
        <n v="172821.83076923076"/>
        <n v="552625.8"/>
        <n v="234787.5564923077"/>
        <n v="139983.69019999998"/>
        <n v="628647.3307692307"/>
        <n v="135246.95929230767"/>
        <n v="70931.81667692307"/>
        <n v="161614.12454615385"/>
        <n v="232169.67161538458"/>
        <n v="157793.27424615383"/>
        <n v="156805.8346153846"/>
        <n v="145385.33866923075"/>
        <n v="245048.2600769231"/>
        <n v="292821.2230769231"/>
        <n v="184346.05176923078"/>
        <n v="215836.18461538458"/>
        <n v="202681.39594615382"/>
        <n v="187667.93086153845"/>
        <n v="170303.62015384613"/>
        <n v="329717.03827692306"/>
        <n v="200042.36143846155"/>
        <n v="144594.4076923077"/>
        <n v="205451.17950769232"/>
        <n v="219587.1531846154"/>
        <n v="140503.93076923076"/>
        <n v="208081.82515384615"/>
        <n v="60556.25153846153"/>
        <n v="175338.6411076923"/>
        <n v="193869.5929230769"/>
        <n v="174068.47879999998"/>
        <n v="162279.9956153846"/>
        <n v="226018.5524384615"/>
        <n v="180495.52483076922"/>
        <n v="63441.68461538461"/>
        <n v="258287.05384615384"/>
        <n v="156377.12456923077"/>
        <n v="160756.50769230767"/>
        <n v="174707.83838461537"/>
        <n v="53605.71215384615"/>
        <n v="205639.55141538463"/>
        <n v="190911.88401538462"/>
        <n v="189642.93076923076"/>
        <n v="258642.5153846154"/>
        <n v="224718.4076923077"/>
        <n v="299208.26923076925"/>
        <n v="243709.4826923077"/>
        <n v="185811.06153846154"/>
        <n v="137019.6769230769"/>
        <n v="272121.8153846154"/>
        <n v="272484.6307692308"/>
        <n v="284287.79007692303"/>
        <n v="227139.51416923077"/>
        <n v="286968.8769230769"/>
        <n v="220298.15353846154"/>
        <n v="173095.92049999998"/>
        <n v="233030.6"/>
        <n v="193184.6"/>
        <n v="373408.8334307692"/>
        <n v="206787.93638461537"/>
        <n v="246242.8615384615"/>
        <n v="58978.55866923076"/>
        <n v="252262.82307692306"/>
        <n v="197493.53076923077"/>
        <n v="273904.8153076923"/>
        <n v="213288.93846153846"/>
        <n v="143418.86295384614"/>
        <n v="173178.52204615384"/>
        <n v="171981.49101538458"/>
        <n v="143296.04318461538"/>
        <n v="150795.5846153846"/>
        <n v="137636.84266153845"/>
        <n v="65936.34336923076"/>
        <n v="217611.18753846153"/>
        <n v="42729.218369230766"/>
        <n v="196319.5046923077"/>
        <n v="184440.53076923077"/>
        <n v="161654.46923076923"/>
        <n v="172368.62218461538"/>
        <n v="125553.02143076922"/>
        <n v="253438.94004615385"/>
        <n v="119890.85384615383"/>
        <n v="95245.72713846153"/>
        <n v="175066.50692307693"/>
        <n v="154318.62433846152"/>
        <n v="269233.3443692308"/>
        <n v="279400.0153846154"/>
        <n v="224353.45695384615"/>
        <n v="11494.63076923077"/>
        <n v="178012.59307692308"/>
        <n v="171987.47030000002"/>
        <n v="184385.1884923077"/>
        <n v="340158.78723076923"/>
        <n v="109812.45384615385"/>
        <n v="108543.03143076923"/>
        <n v="79541.98461538462"/>
        <n v="141472.14615384614"/>
        <n v="135489.1581153846"/>
        <n v="121636.08074615385"/>
        <n v="96303.4"/>
        <n v="102615.49999999999"/>
        <n v="114933.5923076923"/>
        <n v="102833.37792307691"/>
        <n v="106300.0107076923"/>
        <n v="149632.4937"/>
        <n v="139331.3192923077"/>
        <n v="167974.06755384614"/>
        <n v="100092.68052307691"/>
        <n v="137945.5276"/>
        <n v="115138.50836153845"/>
        <n v="109891.53846153845"/>
        <n v="216733.44615384613"/>
        <n v="174025.3846153846"/>
        <n v="41912.70769230769"/>
        <n v="80170.9809076923"/>
        <n v="140320.89928461539"/>
        <n v="115064.43612307693"/>
        <n v="62346.41538461538"/>
        <n v="273156.72"/>
        <n v="255889.23846153845"/>
        <n v="37852.04366923077"/>
        <n v="113231.09230769232"/>
        <n v="74270.53076923077"/>
        <n v="258177.63846153844"/>
        <n v="296759.42307692306"/>
        <n v="264289.06153846154"/>
        <n v="403874.8839461538"/>
        <n v="347608.6384615384"/>
        <n v="284467.6615384616"/>
        <n v="361439.69230769225"/>
        <n v="272401.2"/>
        <n v="369443.39999999997"/>
        <n v="383344.65076923074"/>
        <n v="334550.50769230764"/>
        <n v="417117.17692307686"/>
        <n v="365011.0806153846"/>
        <n v="268185.43076923076"/>
        <n v="418713.96153846156"/>
        <n v="254778.07384615383"/>
        <n v="443086.2530307692"/>
        <n v="206427.73076923075"/>
        <n v="316452.6615384616"/>
        <n v="115618.05384615384"/>
        <n v="258558.49999999997"/>
        <n v="512464.9846153846"/>
        <n v="518998.75384615385"/>
        <n v="318671.8546538461"/>
        <n v="291468.6"/>
        <n v="293452.2923769231"/>
        <n v="246229.69714615386"/>
        <n v="444057.733476923"/>
        <n v="404297.7461538461"/>
        <n v="370802.93846153846"/>
        <n v="279472.1615384615"/>
        <n v="380499.56092307693"/>
        <n v="344959.87384615385"/>
        <n v="296732.5961538461"/>
        <n v="410370.5153846154"/>
        <n v="398269.43076923076"/>
        <n v="349844.3615384615"/>
        <n v="183249.26153846155"/>
        <n v="270910.05384615384"/>
        <n v="282204.5230769231"/>
        <n v="389877.53846153844"/>
        <n v="239346.81538461536"/>
        <n v="257491.36923076925"/>
        <n v="319377.7946153846"/>
        <n v="115102.03846153845"/>
        <n v="269535.7253846154"/>
        <n v="479024.68461538455"/>
        <n v="521163.8769230769"/>
        <n v="304806.9854230769"/>
        <n v="102160.21538461538"/>
        <n v="83886.67692307691"/>
        <n v="180007.08753846152"/>
        <n v="303444.3653846154"/>
        <n v="266079.27846153843"/>
        <n v="175846.6446153846"/>
        <n v="202056.3451923077"/>
        <n v="111375.6648"/>
        <n v="165952.05877692305"/>
        <n v="125305.56399230768"/>
        <n v="106508.82307692307"/>
        <n v="39424.85384615384"/>
        <n v="291527.8831384615"/>
        <n v="218151.6"/>
        <n v="94547.0"/>
        <n v="84618.75436923077"/>
        <n v="152152.96544615386"/>
        <n v="124018.33614615384"/>
        <n v="97812.8923076923"/>
        <n v="88833.63816923076"/>
        <n v="124621.03076923077"/>
        <n v="123343.24153846155"/>
        <n v="20847.353846153845"/>
        <n v="102510.4018923077"/>
        <n v="396844.24095384614"/>
        <n v="106745.03623846154"/>
        <n v="121581.84923076924"/>
        <n v="88147.13846153846"/>
        <n v="190344.3008"/>
        <n v="28040.97692307692"/>
        <n v="136423.60523076923"/>
        <n v="83014.63505384616"/>
        <n v="42699.38461538461"/>
        <n v="346048.63569230767"/>
        <n v="289900.0938461538"/>
        <n v="8642.376923076923"/>
        <n v="381635.95355384616"/>
        <n v="98432.2134076923"/>
        <n v="101620.2923076923"/>
        <n v="331756.1807230769"/>
        <n v="312856.1615384615"/>
        <n v="277257.14947692305"/>
        <n v="383761.6669230769"/>
        <n v="19998.63846153846"/>
        <n v="202281.06923076924"/>
        <n v="76226.26923076922"/>
        <n v="150138.8230769231"/>
        <n v="219200.11557692307"/>
        <n v="41938.95039230769"/>
        <n v="186502.14615384614"/>
        <n v="140406.0769230769"/>
        <n v="131801.93944615382"/>
        <n v="162133.1846153846"/>
        <n v="67454.76536923076"/>
        <n v="69189.12307692308"/>
        <n v="145147.84546153847"/>
        <n v="113093.66153846154"/>
        <n v="161811.8923076923"/>
        <n v="117272.7846153846"/>
        <n v="69249.01181538461"/>
        <n v="68487.35856923077"/>
        <n v="76299.02338461539"/>
        <n v="148582.33846153846"/>
        <n v="124540.74078461538"/>
        <n v="219429.2774153846"/>
        <n v="164514.63076923075"/>
        <n v="160977.42935384615"/>
        <n v="141658.27661538462"/>
        <n v="129383.86666153846"/>
        <n v="195198.78461538462"/>
        <n v="646741.2813"/>
        <n v="570447.6369538462"/>
        <n v="872904.4042846154"/>
        <n v="622499.3303153847"/>
        <n v="764540.5879230769"/>
        <n v="806120.1933307692"/>
        <n v="616932.9235384614"/>
        <n v="681486.5666461538"/>
        <n v="636230.3201153845"/>
        <n v="744856.585476923"/>
        <n v="605833.7657076922"/>
        <n v="525087.9153846154"/>
        <n v="898617.7503076922"/>
        <n v="506964.83088461537"/>
        <n v="571050.764276923"/>
        <n v="168769.33384615384"/>
        <n v="196334.07284615384"/>
        <n v="205428.24997692305"/>
        <n v="208822.3307692308"/>
        <n v="512623.0388076923"/>
        <n v="182019.63597692308"/>
        <n v="137701.4149"/>
        <n v="159537.61835384613"/>
        <n v="291528.45785384614"/>
        <n v="147709.19777692307"/>
        <n v="336001.0803923077"/>
        <n v="281373.5702153846"/>
        <n v="264121.66047692305"/>
        <n v="202175.53846153847"/>
        <n v="156584.5876923077"/>
        <n v="167669.98904615385"/>
        <n v="121448.35925384614"/>
        <n v="241760.2076923077"/>
        <n v="181509.9923076923"/>
        <n v="340349.5336923077"/>
        <n v="218895.4076923077"/>
        <n v="263823.3461538461"/>
        <n v="285708.40769230766"/>
        <n v="250663.8153846154"/>
        <n v="156117.80846153846"/>
        <n v="186035.5973846154"/>
        <n v="194827.87672307692"/>
        <n v="197299.08136923076"/>
        <n v="182377.32307692306"/>
        <n v="150809.61403846153"/>
        <n v="193118.3230769231"/>
        <n v="147588.0"/>
        <n v="122940.53466153846"/>
        <n v="90381.16923076923"/>
        <n v="134168.53587692307"/>
        <n v="151098.71538461538"/>
        <n v="104864.4846153846"/>
        <n v="129793.76153846155"/>
        <n v="91828.48910769231"/>
        <n v="77264.32873846154"/>
        <n v="58400.7992"/>
        <n v="285591.72307692305"/>
        <n v="275436.23846153845"/>
        <n v="467483.70729230763"/>
        <n v="355401.6076923077"/>
        <n v="279597.8615384615"/>
        <n v="363750.5569230769"/>
        <n v="329754.6307692308"/>
        <n v="356339.00384615385"/>
        <n v="256649.1615384615"/>
        <n v="464232.5484615384"/>
        <n v="416475.0769230769"/>
        <n v="331721.6692307692"/>
        <n v="269626.3076923077"/>
        <n v="364896.93846153846"/>
        <n v="317179.04615384614"/>
        <n v="306548.18846153846"/>
        <n v="48380.49925384615"/>
        <n v="158820.4117"/>
        <n v="141592.70844615385"/>
        <n v="166333.5736307692"/>
        <n v="171097.83406153845"/>
        <n v="195740.02307692307"/>
        <n v="149313.46028461537"/>
        <n v="107692.85196923077"/>
        <n v="36168.75384615384"/>
        <n v="51066.35384615384"/>
        <n v="81560.98336923077"/>
        <n v="102040.10621538461"/>
        <n v="129348.2923076923"/>
        <m/>
      </sharedItems>
    </cacheField>
    <cacheField name="неделя" numFmtId="0">
      <sharedItems containsSemiMixedTypes="0" containsString="0" containsNumber="1" containsInteger="1">
        <n v="22.0"/>
        <n v="20.0"/>
        <n v="21.0"/>
        <n v="19.0"/>
        <n v="18.0"/>
        <n v="23.0"/>
      </sharedItems>
    </cacheField>
    <cacheField name="Наценка %" numFmtId="10">
      <sharedItems containsString="0" containsBlank="1" containsNumber="1">
        <n v="10.366522453955508"/>
        <n v="11.226715055581975"/>
        <n v="0.4652863084596274"/>
        <n v="23.9261214199366"/>
        <n v="22.109428356665795"/>
        <n v="25.818418638540706"/>
        <n v="25.19451918117429"/>
        <n v="26.460480794836176"/>
        <n v="24.013369702104352"/>
        <n v="25.20565585687135"/>
        <n v="23.97045125377396"/>
        <n v="26.43377431415247"/>
        <n v="26.61704285229463"/>
        <n v="21.555020794013092"/>
        <n v="22.589543386631295"/>
        <n v="25.12952699175003"/>
        <n v="24.88726847226672"/>
        <n v="26.937457630387534"/>
        <n v="26.457827592572052"/>
        <n v="22.108756357697064"/>
        <n v="18.73857401733803"/>
        <n v="25.0247937128983"/>
        <n v="25.515370171893732"/>
        <n v="25.11337245488746"/>
        <n v="23.98548364518177"/>
        <n v="23.55566853061571"/>
        <n v="21.899334485936905"/>
        <n v="25.960065253637023"/>
        <n v="25.192442042836007"/>
        <n v="26.67797767231078"/>
        <n v="31.227854639768026"/>
        <n v="25.600524939649837"/>
        <n v="32.4405492390208"/>
        <n v="32.53698290965267"/>
        <n v="33.01012654360565"/>
        <n v="32.18671214014223"/>
        <n v="31.66847770096269"/>
        <n v="31.324354705219935"/>
        <n v="29.72712723033839"/>
        <n v="33.49118832113293"/>
        <n v="27.2593030904744"/>
        <n v="22.366916823640903"/>
        <n v="30.83540942992103"/>
        <n v="33.4923410120022"/>
        <n v="32.24785220484744"/>
        <n v="32.76772567529785"/>
        <n v="31.365094155957745"/>
        <n v="21.217690324007595"/>
        <n v="32.06115855131042"/>
        <n v="31.292418189189053"/>
        <n v="32.73058631036916"/>
        <n v="31.83886727959248"/>
        <n v="31.80530728931896"/>
        <n v="27.769374177792507"/>
        <n v="10.357487421959338"/>
        <n v="14.480910260090207"/>
        <n v="15.630189779767633"/>
        <n v="11.590270794928552"/>
        <n v="13.155307416588455"/>
        <n v="1.807418876624956"/>
        <n v="7.360921290832528"/>
        <n v="19.114907931725362"/>
        <n v="7.3943633625691705"/>
        <n v="15.515222221399034"/>
        <n v="15.70743919505569"/>
        <n v="13.92301480499897"/>
        <n v="10.487284466719515"/>
        <n v="-2.987357371482195"/>
        <n v="8.26238654807466"/>
        <n v="25.6461368328466"/>
        <n v="10.773869488209144"/>
        <n v="25.03235622435262"/>
        <n v="12.996802162891441"/>
        <n v="16.05809450305443"/>
        <n v="30.63480453416796"/>
        <n v="18.29893135185478"/>
        <n v="7.955874295773352"/>
        <n v="12.127582365969579"/>
        <n v="11.400820308873685"/>
        <n v="13.887298850827431"/>
        <n v="17.982702607810054"/>
        <n v="16.623154565448793"/>
        <n v="20.24972146645479"/>
        <n v="18.66162166414575"/>
        <n v="22.349232653737204"/>
        <n v="21.000962452445965"/>
        <n v="23.39299897435574"/>
        <n v="25.09931794853894"/>
        <n v="23.734732427691533"/>
        <n v="23.764232652140702"/>
        <n v="23.479544223919902"/>
        <n v="27.048087976006478"/>
        <n v="23.980717353630755"/>
        <n v="28.288329249600135"/>
        <n v="21.439909902681872"/>
        <n v="22.61005278530756"/>
        <n v="25.469867052306235"/>
        <n v="25.563639236905157"/>
        <n v="25.823412434897815"/>
        <n v="25.01893637174828"/>
        <n v="25.281716058011522"/>
        <n v="19.56117123877153"/>
        <n v="25.238043247898567"/>
        <n v="25.871937193572155"/>
        <n v="26.222141297954543"/>
        <n v="25.42474243285446"/>
        <n v="25.34950174363267"/>
        <n v="19.891974160112756"/>
        <n v="26.024768727623872"/>
        <n v="25.151847799874687"/>
        <n v="25.708024345368102"/>
        <n v="36.0658584376997"/>
        <n v="37.053163823927385"/>
        <n v="36.605630921044444"/>
        <n v="38.56200205236835"/>
        <n v="38.646932189288925"/>
        <n v="35.881909422423405"/>
        <n v="36.82321618157985"/>
        <n v="37.82112057676893"/>
        <n v="36.57128742870876"/>
        <n v="38.42622982369651"/>
        <n v="33.74942280689868"/>
        <n v="36.30835284478029"/>
        <n v="39.100227616534234"/>
        <n v="36.01816135192591"/>
        <n v="38.188496450853755"/>
        <n v="38.23748482938788"/>
        <n v="38.24906874589686"/>
        <n v="33.185638997307464"/>
        <n v="38.1825909361973"/>
        <n v="37.39712645200666"/>
        <n v="38.82158472382805"/>
        <n v="35.98267755005078"/>
        <n v="36.28199991881307"/>
        <n v="31.91073296582092"/>
        <n v="36.38123785479894"/>
        <n v="38.341638566824024"/>
        <n v="36.85701508376179"/>
        <n v="38.86635060157651"/>
        <n v="39.21613907517896"/>
        <n v="36.366819409431514"/>
        <n v="37.73374911967905"/>
        <n v="39.04708684012919"/>
        <n v="37.52684937456897"/>
        <n v="39.09834171578554"/>
        <n v="34.96147065155854"/>
        <n v="37.9383896179945"/>
        <n v="39.10103190353288"/>
        <n v="36.921205051272004"/>
        <n v="38.82800697263052"/>
        <n v="30.397526661479766"/>
        <n v="38.71293326745225"/>
        <n v="29.739213531811593"/>
        <n v="38.68092165360519"/>
        <n v="33.379973964291786"/>
        <n v="35.29961607526608"/>
        <n v="39.507263158710316"/>
        <n v="38.105046059573624"/>
        <n v="38.87701762559225"/>
        <n v="36.40747660897869"/>
        <n v="37.19199425328992"/>
        <n v="32.503326778059346"/>
        <n v="25.385559078251273"/>
        <n v="25.601935778422675"/>
        <n v="26.351746378659254"/>
        <n v="31.13264427601835"/>
        <n v="30.616162115933765"/>
        <n v="29.916652503572784"/>
        <n v="31.41797312194163"/>
        <n v="30.15708469857337"/>
        <n v="26.795234882885826"/>
        <n v="30.549544761206583"/>
        <n v="20.980235510634483"/>
        <n v="13.421126335585901"/>
        <n v="30.147916628503214"/>
        <n v="31.052491930118165"/>
        <n v="29.509734057887083"/>
        <n v="32.475109654804186"/>
        <n v="30.640040660108237"/>
        <n v="31.77005514784866"/>
        <n v="31.25905238609546"/>
        <n v="18.208422172559942"/>
        <n v="36.35547088794896"/>
        <n v="30.364459993817878"/>
        <n v="29.64584813677566"/>
        <n v="30.444169082533502"/>
        <n v="31.136688322890542"/>
        <n v="30.0735052966691"/>
        <n v="20.938306253007614"/>
        <n v="23.490370239368467"/>
        <n v="27.10196970128369"/>
        <n v="26.182972771400408"/>
        <n v="29.368630904537284"/>
        <n v="29.892278185966475"/>
        <n v="29.228147860259917"/>
        <n v="29.23459475857213"/>
        <n v="29.33312377349509"/>
        <n v="26.65460526958503"/>
        <n v="30.316079163935616"/>
        <n v="25.058165964854144"/>
        <n v="24.764638599957042"/>
        <n v="30.998776547885125"/>
        <n v="27.47063240798254"/>
        <n v="27.39594518141983"/>
        <n v="25.67187876636584"/>
        <n v="29.3407573610797"/>
        <n v="23.71061818949943"/>
        <n v="30.73718827460608"/>
        <n v="23.201793534019853"/>
        <n v="28.635512747535802"/>
        <n v="28.624138960424737"/>
        <n v="29.00297142351642"/>
        <n v="29.262704463341667"/>
        <n v="28.988405202261774"/>
        <n v="30.198335146197202"/>
        <n v="23.274952119547255"/>
        <n v="28.6008167764071"/>
        <n v="28.31095169914039"/>
        <n v="29.5788987940133"/>
        <n v="26.253302067687905"/>
        <n v="20.0283972061461"/>
        <n v="26.808470578927036"/>
        <n v="25.504979738259753"/>
        <n v="24.144236958791257"/>
        <n v="20.253246504963535"/>
        <n v="24.87865874024175"/>
        <n v="23.078870114776414"/>
        <n v="22.868220136144245"/>
        <n v="22.832002665691526"/>
        <n v="21.358210399657924"/>
        <n v="21.64315728366864"/>
        <n v="23.961420915400627"/>
        <n v="20.6505568710743"/>
        <n v="25.96094133699462"/>
        <n v="24.06603479654773"/>
        <n v="24.205213129161468"/>
        <n v="22.29913334814396"/>
        <n v="23.846678410471576"/>
        <n v="21.953203356700843"/>
        <n v="25.054052312430397"/>
        <n v="24.628399027762914"/>
        <n v="25.084459830099977"/>
        <n v="23.158872611527872"/>
        <n v="23.318419375322293"/>
        <n v="17.32383966135347"/>
        <n v="24.499066939812536"/>
        <n v="18.796572823915426"/>
        <n v="12.715170095282971"/>
        <n v="26.34375057033347"/>
        <n v="14.796455134029149"/>
        <n v="27.07697959603706"/>
        <n v="19.692917253796573"/>
        <n v="19.240386281245488"/>
        <n v="22.680815861099163"/>
        <n v="20.618459996903123"/>
        <n v="11.535506616927487"/>
        <n v="26.21859703276147"/>
        <n v="20.85996006350384"/>
        <n v="24.445668888188372"/>
        <n v="3.272322671059475"/>
        <n v="23.88870510279628"/>
        <n v="13.43569969582743"/>
        <n v="22.343514847489164"/>
        <n v="25.25860102401472"/>
        <n v="24.857218854626954"/>
        <n v="21.508924718241644"/>
        <n v="17.7023972020174"/>
        <n v="19.375276515047364"/>
        <n v="17.51856508238161"/>
        <n v="24.222782508321334"/>
        <n v="24.89266915567639"/>
        <n v="25.030390789722155"/>
        <n v="24.639629464774487"/>
        <n v="26.85359331185211"/>
        <n v="27.875659406139974"/>
        <n v="25.81735235385366"/>
        <n v="27.018188634243266"/>
        <n v="25.082372117386438"/>
        <n v="27.656394358936133"/>
        <n v="25.227090742339698"/>
        <n v="25.364799135228232"/>
        <n v="27.056066820402474"/>
        <n v="26.954660710634215"/>
        <n v="23.22628130447899"/>
        <n v="28.30750626325489"/>
        <n v="23.886336790817563"/>
        <n v="25.840709982124444"/>
        <n v="21.916183090367454"/>
        <n v="24.522909619140083"/>
        <n v="27.402943823926762"/>
        <n v="26.96405992130522"/>
        <n v="27.26707108304832"/>
        <n v="25.592050732043774"/>
        <n v="25.65020530792616"/>
        <n v="20.765639094561354"/>
        <n v="37.41714334425715"/>
        <n v="36.87532389251568"/>
        <n v="24.097634899635757"/>
        <n v="24.799138333344"/>
        <n v="25.522488382059862"/>
        <n v="36.700047349467155"/>
        <n v="37.37040067301972"/>
        <n v="36.895761978071675"/>
        <n v="37.539932331511935"/>
        <n v="37.63151255225788"/>
        <n v="37.24873222945425"/>
        <n v="36.41963542259556"/>
        <n v="38.17842155364406"/>
        <n v="37.64268357548288"/>
        <n v="38.82382050463272"/>
        <n v="34.90005947098766"/>
        <n v="37.602841096474926"/>
        <n v="38.81034838381406"/>
        <n v="36.694603108796194"/>
        <n v="39.04531623946191"/>
        <n v="38.13004272814096"/>
        <n v="37.15853866009732"/>
        <n v="31.50736056335266"/>
        <n v="38.19478678251005"/>
        <n v="37.625379403048285"/>
        <n v="37.06480004569496"/>
        <n v="36.76350340661351"/>
        <n v="35.07668946473685"/>
        <n v="31.96017666983965"/>
        <n v="35.95285995438384"/>
        <n v="36.5568025882027"/>
        <n v="36.32645732961613"/>
        <n v="37.53043030789661"/>
        <n v="37.349597704867435"/>
        <n v="36.669513477383575"/>
        <n v="37.91905688714516"/>
        <n v="38.11687414127055"/>
        <n v="38.64522085338877"/>
        <n v="34.18898610693762"/>
        <n v="37.24606938783795"/>
        <n v="39.057058483820946"/>
        <n v="38.43641407625508"/>
        <n v="32.54434354717366"/>
        <n v="38.00157394190162"/>
        <n v="31.896662248929147"/>
        <n v="37.19044945542485"/>
        <n v="30.71177933864291"/>
        <n v="35.33979584271485"/>
        <n v="37.944182243401876"/>
        <n v="37.685635390534316"/>
        <n v="36.92800935146523"/>
        <n v="36.62148407565759"/>
        <n v="35.43185288012206"/>
        <n v="31.150263196373967"/>
        <n v="13.198116435489906"/>
        <n v="13.474925654299918"/>
        <n v="32.23179734859089"/>
        <n v="31.051011674147507"/>
        <n v="34.996304092050195"/>
        <n v="20.440658876058293"/>
        <n v="17.006133276008477"/>
        <n v="23.749675429838934"/>
        <n v="20.08421682118877"/>
        <n v="18.929801414518053"/>
        <n v="17.105539630867206"/>
        <n v="13.000223125892202"/>
        <n v="16.747073008715994"/>
        <n v="18.533393903557318"/>
        <n v="21.035540744125907"/>
        <n v="18.737002059077447"/>
        <n v="17.561465760364133"/>
        <n v="20.70247179181296"/>
        <n v="16.822156840525302"/>
        <n v="18.430203477250533"/>
        <n v="22.043728459230568"/>
        <n v="23.925841068445642"/>
        <n v="16.622620718224155"/>
        <n v="20.088499092941962"/>
        <n v="17.261924789781734"/>
        <n v="19.246448668089087"/>
        <n v="22.665355237112305"/>
        <n v="24.671454450524248"/>
        <n v="15.58798710540525"/>
        <n v="7.423478663837453"/>
        <n v="15.736676563728377"/>
        <n v="8.271505287397572"/>
        <n v="16.752217233210427"/>
        <n v="24.82514492462195"/>
        <n v="21.250107351101523"/>
        <n v="13.62241555145085"/>
        <n v="27.120969313186936"/>
        <n v="21.533887963336703"/>
        <n v="23.731189641897572"/>
        <n v="26.774543172039095"/>
        <n v="25.113721801241777"/>
        <n v="24.41393506684553"/>
        <n v="26.93049227152498"/>
        <n v="16.270828182234602"/>
        <n v="25.430939834908965"/>
        <n v="31.14950586755275"/>
        <n v="20.45791032672727"/>
        <n v="32.54455011025619"/>
        <n v="20.26869517471882"/>
        <n v="33.785228141368144"/>
        <n v="31.540293414967625"/>
        <n v="32.16840802145401"/>
        <n v="30.776764264070206"/>
        <n v="20.0832913374212"/>
        <n v="11.80310275619435"/>
        <n v="23.604299822660916"/>
        <n v="17.968876755590994"/>
        <n v="27.016081430470834"/>
        <n v="15.12414618909131"/>
        <n v="11.830317800892445"/>
        <n v="10.842201324223382"/>
        <n v="19.20171212532106"/>
        <n v="26.50889733705203"/>
        <n v="21.681575477603324"/>
        <n v="27.928793630349396"/>
        <n v="26.74647351972005"/>
        <n v="26.727483328311347"/>
        <n v="26.282577078164937"/>
        <n v="23.291354997078813"/>
        <n v="25.521675889557326"/>
        <n v="38.203335239425776"/>
        <n v="32.2731674212577"/>
        <n v="32.53570912416138"/>
        <n v="39.300509499967504"/>
        <n v="39.90805232507913"/>
        <n v="37.51186126569033"/>
        <n v="35.40168623498902"/>
        <n v="39.20902672308738"/>
        <n v="33.06381553345758"/>
        <n v="34.795826212722076"/>
        <n v="39.40499697564511"/>
        <n v="29.065012159947727"/>
        <n v="40.5961352855921"/>
        <n v="38.12904887670775"/>
        <n v="35.89874438933093"/>
        <n v="29.425616908365136"/>
        <n v="17.763657245520186"/>
        <n v="33.88914763173435"/>
        <n v="31.792491146671708"/>
        <n v="30.906357187437354"/>
        <n v="29.266834205812536"/>
        <n v="26.400074039234024"/>
        <n v="23.389582835323885"/>
        <n v="30.676635619482255"/>
        <n v="20.50123131228431"/>
        <n v="30.016379920303134"/>
        <n v="30.25166451136964"/>
        <n v="24.718545914722398"/>
        <n v="29.420444309018595"/>
        <n v="25.529590814340352"/>
        <n v="21.968107623780636"/>
        <n v="27.22368068404534"/>
        <n v="22.12032438333025"/>
        <n v="21.51144730684308"/>
        <n v="26.93493957626612"/>
        <n v="25.631381651317554"/>
        <n v="26.752860866728632"/>
        <n v="25.110881247484013"/>
        <n v="25.106448758556336"/>
        <n v="25.59760625004416"/>
        <n v="21.838007842839023"/>
        <n v="26.868324290140382"/>
        <n v="16.54191782886418"/>
        <n v="25.19952299584015"/>
        <n v="24.242621913999933"/>
        <n v="18.517433342739494"/>
        <n v="21.8284914402922"/>
        <n v="24.217936775500913"/>
        <n v="20.523528174943586"/>
        <n v="28.018765760312682"/>
        <n v="28.981739521361398"/>
        <n v="24.2603838086408"/>
        <n v="29.39284337734845"/>
        <n v="25.978156600026125"/>
        <n v="23.52111992665543"/>
        <n v="24.457994284307745"/>
        <n v="37.56867208349782"/>
        <n v="31.411937922563382"/>
        <n v="35.60743764833153"/>
        <n v="38.86903089803583"/>
        <n v="40.441200866070375"/>
        <n v="36.95108182177189"/>
        <n v="35.00349451562156"/>
        <n v="36.939804318531046"/>
        <n v="31.247668238674553"/>
        <n v="35.48870298258583"/>
        <n v="39.09716751967529"/>
        <n v="31.127143362837078"/>
        <n v="40.097673116832034"/>
        <n v="36.64508770645577"/>
        <n v="34.806645935611314"/>
        <n v="30.514112509228735"/>
        <n v="15.132019443570133"/>
        <n v="22.164857474721586"/>
        <n v="8.859564781187716"/>
        <n v="21.715653501766308"/>
        <n v="22.39055283851631"/>
        <n v="17.033423615613533"/>
        <n v="21.389781352931443"/>
        <n v="22.733558607945685"/>
        <n v="18.744943524250353"/>
        <n v="16.03967756530734"/>
        <n v="17.520632034474584"/>
        <n v="21.81454963915828"/>
        <n v="28.54955933576187"/>
        <m/>
      </sharedItems>
    </cacheField>
    <cacheField name="Доходность %" numFmtId="10">
      <sharedItems containsString="0" containsBlank="1" containsNumber="1">
        <n v="0.10294613924366244"/>
        <n v="0.14277616900499426"/>
        <n v="0.09546729577058301"/>
        <n v="0.08668152023770982"/>
        <n v="0.11865392384399795"/>
        <n v="0.08562751246495362"/>
        <n v="0.07977516222957176"/>
        <n v="0.11817180962858986"/>
        <n v="0.05306103857070788"/>
        <n v="0.06841286287482079"/>
        <n v="0.08721847052218233"/>
        <n v="0.07656232288936932"/>
        <n v="0.11933234508675113"/>
        <n v="0.10990590679711945"/>
        <n v="0.15689759416410623"/>
        <n v="0.09894839363871824"/>
        <n v="0.061798625090159647"/>
        <n v="0.1373504727914563"/>
        <n v="0.1017065117542297"/>
        <n v="0.10416391518172861"/>
        <n v="0.06163870904529772"/>
        <n v="0.1105270617601804"/>
        <n v="0.07213961147872743"/>
        <n v="0.11218391180902133"/>
        <n v="0.13441056287419575"/>
        <n v="0.11458877905373413"/>
        <n v="0.09652981759405342"/>
        <n v="0.03252020481997208"/>
        <n v="0.06188898511339966"/>
        <n v="0.1213716739720893"/>
        <n v="0.02009359025100001"/>
        <n v="0.028621514957685376"/>
        <n v="0.00902583000243845"/>
        <n v="0.04702913108690744"/>
        <n v="0.0324128735497686"/>
        <n v="0.02406089107987312"/>
        <n v="0.04397797178922464"/>
        <n v="0.02125844273162583"/>
        <n v="0.02082310467905751"/>
        <n v="0.02835602237702869"/>
        <n v="0.018233059843708866"/>
        <n v="0.09862031792562906"/>
        <n v="0.05577453009787283"/>
        <n v="0.02025823277737814"/>
        <n v="0.032595162089621765"/>
        <n v="0.023022622524737676"/>
        <n v="0.025513524067032615"/>
        <n v="0.01572772861485688"/>
        <n v="0.015180556805176874"/>
        <n v="0.00449593292056215"/>
        <n v="0.0169277008227729"/>
        <n v="0.03205982986770894"/>
        <n v="0.027938564683955072"/>
        <n v="0.014665583142952344"/>
        <n v="0.06424272121185709"/>
        <n v="0.08289215813403189"/>
        <n v="0.16679788748782587"/>
        <n v="0.05866568895553987"/>
        <n v="0.13448726574050665"/>
        <n v="0.07295844662081084"/>
        <n v="0.1937643765524121"/>
        <n v="0.11136743816731488"/>
        <n v="0.1366336719533724"/>
        <n v="0.18576340820787993"/>
        <n v="0.10084728418879477"/>
        <n v="0.06211728173046239"/>
        <n v="0.11600283377742612"/>
        <n v="0.059404619123855175"/>
        <n v="0.12921175944618798"/>
        <n v="0.006333340208919207"/>
        <n v="0.11588460012978065"/>
        <n v="0.014994276610321964"/>
        <n v="0.14296567793441145"/>
        <n v="0.059650803379393304"/>
        <n v="0.021455623611951267"/>
        <n v="0.08265603491264374"/>
        <n v="0.033893568885526394"/>
        <n v="0.09925464222263995"/>
        <n v="0.09087408372093322"/>
        <n v="0.10038831022223028"/>
        <n v="0.09923541005523721"/>
        <n v="0.047310639239623906"/>
        <n v="0.0684485048191844"/>
        <n v="0.0666357668005079"/>
        <n v="0.04669770828361557"/>
        <n v="0.07868283955541551"/>
        <n v="0.05699388375930763"/>
        <n v="0.06717855732259059"/>
        <n v="0.07677549686677233"/>
        <n v="0.06651375292425298"/>
        <n v="0.1021713527490267"/>
        <n v="0.06656742731168462"/>
        <n v="0.11686424416687174"/>
        <n v="0.05984732036185808"/>
        <n v="0.06575713923346486"/>
        <n v="0.07503153436142014"/>
        <n v="0.08579974295731674"/>
        <n v="0.06645368674892234"/>
        <n v="0.08726325663916157"/>
        <n v="0.07850394496197963"/>
        <n v="0.16106376071500053"/>
        <n v="0.043262684084815796"/>
        <n v="0.0584079546561643"/>
        <n v="0.04281526580793139"/>
        <n v="0.059270851461079"/>
        <n v="0.06676742903653211"/>
        <n v="0.09433022091795826"/>
        <n v="0.053308211661116885"/>
        <n v="0.035466805354495826"/>
        <n v="0.04998106058680392"/>
        <n v="0.05817851001089483"/>
        <n v="0.018460716898802763"/>
        <n v="0.028026365343089863"/>
        <n v="0.020682479908305722"/>
        <n v="0.01845314693555516"/>
        <n v="0.03365881284690851"/>
        <n v="0.021423532316334204"/>
        <n v="0.026050383674284718"/>
        <n v="0.023161533681706092"/>
        <n v="0.028865682325131654"/>
        <n v="0.02672664189264568"/>
        <n v="0.02952487674035876"/>
        <n v="0.035825328903159544"/>
        <n v="0.03370170755972083"/>
        <n v="0.021870121847255283"/>
        <n v="0.0240369642439418"/>
        <n v="0.02743340267883395"/>
        <n v="0.02746403643216422"/>
        <n v="0.017134324654488737"/>
        <n v="0.025705558718479488"/>
        <n v="0.008187955285370791"/>
        <n v="0.018336459385160656"/>
        <n v="0.019038681076817558"/>
        <n v="0.03416357829209105"/>
        <n v="0.02155767824441832"/>
        <n v="0.013509334555185748"/>
        <n v="0.017566688269104565"/>
        <n v="0.015383346999948342"/>
        <n v="0.015048259389219935"/>
        <n v="0.028078804298745562"/>
        <n v="0.015469275641073765"/>
        <n v="0.020655688708897453"/>
        <n v="0.0153609873483072"/>
        <n v="0.021169781223290038"/>
        <n v="0.013528022949618194"/>
        <n v="0.01882999998625956"/>
        <n v="0.02517091692607845"/>
        <n v="0.025778869077512357"/>
        <n v="0.015329019405932757"/>
        <n v="0.015668294535861566"/>
        <n v="0.009673997619236954"/>
        <n v="0.022394998344380468"/>
        <n v="0.015146938300081254"/>
        <n v="0.02474783121773761"/>
        <n v="0.012838132727185569"/>
        <n v="0.021014004974232895"/>
        <n v="0.020128830466375553"/>
        <n v="0.00798968616228731"/>
        <n v="0.01365422235564984"/>
        <n v="0.0142588917950238"/>
        <n v="0.032633390777101874"/>
        <n v="0.015034756346392324"/>
        <n v="0.023513173084396044"/>
        <n v="0.04109309753574415"/>
        <n v="0.021146493605322874"/>
        <n v="0.03047578471209858"/>
        <n v="0.06075262401877374"/>
        <n v="0.018427774103513477"/>
        <n v="0.04359420301590092"/>
        <n v="0.02847467917232221"/>
        <n v="0.027993982906712147"/>
        <n v="0.03316118535659129"/>
        <n v="0.024385425774012485"/>
        <n v="0.03919255720600478"/>
        <n v="0.04030601350704381"/>
        <n v="0.019573285643380706"/>
        <n v="0.028729022589863144"/>
        <n v="0.007763931093220787"/>
        <n v="0.02777896280528077"/>
        <n v="0.01191751189495896"/>
        <n v="0.04304773124183385"/>
        <n v="0.019515043488068016"/>
        <n v="0.016566156085349722"/>
        <n v="0.02370819582135761"/>
        <n v="0.01040117882045809"/>
        <n v="0.020918026241694285"/>
        <n v="0.04326915478457031"/>
        <n v="0.02555010138238803"/>
        <n v="0.02571330820236057"/>
        <n v="0.03611925292417341"/>
        <n v="0.06897060814521029"/>
        <n v="0.09176024893707721"/>
        <n v="0.05975769067130565"/>
        <n v="0.0765959566795735"/>
        <n v="0.07713570620516244"/>
        <n v="0.0759646029711965"/>
        <n v="0.046024136931691995"/>
        <n v="0.0767990895170754"/>
        <n v="0.06493586310083964"/>
        <n v="0.03794735891318017"/>
        <n v="0.05242456265042275"/>
        <n v="0.08290412203499067"/>
        <n v="0.0490654791997804"/>
        <n v="0.06328389859028084"/>
        <n v="0.009315130407740088"/>
        <n v="0.06446267645257396"/>
        <n v="0.02130812896584212"/>
        <n v="0.0635720982993119"/>
        <n v="0.04179011350527452"/>
        <n v="0.03704049626887972"/>
        <n v="0.05067742369546106"/>
        <n v="0.02223441318965623"/>
        <n v="0.07277541793263043"/>
        <n v="0.04884711430139135"/>
        <n v="0.05478149209962149"/>
        <n v="0.0506501933027374"/>
        <n v="0.013421044572735161"/>
        <n v="0.04614433992129923"/>
        <n v="0.04903121455789314"/>
        <n v="0.11842132573087588"/>
        <n v="0.18950293724103537"/>
        <n v="0.1631257825365961"/>
        <n v="0.24466468228059227"/>
        <n v="0.22457336194740718"/>
        <n v="0.1664984859113852"/>
        <n v="0.13009590766897997"/>
        <n v="0.18273848390563996"/>
        <n v="0.1858894961184294"/>
        <n v="0.25296333971946205"/>
        <n v="0.1645042675450512"/>
        <n v="0.20064182767687633"/>
        <n v="0.15915438215610953"/>
        <n v="0.15694801053961102"/>
        <n v="0.18739782429941115"/>
        <n v="0.17248478695939634"/>
        <n v="0.3058078643591325"/>
        <n v="0.11153601352782906"/>
        <n v="0.16330537102130094"/>
        <n v="0.053467720879737536"/>
        <n v="0.1714280628777201"/>
        <n v="0.1555329250513321"/>
        <n v="0.24371043305905696"/>
        <n v="0.13777474080245414"/>
        <n v="0.11803701047942414"/>
        <n v="0.12343026308528673"/>
        <n v="0.16217179992388853"/>
        <n v="0.13253223862622832"/>
        <n v="0.24685966585450178"/>
        <n v="0.05829810552713301"/>
        <n v="0.1521923430339538"/>
        <n v="0.18888974608695558"/>
        <n v="0.08451658392717708"/>
        <n v="0.19837616963095664"/>
        <n v="0.16712269244831301"/>
        <n v="0.14631243945445407"/>
        <n v="0.24815773004423508"/>
        <n v="0.055137923364201584"/>
        <n v="0.26680240553330314"/>
        <n v="0.07530267284971626"/>
        <n v="0.14316153499868337"/>
        <n v="0.07124483240753367"/>
        <n v="0.20873853458136815"/>
        <n v="0.20472843146209535"/>
        <n v="0.18777791357150037"/>
        <n v="0.18229936365123395"/>
        <n v="0.02840347516804369"/>
        <n v="0.1485560770592009"/>
        <n v="0.21531835046616066"/>
        <n v="0.23968649567783196"/>
        <n v="0.2870865349476685"/>
        <n v="0.0375699044611781"/>
        <n v="0.04436611504080033"/>
        <n v="0.03265762984168778"/>
        <n v="0.05931902861746291"/>
        <n v="0.06285251630370939"/>
        <n v="0.07227974705204461"/>
        <n v="0.039946607001899365"/>
        <n v="0.03238604265096212"/>
        <n v="0.051237358149972496"/>
        <n v="0.04676507242848956"/>
        <n v="0.04216984277659717"/>
        <n v="0.06286198707029918"/>
        <n v="0.06155157686256373"/>
        <n v="0.12565483761942037"/>
        <n v="0.05249918073421194"/>
        <n v="0.08572888075593013"/>
        <n v="0.05332089828007933"/>
        <n v="0.035573499638989696"/>
        <n v="0.17482070628430327"/>
        <n v="0.06925548266831287"/>
        <n v="0.01637163982856305"/>
        <n v="0.02897113994012956"/>
        <n v="0.06275644433917216"/>
        <n v="0.0498473407681579"/>
        <n v="0.024672995895228273"/>
        <n v="0.012637173806205066"/>
        <n v="0.012118895028623436"/>
        <n v="0.013546044372881807"/>
        <n v="0.037676708248631376"/>
        <n v="0.02902086473479459"/>
        <n v="0.010898453474349182"/>
        <n v="0.013522343171860634"/>
        <n v="0.013521121579122684"/>
        <n v="0.02101475768168789"/>
        <n v="0.014309464803153768"/>
        <n v="0.013629549402034914"/>
        <n v="0.01841696756848394"/>
        <n v="0.01082528032792348"/>
        <n v="0.014537374469034012"/>
        <n v="0.019960482575506817"/>
        <n v="0.015033751527237096"/>
        <n v="0.01899502456150336"/>
        <n v="0.016652394201273322"/>
        <n v="0.013407083837556346"/>
        <n v="0.021541805866412515"/>
        <n v="0.009617069133791336"/>
        <n v="0.01923702543858693"/>
        <n v="0.007220047461210819"/>
        <n v="0.015374658948573186"/>
        <n v="0.005131737853801768"/>
        <n v="0.010387878589920062"/>
        <n v="0.02145825683425222"/>
        <n v="0.023107557874605084"/>
        <n v="0.015965682957152033"/>
        <n v="0.013037986429952736"/>
        <n v="0.014252125259730051"/>
        <n v="0.013346440599493702"/>
        <n v="0.024552840919737275"/>
        <n v="0.01773482499500626"/>
        <n v="0.019907897628664357"/>
        <n v="0.011714793759834606"/>
        <n v="0.015884901541178595"/>
        <n v="0.018429276695029088"/>
        <n v="0.01410146843526542"/>
        <n v="0.01916602759600068"/>
        <n v="0.019074076279375525"/>
        <n v="0.018624592857014753"/>
        <n v="0.008489533222200451"/>
        <n v="0.010615983549016283"/>
        <n v="0.011505756856265132"/>
        <n v="0.017620433254043073"/>
        <n v="0.008928643813086189"/>
        <n v="0.012538698421985718"/>
        <n v="0.01612455049768117"/>
        <n v="0.005294369965563675"/>
        <n v="0.011497137310074035"/>
        <n v="0.02096747958803453"/>
        <n v="0.02428194187384866"/>
        <n v="0.01598264985858337"/>
        <n v="0.10408378786820772"/>
        <n v="0.08451708989661577"/>
        <n v="0.008688754567888759"/>
        <n v="0.01256395398574425"/>
        <n v="0.013610864067983014"/>
        <n v="0.133586491299532"/>
        <n v="0.17931705925025343"/>
        <n v="0.0962184660600296"/>
        <n v="0.1736260706610348"/>
        <n v="0.1382539445500604"/>
        <n v="0.1303881794567157"/>
        <n v="0.04728246697998999"/>
        <n v="0.25697864604904386"/>
        <n v="0.1997217739997391"/>
        <n v="0.08063201128457564"/>
        <n v="0.06948781696829337"/>
        <n v="0.1328179290200898"/>
        <n v="0.10575534061927128"/>
        <n v="0.11984670992794498"/>
        <n v="0.08738595868468099"/>
        <n v="0.08550967500775754"/>
        <n v="0.09296960630921082"/>
        <n v="0.020753733753193192"/>
        <n v="0.08426272003063374"/>
        <n v="0.379084691771394"/>
        <n v="0.11051583658266197"/>
        <n v="0.08770478118737918"/>
        <n v="0.07282140123295505"/>
        <n v="0.2991212326646709"/>
        <n v="0.05677540868786745"/>
        <n v="0.14690126446834145"/>
        <n v="0.12747223369348817"/>
        <n v="0.06146719355806554"/>
        <n v="0.11474706576198591"/>
        <n v="0.09378633959739624"/>
        <n v="0.018433708460807517"/>
        <n v="0.15392292178917175"/>
        <n v="0.055512485464573054"/>
        <n v="0.07324285920768803"/>
        <n v="0.11737849808317564"/>
        <n v="0.11573839588242879"/>
        <n v="0.0912542351411814"/>
        <n v="0.1303079935447559"/>
        <n v="0.023092489362630992"/>
        <n v="0.0633481021289426"/>
        <n v="0.011375215549958335"/>
        <n v="0.019426732614681322"/>
        <n v="0.03209409003850528"/>
        <n v="0.02946371768661713"/>
        <n v="0.02914679197202599"/>
        <n v="0.02124238309298661"/>
        <n v="0.021772312773032234"/>
        <n v="0.023578020419590447"/>
        <n v="0.0639503804463419"/>
        <n v="0.04755104419260175"/>
        <n v="0.14403274395781704"/>
        <n v="0.15400816321485417"/>
        <n v="0.021904609634895714"/>
        <n v="0.12523423822493956"/>
        <n v="0.07054966544757613"/>
        <n v="0.05952422980700661"/>
        <n v="0.05991455069371053"/>
        <n v="0.05081244199957336"/>
        <n v="0.03647749702259851"/>
        <n v="0.07281513311225726"/>
        <n v="0.04205406797153838"/>
        <n v="0.06219792274392583"/>
        <n v="0.05802052680927644"/>
        <n v="0.04387264991347752"/>
        <n v="0.05991269162984549"/>
        <n v="0.02210552811425289"/>
        <n v="0.019359672471261354"/>
        <n v="0.03143325519296039"/>
        <n v="0.02527584194346626"/>
        <n v="0.027765850674532258"/>
        <n v="0.028604799003919663"/>
        <n v="0.019068016691133605"/>
        <n v="0.017458408726418916"/>
        <n v="0.016107759984480996"/>
        <n v="0.019991942148320577"/>
        <n v="0.017933848794930356"/>
        <n v="0.012571794814406179"/>
        <n v="0.02436804727957772"/>
        <n v="0.013354129575853179"/>
        <n v="0.01350915926578221"/>
        <n v="0.028194507595048265"/>
        <n v="0.03303347122307349"/>
        <n v="0.03541689294447744"/>
        <n v="0.04032744211428977"/>
        <n v="0.00946287315189343"/>
        <n v="0.03139094139243698"/>
        <n v="0.025658955530990044"/>
        <n v="0.025347765339463365"/>
        <n v="0.07710655107733551"/>
        <n v="0.030513177747904765"/>
        <n v="0.08692865751598221"/>
        <n v="0.09136601622025259"/>
        <n v="0.036539461454018915"/>
        <n v="0.0601688737094011"/>
        <n v="0.049450695138766966"/>
        <n v="0.04444817051804743"/>
        <n v="0.029559576861255314"/>
        <n v="0.15080939756594722"/>
        <n v="0.10229782205424828"/>
        <n v="0.2229448700778934"/>
        <n v="0.19972172285480108"/>
        <n v="0.21170862239382596"/>
        <n v="0.23351891508221156"/>
        <n v="0.1829018724315089"/>
        <n v="0.1288678083180323"/>
        <n v="0.1317617010046433"/>
        <n v="0.12444036306290072"/>
        <n v="0.18248866619793846"/>
        <n v="0.10334930974416338"/>
        <n v="0.13523749035526858"/>
        <n v="0.20043365022604828"/>
        <n v="0.13145452092020302"/>
        <n v="0.05000518990176893"/>
        <n v="0.03557312379813132"/>
        <n v="0.05284373899111472"/>
        <n v="0.06981203049606484"/>
        <n v="0.06769730837263857"/>
        <n v="0.05583752201061805"/>
        <n v="0.04126489759333222"/>
        <n v="0.03118657282095185"/>
        <n v="0.0204574737152208"/>
        <n v="0.01278255670569479"/>
        <n v="0.01230682446111002"/>
        <n v="0.024016170627729195"/>
        <n v="0.019833626410519816"/>
        <n v="0.013690720753578169"/>
        <n v="0.01824002674713813"/>
        <n v="0.014284230438383082"/>
        <n v="0.017006322974960554"/>
        <n v="0.012331440586200186"/>
        <n v="0.02454413527689685"/>
        <n v="0.02454006294081301"/>
        <n v="0.014347547841405777"/>
        <n v="0.01357968526671897"/>
        <n v="0.019574967952978615"/>
        <n v="0.014486174011217165"/>
        <n v="0.013675326402997342"/>
        <n v="0.0703528063090695"/>
        <n v="0.11354282559475425"/>
        <n v="0.36397937458684887"/>
        <n v="0.18893899017075957"/>
        <n v="0.1390235677275481"/>
        <n v="0.1729646441159846"/>
        <n v="0.13685424941763397"/>
        <n v="0.07976069608174997"/>
        <n v="0.08802496482324758"/>
        <n v="0.060018715430393645"/>
        <n v="0.10164027349980001"/>
        <n v="0.07094713436895225"/>
        <n v="0.10002040822760283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3:E24" firstHeaderRow="0" firstDataRow="2" firstDataCol="1" rowPageCount="1" colPageCount="1"/>
  <pivotFields>
    <pivotField name="Дата" axis="axisCol" compact="0" numFmtId="164" outline="0" multipleItemSelectionAllowed="1" showAll="0" sortType="ascending">
      <items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name="Территория" axis="axisRow" compact="0" outline="0" multipleItemSelectionAllowed="1" showAll="0" sortType="ascending">
      <items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name="Товарооборот, ш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name="Товарооборот, руб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name="Товарооборот в себестоимост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t="default"/>
      </items>
    </pivotField>
    <pivotField name="Потери, руб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неделя" axis="axisPage" compact="0" outline="0" multipleItemSelectionAllowed="1" showAll="0">
      <items>
        <item h="1" x="0"/>
        <item h="1" x="1"/>
        <item h="1" x="2"/>
        <item h="1" x="3"/>
        <item h="1" x="4"/>
        <item x="5"/>
        <item t="default"/>
      </items>
    </pivotField>
    <pivotField name="Наценка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Доходность %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</pivotFields>
  <rowFields>
    <field x="1"/>
  </rowFields>
  <colFields>
    <field x="0"/>
    <field x="-2"/>
  </colFields>
  <pageFields>
    <pageField fld="6"/>
  </pageFields>
  <dataFields>
    <dataField name="SUM of Товарооборот, руб" fld="3" baseField="0"/>
    <dataField name="SUM of Доходность %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9" width="22.0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43982.0</v>
      </c>
      <c r="B2" s="7" t="s">
        <v>9</v>
      </c>
      <c r="C2" s="7">
        <v>7944.0</v>
      </c>
      <c r="D2" s="7">
        <v>623971.5</v>
      </c>
      <c r="E2" s="7">
        <v>565363.016</v>
      </c>
      <c r="F2" s="8">
        <v>64235.45692307692</v>
      </c>
    </row>
    <row r="3" ht="14.25" customHeight="1">
      <c r="A3" s="9">
        <v>43981.0</v>
      </c>
      <c r="B3" s="10" t="s">
        <v>9</v>
      </c>
      <c r="C3" s="10">
        <v>10029.0</v>
      </c>
      <c r="D3" s="10">
        <v>787101.0</v>
      </c>
      <c r="E3" s="10">
        <v>707654.6309999999</v>
      </c>
      <c r="F3" s="11">
        <v>112379.26539999999</v>
      </c>
    </row>
    <row r="4" ht="14.25" customHeight="1">
      <c r="A4" s="6">
        <v>43979.0</v>
      </c>
      <c r="B4" s="7" t="s">
        <v>9</v>
      </c>
      <c r="C4" s="7">
        <v>8536.5</v>
      </c>
      <c r="D4" s="7">
        <v>643944.0</v>
      </c>
      <c r="E4" s="7">
        <v>640961.693</v>
      </c>
      <c r="F4" s="8">
        <v>61475.592307692306</v>
      </c>
    </row>
    <row r="5" ht="14.25" customHeight="1">
      <c r="A5" s="9">
        <v>43967.0</v>
      </c>
      <c r="B5" s="10" t="s">
        <v>10</v>
      </c>
      <c r="C5" s="10">
        <v>38947.5</v>
      </c>
      <c r="D5" s="10">
        <v>3395892.0</v>
      </c>
      <c r="E5" s="10">
        <v>2740255.211</v>
      </c>
      <c r="F5" s="11">
        <v>294361.0811230769</v>
      </c>
    </row>
    <row r="6" ht="14.25" customHeight="1">
      <c r="A6" s="6">
        <v>43970.0</v>
      </c>
      <c r="B6" s="7" t="s">
        <v>10</v>
      </c>
      <c r="C6" s="7">
        <v>31842.0</v>
      </c>
      <c r="D6" s="7">
        <v>2771116.5</v>
      </c>
      <c r="E6" s="7">
        <v>2269371.4459999995</v>
      </c>
      <c r="F6" s="8">
        <v>328803.8461538461</v>
      </c>
    </row>
    <row r="7" ht="14.25" customHeight="1">
      <c r="A7" s="9">
        <v>43968.0</v>
      </c>
      <c r="B7" s="10" t="s">
        <v>10</v>
      </c>
      <c r="C7" s="10">
        <v>32023.5</v>
      </c>
      <c r="D7" s="10">
        <v>2882458.5</v>
      </c>
      <c r="E7" s="10">
        <v>2290967.039</v>
      </c>
      <c r="F7" s="11">
        <v>246817.75113846152</v>
      </c>
    </row>
    <row r="8" ht="14.25" customHeight="1">
      <c r="A8" s="6">
        <v>43960.0</v>
      </c>
      <c r="B8" s="7" t="s">
        <v>10</v>
      </c>
      <c r="C8" s="7">
        <v>31147.5</v>
      </c>
      <c r="D8" s="7">
        <v>2831019.0</v>
      </c>
      <c r="E8" s="7">
        <v>2261296.276</v>
      </c>
      <c r="F8" s="8">
        <v>225845.0</v>
      </c>
    </row>
    <row r="9" ht="14.25" customHeight="1">
      <c r="A9" s="9">
        <v>43955.0</v>
      </c>
      <c r="B9" s="10" t="s">
        <v>10</v>
      </c>
      <c r="C9" s="10">
        <v>25566.0</v>
      </c>
      <c r="D9" s="10">
        <v>2372310.0</v>
      </c>
      <c r="E9" s="10">
        <v>1875929.923</v>
      </c>
      <c r="F9" s="11">
        <v>280340.1657</v>
      </c>
    </row>
    <row r="10" ht="14.25" customHeight="1">
      <c r="A10" s="6">
        <v>43950.0</v>
      </c>
      <c r="B10" s="7" t="s">
        <v>10</v>
      </c>
      <c r="C10" s="7">
        <v>29319.0</v>
      </c>
      <c r="D10" s="7">
        <v>2623480.5</v>
      </c>
      <c r="E10" s="7">
        <v>2115481.9889999996</v>
      </c>
      <c r="F10" s="8">
        <v>139204.6</v>
      </c>
    </row>
    <row r="11" ht="14.25" customHeight="1">
      <c r="A11" s="9">
        <v>43953.0</v>
      </c>
      <c r="B11" s="10" t="s">
        <v>10</v>
      </c>
      <c r="C11" s="10">
        <v>29031.0</v>
      </c>
      <c r="D11" s="10">
        <v>2711247.0</v>
      </c>
      <c r="E11" s="10">
        <v>2165434.925</v>
      </c>
      <c r="F11" s="11">
        <v>185484.16923076924</v>
      </c>
    </row>
    <row r="12" ht="14.25" customHeight="1">
      <c r="A12" s="6">
        <v>43977.0</v>
      </c>
      <c r="B12" s="7" t="s">
        <v>10</v>
      </c>
      <c r="C12" s="7">
        <v>33423.0</v>
      </c>
      <c r="D12" s="7">
        <v>2970330.0</v>
      </c>
      <c r="E12" s="7">
        <v>2395998.377</v>
      </c>
      <c r="F12" s="8">
        <v>259067.63954615386</v>
      </c>
    </row>
    <row r="13" ht="14.25" customHeight="1">
      <c r="A13" s="9">
        <v>43952.0</v>
      </c>
      <c r="B13" s="10" t="s">
        <v>10</v>
      </c>
      <c r="C13" s="10">
        <v>32487.0</v>
      </c>
      <c r="D13" s="10">
        <v>3031254.0</v>
      </c>
      <c r="E13" s="10">
        <v>2397503.37</v>
      </c>
      <c r="F13" s="11">
        <v>232079.8475076923</v>
      </c>
    </row>
    <row r="14" ht="14.25" customHeight="1">
      <c r="A14" s="6">
        <v>43963.0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</v>
      </c>
    </row>
    <row r="15" ht="14.25" customHeight="1">
      <c r="A15" s="9">
        <v>43972.0</v>
      </c>
      <c r="B15" s="10" t="s">
        <v>10</v>
      </c>
      <c r="C15" s="10">
        <v>31272.0</v>
      </c>
      <c r="D15" s="10">
        <v>2744382.0</v>
      </c>
      <c r="E15" s="10">
        <v>2257728.2139999997</v>
      </c>
      <c r="F15" s="11">
        <v>301623.7923076923</v>
      </c>
    </row>
    <row r="16" ht="14.25" customHeight="1">
      <c r="A16" s="6">
        <v>43971.0</v>
      </c>
      <c r="B16" s="7" t="s">
        <v>10</v>
      </c>
      <c r="C16" s="7">
        <v>34077.0</v>
      </c>
      <c r="D16" s="7">
        <v>2929330.5</v>
      </c>
      <c r="E16" s="7">
        <v>2389543.528</v>
      </c>
      <c r="F16" s="8">
        <v>459604.9079615384</v>
      </c>
    </row>
    <row r="17" ht="14.25" customHeight="1">
      <c r="A17" s="9">
        <v>43956.0</v>
      </c>
      <c r="B17" s="10" t="s">
        <v>10</v>
      </c>
      <c r="C17" s="10">
        <v>31566.0</v>
      </c>
      <c r="D17" s="10">
        <v>2906763.0</v>
      </c>
      <c r="E17" s="10">
        <v>2323003.267</v>
      </c>
      <c r="F17" s="11">
        <v>287619.52953846153</v>
      </c>
    </row>
    <row r="18" ht="14.25" customHeight="1">
      <c r="A18" s="6">
        <v>43949.0</v>
      </c>
      <c r="B18" s="7" t="s">
        <v>10</v>
      </c>
      <c r="C18" s="7">
        <v>26940.0</v>
      </c>
      <c r="D18" s="7">
        <v>2411587.5</v>
      </c>
      <c r="E18" s="7">
        <v>1931011.4870000002</v>
      </c>
      <c r="F18" s="8">
        <v>149032.79178461537</v>
      </c>
    </row>
    <row r="19" ht="14.25" customHeight="1">
      <c r="A19" s="9">
        <v>43964.0</v>
      </c>
      <c r="B19" s="10" t="s">
        <v>10</v>
      </c>
      <c r="C19" s="10">
        <v>29241.0</v>
      </c>
      <c r="D19" s="10">
        <v>2629782.0</v>
      </c>
      <c r="E19" s="10">
        <v>2071714.724</v>
      </c>
      <c r="F19" s="11">
        <v>361201.8010384615</v>
      </c>
    </row>
    <row r="20" ht="14.25" customHeight="1">
      <c r="A20" s="6">
        <v>43954.0</v>
      </c>
      <c r="B20" s="7" t="s">
        <v>10</v>
      </c>
      <c r="C20" s="7">
        <v>26082.0</v>
      </c>
      <c r="D20" s="7">
        <v>2434914.0</v>
      </c>
      <c r="E20" s="7">
        <v>1925475.1139999998</v>
      </c>
      <c r="F20" s="8">
        <v>247646.60936153846</v>
      </c>
    </row>
    <row r="21" ht="14.25" customHeight="1">
      <c r="A21" s="9">
        <v>43957.0</v>
      </c>
      <c r="B21" s="10" t="s">
        <v>10</v>
      </c>
      <c r="C21" s="10">
        <v>32511.0</v>
      </c>
      <c r="D21" s="10">
        <v>2938623.0</v>
      </c>
      <c r="E21" s="10">
        <v>2406562.0579999997</v>
      </c>
      <c r="F21" s="11">
        <v>306098.4769230769</v>
      </c>
    </row>
    <row r="22" ht="14.25" customHeight="1">
      <c r="A22" s="6">
        <v>43974.0</v>
      </c>
      <c r="B22" s="7" t="s">
        <v>10</v>
      </c>
      <c r="C22" s="7">
        <v>42703.5</v>
      </c>
      <c r="D22" s="7">
        <v>3628726.5</v>
      </c>
      <c r="E22" s="7">
        <v>3056063.735</v>
      </c>
      <c r="F22" s="8">
        <v>223670.01693846151</v>
      </c>
    </row>
    <row r="23" ht="14.25" customHeight="1">
      <c r="A23" s="9">
        <v>43976.0</v>
      </c>
      <c r="B23" s="10" t="s">
        <v>10</v>
      </c>
      <c r="C23" s="10">
        <v>35592.0</v>
      </c>
      <c r="D23" s="10">
        <v>3176580.0</v>
      </c>
      <c r="E23" s="10">
        <v>2540760.0409999997</v>
      </c>
      <c r="F23" s="11">
        <v>351098.05384615384</v>
      </c>
    </row>
    <row r="24" ht="14.25" customHeight="1">
      <c r="A24" s="6">
        <v>43951.0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ht="14.25" customHeight="1">
      <c r="A25" s="9">
        <v>43961.0</v>
      </c>
      <c r="B25" s="10" t="s">
        <v>10</v>
      </c>
      <c r="C25" s="10">
        <v>36619.5</v>
      </c>
      <c r="D25" s="10">
        <v>3312967.5</v>
      </c>
      <c r="E25" s="10">
        <v>2647972.343</v>
      </c>
      <c r="F25" s="11">
        <v>371661.6538461539</v>
      </c>
    </row>
    <row r="26" ht="14.25" customHeight="1">
      <c r="A26" s="6">
        <v>43959.0</v>
      </c>
      <c r="B26" s="7" t="s">
        <v>10</v>
      </c>
      <c r="C26" s="7">
        <v>29409.0</v>
      </c>
      <c r="D26" s="7">
        <v>2645160.0</v>
      </c>
      <c r="E26" s="7">
        <v>2133443.3049999997</v>
      </c>
      <c r="F26" s="8">
        <v>355537.44449230767</v>
      </c>
    </row>
    <row r="27" ht="14.25" customHeight="1">
      <c r="A27" s="9">
        <v>43958.0</v>
      </c>
      <c r="B27" s="10" t="s">
        <v>10</v>
      </c>
      <c r="C27" s="10">
        <v>27018.0</v>
      </c>
      <c r="D27" s="10">
        <v>2472213.0</v>
      </c>
      <c r="E27" s="10">
        <v>2000889.9870000002</v>
      </c>
      <c r="F27" s="11">
        <v>283287.8692307692</v>
      </c>
    </row>
    <row r="28" ht="14.25" customHeight="1">
      <c r="A28" s="6">
        <v>43975.0</v>
      </c>
      <c r="B28" s="7" t="s">
        <v>10</v>
      </c>
      <c r="C28" s="7">
        <v>34303.5</v>
      </c>
      <c r="D28" s="7">
        <v>2924746.5</v>
      </c>
      <c r="E28" s="7">
        <v>2399312.935</v>
      </c>
      <c r="F28" s="8">
        <v>282325.24615384615</v>
      </c>
    </row>
    <row r="29" ht="14.25" customHeight="1">
      <c r="A29" s="9">
        <v>43982.0</v>
      </c>
      <c r="B29" s="10" t="s">
        <v>10</v>
      </c>
      <c r="C29" s="10">
        <v>36999.0</v>
      </c>
      <c r="D29" s="10">
        <v>3473895.0</v>
      </c>
      <c r="E29" s="10">
        <v>2757933.63</v>
      </c>
      <c r="F29" s="11">
        <v>112971.77692307692</v>
      </c>
    </row>
    <row r="30" ht="14.25" customHeight="1">
      <c r="A30" s="6">
        <v>43981.0</v>
      </c>
      <c r="B30" s="7" t="s">
        <v>10</v>
      </c>
      <c r="C30" s="7">
        <v>44001.0</v>
      </c>
      <c r="D30" s="7">
        <v>3921784.5</v>
      </c>
      <c r="E30" s="7">
        <v>3132604.841</v>
      </c>
      <c r="F30" s="8">
        <v>242715.2625384615</v>
      </c>
    </row>
    <row r="31" ht="14.25" customHeight="1">
      <c r="A31" s="9">
        <v>43979.0</v>
      </c>
      <c r="B31" s="10" t="s">
        <v>10</v>
      </c>
      <c r="C31" s="10">
        <v>30982.5</v>
      </c>
      <c r="D31" s="10">
        <v>2827773.0</v>
      </c>
      <c r="E31" s="10">
        <v>2232253.034</v>
      </c>
      <c r="F31" s="11">
        <v>343211.5426230769</v>
      </c>
    </row>
    <row r="32" ht="14.25" customHeight="1">
      <c r="A32" s="6">
        <v>43967.0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ht="14.25" customHeight="1">
      <c r="A33" s="9">
        <v>43970.0</v>
      </c>
      <c r="B33" s="10" t="s">
        <v>11</v>
      </c>
      <c r="C33" s="10">
        <v>84024.0</v>
      </c>
      <c r="D33" s="10">
        <v>6815511.0</v>
      </c>
      <c r="E33" s="10">
        <v>5426339.5819999995</v>
      </c>
      <c r="F33" s="11">
        <v>195070.2500307692</v>
      </c>
    </row>
    <row r="34" ht="14.25" customHeight="1">
      <c r="A34" s="6">
        <v>43968.0</v>
      </c>
      <c r="B34" s="7" t="s">
        <v>11</v>
      </c>
      <c r="C34" s="7">
        <v>78057.0</v>
      </c>
      <c r="D34" s="7">
        <v>6774946.5</v>
      </c>
      <c r="E34" s="7">
        <v>5115462.401</v>
      </c>
      <c r="F34" s="8">
        <v>61149.51538461538</v>
      </c>
    </row>
    <row r="35" ht="14.25" customHeight="1">
      <c r="A35" s="9">
        <v>43960.0</v>
      </c>
      <c r="B35" s="10" t="s">
        <v>11</v>
      </c>
      <c r="C35" s="10">
        <v>69720.0</v>
      </c>
      <c r="D35" s="10">
        <v>6264933.0</v>
      </c>
      <c r="E35" s="10">
        <v>4726931.9569999995</v>
      </c>
      <c r="F35" s="11">
        <v>294634.3553076923</v>
      </c>
    </row>
    <row r="36" ht="14.25" customHeight="1">
      <c r="A36" s="6">
        <v>43955.0</v>
      </c>
      <c r="B36" s="7" t="s">
        <v>11</v>
      </c>
      <c r="C36" s="7">
        <v>72928.5</v>
      </c>
      <c r="D36" s="7">
        <v>6642249.0</v>
      </c>
      <c r="E36" s="7">
        <v>4993791.956</v>
      </c>
      <c r="F36" s="8">
        <v>215294.37692307692</v>
      </c>
    </row>
    <row r="37" ht="14.25" customHeight="1">
      <c r="A37" s="9">
        <v>43950.0</v>
      </c>
      <c r="B37" s="10" t="s">
        <v>11</v>
      </c>
      <c r="C37" s="10">
        <v>79527.0</v>
      </c>
      <c r="D37" s="10">
        <v>7180498.5</v>
      </c>
      <c r="E37" s="10">
        <v>5432087.979</v>
      </c>
      <c r="F37" s="11">
        <v>172769.1923076923</v>
      </c>
    </row>
    <row r="38" ht="14.25" customHeight="1">
      <c r="A38" s="6">
        <v>43953.0</v>
      </c>
      <c r="B38" s="7" t="s">
        <v>11</v>
      </c>
      <c r="C38" s="7">
        <v>60463.5</v>
      </c>
      <c r="D38" s="7">
        <v>5554192.5</v>
      </c>
      <c r="E38" s="7">
        <v>4218316.029</v>
      </c>
      <c r="F38" s="8">
        <v>244262.12107692307</v>
      </c>
    </row>
    <row r="39" ht="14.25" customHeight="1">
      <c r="A39" s="9">
        <v>43977.0</v>
      </c>
      <c r="B39" s="10" t="s">
        <v>11</v>
      </c>
      <c r="C39" s="10">
        <v>79975.5</v>
      </c>
      <c r="D39" s="10">
        <v>6676459.5</v>
      </c>
      <c r="E39" s="10">
        <v>5083946.169</v>
      </c>
      <c r="F39" s="11">
        <v>141931.13193076922</v>
      </c>
    </row>
    <row r="40" ht="14.25" customHeight="1">
      <c r="A40" s="6">
        <v>43952.0</v>
      </c>
      <c r="B40" s="7" t="s">
        <v>11</v>
      </c>
      <c r="C40" s="7">
        <v>97534.5</v>
      </c>
      <c r="D40" s="7">
        <v>8893024.5</v>
      </c>
      <c r="E40" s="7">
        <v>6855177.24</v>
      </c>
      <c r="F40" s="8">
        <v>185180.3800769231</v>
      </c>
    </row>
    <row r="41" ht="14.25" customHeight="1">
      <c r="A41" s="9">
        <v>43963.0</v>
      </c>
      <c r="B41" s="10" t="s">
        <v>11</v>
      </c>
      <c r="C41" s="10">
        <v>71520.0</v>
      </c>
      <c r="D41" s="10">
        <v>6398361.0</v>
      </c>
      <c r="E41" s="10">
        <v>4793096.143999999</v>
      </c>
      <c r="F41" s="11">
        <v>181432.06769230767</v>
      </c>
    </row>
    <row r="42" ht="14.25" customHeight="1">
      <c r="A42" s="6">
        <v>43972.0</v>
      </c>
      <c r="B42" s="7" t="s">
        <v>11</v>
      </c>
      <c r="C42" s="7">
        <v>79485.0</v>
      </c>
      <c r="D42" s="7">
        <v>6633847.5</v>
      </c>
      <c r="E42" s="7">
        <v>5212858.58</v>
      </c>
      <c r="F42" s="8">
        <v>120955.33846153846</v>
      </c>
    </row>
    <row r="43" ht="14.25" customHeight="1">
      <c r="A43" s="9">
        <v>43971.0</v>
      </c>
      <c r="B43" s="10" t="s">
        <v>11</v>
      </c>
      <c r="C43" s="10">
        <v>93313.5</v>
      </c>
      <c r="D43" s="10">
        <v>7247575.5</v>
      </c>
      <c r="E43" s="10">
        <v>5922822.677999999</v>
      </c>
      <c r="F43" s="11">
        <v>714758.2</v>
      </c>
    </row>
    <row r="44" ht="14.25" customHeight="1">
      <c r="A44" s="6">
        <v>43956.0</v>
      </c>
      <c r="B44" s="7" t="s">
        <v>11</v>
      </c>
      <c r="C44" s="7">
        <v>76585.5</v>
      </c>
      <c r="D44" s="7">
        <v>6921316.5</v>
      </c>
      <c r="E44" s="7">
        <v>5290094.272</v>
      </c>
      <c r="F44" s="8">
        <v>386033.17544615385</v>
      </c>
    </row>
    <row r="45" ht="14.25" customHeight="1">
      <c r="A45" s="9">
        <v>43949.0</v>
      </c>
      <c r="B45" s="10" t="s">
        <v>11</v>
      </c>
      <c r="C45" s="10">
        <v>81826.5</v>
      </c>
      <c r="D45" s="10">
        <v>7163644.5</v>
      </c>
      <c r="E45" s="10">
        <v>5366333.713</v>
      </c>
      <c r="F45" s="11">
        <v>145122.77781538462</v>
      </c>
    </row>
    <row r="46" ht="14.25" customHeight="1">
      <c r="A46" s="6">
        <v>43964.0</v>
      </c>
      <c r="B46" s="7" t="s">
        <v>11</v>
      </c>
      <c r="C46" s="7">
        <v>78846.0</v>
      </c>
      <c r="D46" s="7">
        <v>6993952.5</v>
      </c>
      <c r="E46" s="7">
        <v>5288518.779999999</v>
      </c>
      <c r="F46" s="8">
        <v>227969.01538461537</v>
      </c>
    </row>
    <row r="47" ht="14.25" customHeight="1">
      <c r="A47" s="9">
        <v>43954.0</v>
      </c>
      <c r="B47" s="10" t="s">
        <v>11</v>
      </c>
      <c r="C47" s="10">
        <v>77263.5</v>
      </c>
      <c r="D47" s="10">
        <v>7013670.0</v>
      </c>
      <c r="E47" s="10">
        <v>5282661.8549999995</v>
      </c>
      <c r="F47" s="11">
        <v>161473.0769230769</v>
      </c>
    </row>
    <row r="48" ht="14.25" customHeight="1">
      <c r="A48" s="6">
        <v>43957.0</v>
      </c>
      <c r="B48" s="7" t="s">
        <v>11</v>
      </c>
      <c r="C48" s="7">
        <v>68994.0</v>
      </c>
      <c r="D48" s="7">
        <v>6168657.0</v>
      </c>
      <c r="E48" s="7">
        <v>4695811.349</v>
      </c>
      <c r="F48" s="8">
        <v>157384.1788307692</v>
      </c>
    </row>
    <row r="49" ht="14.25" customHeight="1">
      <c r="A49" s="9">
        <v>43974.0</v>
      </c>
      <c r="B49" s="10" t="s">
        <v>11</v>
      </c>
      <c r="C49" s="10">
        <v>102889.5</v>
      </c>
      <c r="D49" s="10">
        <v>8089143.0</v>
      </c>
      <c r="E49" s="10">
        <v>6673236.372</v>
      </c>
      <c r="F49" s="11">
        <v>127223.84583076923</v>
      </c>
    </row>
    <row r="50" ht="14.25" customHeight="1">
      <c r="A50" s="6">
        <v>43976.0</v>
      </c>
      <c r="B50" s="7" t="s">
        <v>11</v>
      </c>
      <c r="C50" s="7">
        <v>76999.5</v>
      </c>
      <c r="D50" s="7">
        <v>6645603.0</v>
      </c>
      <c r="E50" s="7">
        <v>5032216.188999999</v>
      </c>
      <c r="F50" s="8">
        <v>100883.95384615385</v>
      </c>
    </row>
    <row r="51" ht="14.25" customHeight="1">
      <c r="A51" s="9">
        <v>43951.0</v>
      </c>
      <c r="B51" s="10" t="s">
        <v>11</v>
      </c>
      <c r="C51" s="10">
        <v>77565.0</v>
      </c>
      <c r="D51" s="10">
        <v>7023727.5</v>
      </c>
      <c r="E51" s="10">
        <v>5349682.484999999</v>
      </c>
      <c r="F51" s="11">
        <v>31578.20769230769</v>
      </c>
    </row>
    <row r="52" ht="14.25" customHeight="1">
      <c r="A52" s="6">
        <v>43961.0</v>
      </c>
      <c r="B52" s="7" t="s">
        <v>11</v>
      </c>
      <c r="C52" s="7">
        <v>84132.0</v>
      </c>
      <c r="D52" s="7">
        <v>7483194.0</v>
      </c>
      <c r="E52" s="7">
        <v>5637882.125</v>
      </c>
      <c r="F52" s="8">
        <v>126673.26923076922</v>
      </c>
    </row>
    <row r="53" ht="14.25" customHeight="1">
      <c r="A53" s="9">
        <v>43959.0</v>
      </c>
      <c r="B53" s="10" t="s">
        <v>11</v>
      </c>
      <c r="C53" s="10">
        <v>69544.5</v>
      </c>
      <c r="D53" s="10">
        <v>6293776.5</v>
      </c>
      <c r="E53" s="10">
        <v>4773839.938</v>
      </c>
      <c r="F53" s="11">
        <v>201777.4038153846</v>
      </c>
    </row>
    <row r="54" ht="14.25" customHeight="1">
      <c r="A54" s="6">
        <v>43958.0</v>
      </c>
      <c r="B54" s="7" t="s">
        <v>11</v>
      </c>
      <c r="C54" s="7">
        <v>73204.5</v>
      </c>
      <c r="D54" s="7">
        <v>6591883.5</v>
      </c>
      <c r="E54" s="7">
        <v>5001227.671</v>
      </c>
      <c r="F54" s="8">
        <v>184167.76355384616</v>
      </c>
    </row>
    <row r="55" ht="14.25" customHeight="1">
      <c r="A55" s="9">
        <v>43975.0</v>
      </c>
      <c r="B55" s="10" t="s">
        <v>11</v>
      </c>
      <c r="C55" s="10">
        <v>76663.5</v>
      </c>
      <c r="D55" s="10">
        <v>6451032.0</v>
      </c>
      <c r="E55" s="10">
        <v>5048965.796</v>
      </c>
      <c r="F55" s="11">
        <v>94608.14615384614</v>
      </c>
    </row>
    <row r="56" ht="14.25" customHeight="1">
      <c r="A56" s="6">
        <v>43967.0</v>
      </c>
      <c r="B56" s="7" t="s">
        <v>12</v>
      </c>
      <c r="C56" s="7">
        <v>14265.0</v>
      </c>
      <c r="D56" s="7">
        <v>1130506.5</v>
      </c>
      <c r="E56" s="7">
        <v>1024403.9859999999</v>
      </c>
      <c r="F56" s="8">
        <v>72626.81390769231</v>
      </c>
    </row>
    <row r="57" ht="14.25" customHeight="1">
      <c r="A57" s="9">
        <v>43970.0</v>
      </c>
      <c r="B57" s="10" t="s">
        <v>12</v>
      </c>
      <c r="C57" s="10">
        <v>11526.0</v>
      </c>
      <c r="D57" s="10">
        <v>938764.5</v>
      </c>
      <c r="E57" s="10">
        <v>820018.375</v>
      </c>
      <c r="F57" s="11">
        <v>77816.21538461538</v>
      </c>
    </row>
    <row r="58" ht="14.25" customHeight="1">
      <c r="A58" s="6">
        <v>43968.0</v>
      </c>
      <c r="B58" s="7" t="s">
        <v>12</v>
      </c>
      <c r="C58" s="7">
        <v>10402.5</v>
      </c>
      <c r="D58" s="7">
        <v>843727.5</v>
      </c>
      <c r="E58" s="7">
        <v>729677.519</v>
      </c>
      <c r="F58" s="8">
        <v>140731.9646153846</v>
      </c>
    </row>
    <row r="59" ht="14.25" customHeight="1">
      <c r="A59" s="9">
        <v>43960.0</v>
      </c>
      <c r="B59" s="10" t="s">
        <v>12</v>
      </c>
      <c r="C59" s="10">
        <v>13216.5</v>
      </c>
      <c r="D59" s="10">
        <v>1046400.0</v>
      </c>
      <c r="E59" s="10">
        <v>937716.1579999999</v>
      </c>
      <c r="F59" s="11">
        <v>61387.77692307692</v>
      </c>
    </row>
    <row r="60" ht="14.25" customHeight="1">
      <c r="A60" s="6">
        <v>43955.0</v>
      </c>
      <c r="B60" s="7" t="s">
        <v>12</v>
      </c>
      <c r="C60" s="7">
        <v>9130.5</v>
      </c>
      <c r="D60" s="7">
        <v>728890.5</v>
      </c>
      <c r="E60" s="7">
        <v>644150.519</v>
      </c>
      <c r="F60" s="8">
        <v>98026.49036923076</v>
      </c>
    </row>
    <row r="61" ht="14.25" customHeight="1">
      <c r="A61" s="9">
        <v>43950.0</v>
      </c>
      <c r="B61" s="10" t="s">
        <v>12</v>
      </c>
      <c r="C61" s="10">
        <v>10840.5</v>
      </c>
      <c r="D61" s="10">
        <v>797919.0</v>
      </c>
      <c r="E61" s="10">
        <v>783753.2949999999</v>
      </c>
      <c r="F61" s="11">
        <v>58214.93076923077</v>
      </c>
    </row>
    <row r="62" ht="14.25" customHeight="1">
      <c r="A62" s="6">
        <v>43953.0</v>
      </c>
      <c r="B62" s="7" t="s">
        <v>12</v>
      </c>
      <c r="C62" s="7">
        <v>7866.0</v>
      </c>
      <c r="D62" s="7">
        <v>617881.5</v>
      </c>
      <c r="E62" s="7">
        <v>575518.068</v>
      </c>
      <c r="F62" s="8">
        <v>119723.42363076922</v>
      </c>
    </row>
    <row r="63" ht="14.25" customHeight="1">
      <c r="A63" s="9">
        <v>43977.0</v>
      </c>
      <c r="B63" s="10" t="s">
        <v>12</v>
      </c>
      <c r="C63" s="10">
        <v>11835.0</v>
      </c>
      <c r="D63" s="10">
        <v>983109.0</v>
      </c>
      <c r="E63" s="10">
        <v>825345.0530000001</v>
      </c>
      <c r="F63" s="11">
        <v>109486.33076923077</v>
      </c>
    </row>
    <row r="64" ht="14.25" customHeight="1">
      <c r="A64" s="6">
        <v>43952.0</v>
      </c>
      <c r="B64" s="7" t="s">
        <v>12</v>
      </c>
      <c r="C64" s="7">
        <v>11619.0</v>
      </c>
      <c r="D64" s="7">
        <v>891139.5</v>
      </c>
      <c r="E64" s="7">
        <v>829782.376</v>
      </c>
      <c r="F64" s="8">
        <v>121759.66210769229</v>
      </c>
    </row>
    <row r="65" ht="14.25" customHeight="1">
      <c r="A65" s="9">
        <v>43963.0</v>
      </c>
      <c r="B65" s="10" t="s">
        <v>12</v>
      </c>
      <c r="C65" s="10">
        <v>9328.5</v>
      </c>
      <c r="D65" s="10">
        <v>732964.5</v>
      </c>
      <c r="E65" s="10">
        <v>634517.673</v>
      </c>
      <c r="F65" s="11">
        <v>136157.9836153846</v>
      </c>
    </row>
    <row r="66" ht="14.25" customHeight="1">
      <c r="A66" s="6">
        <v>43972.0</v>
      </c>
      <c r="B66" s="7" t="s">
        <v>12</v>
      </c>
      <c r="C66" s="7">
        <v>11250.0</v>
      </c>
      <c r="D66" s="7">
        <v>935523.0</v>
      </c>
      <c r="E66" s="7">
        <v>808524.505</v>
      </c>
      <c r="F66" s="8">
        <v>94344.95384615385</v>
      </c>
    </row>
    <row r="67" ht="14.25" customHeight="1">
      <c r="A67" s="9">
        <v>43971.0</v>
      </c>
      <c r="B67" s="10" t="s">
        <v>12</v>
      </c>
      <c r="C67" s="10">
        <v>13063.5</v>
      </c>
      <c r="D67" s="10">
        <v>1037247.0</v>
      </c>
      <c r="E67" s="10">
        <v>910480.6449999999</v>
      </c>
      <c r="F67" s="11">
        <v>64430.96412307692</v>
      </c>
    </row>
    <row r="68" ht="14.25" customHeight="1">
      <c r="A68" s="6">
        <v>43956.0</v>
      </c>
      <c r="B68" s="7" t="s">
        <v>12</v>
      </c>
      <c r="C68" s="7">
        <v>10147.5</v>
      </c>
      <c r="D68" s="7">
        <v>793320.0</v>
      </c>
      <c r="E68" s="7">
        <v>718019.2760000001</v>
      </c>
      <c r="F68" s="8">
        <v>92027.36809230769</v>
      </c>
    </row>
    <row r="69" ht="14.25" customHeight="1">
      <c r="A69" s="9">
        <v>43949.0</v>
      </c>
      <c r="B69" s="10" t="s">
        <v>12</v>
      </c>
      <c r="C69" s="10">
        <v>12331.5</v>
      </c>
      <c r="D69" s="10">
        <v>869983.5</v>
      </c>
      <c r="E69" s="10">
        <v>896773.3239999999</v>
      </c>
      <c r="F69" s="11">
        <v>51681.03846153846</v>
      </c>
    </row>
    <row r="70" ht="14.25" customHeight="1">
      <c r="A70" s="6">
        <v>43964.0</v>
      </c>
      <c r="B70" s="7" t="s">
        <v>12</v>
      </c>
      <c r="C70" s="7">
        <v>11202.0</v>
      </c>
      <c r="D70" s="7">
        <v>865714.5</v>
      </c>
      <c r="E70" s="7">
        <v>799644.759</v>
      </c>
      <c r="F70" s="8">
        <v>111860.49372307691</v>
      </c>
    </row>
    <row r="71" ht="14.25" customHeight="1">
      <c r="A71" s="9">
        <v>43982.0</v>
      </c>
      <c r="B71" s="10" t="s">
        <v>11</v>
      </c>
      <c r="C71" s="10">
        <v>89149.5</v>
      </c>
      <c r="D71" s="10">
        <v>7512646.5</v>
      </c>
      <c r="E71" s="10">
        <v>5979210.097</v>
      </c>
      <c r="F71" s="11">
        <v>47580.14615384615</v>
      </c>
    </row>
    <row r="72" ht="14.25" customHeight="1">
      <c r="A72" s="6">
        <v>43954.0</v>
      </c>
      <c r="B72" s="7" t="s">
        <v>12</v>
      </c>
      <c r="C72" s="7">
        <v>8185.5</v>
      </c>
      <c r="D72" s="7">
        <v>637881.0</v>
      </c>
      <c r="E72" s="7">
        <v>575840.677</v>
      </c>
      <c r="F72" s="8">
        <v>73920.5846153846</v>
      </c>
    </row>
    <row r="73" ht="14.25" customHeight="1">
      <c r="A73" s="9">
        <v>43981.0</v>
      </c>
      <c r="B73" s="10" t="s">
        <v>11</v>
      </c>
      <c r="C73" s="10">
        <v>108123.0</v>
      </c>
      <c r="D73" s="10">
        <v>9164707.5</v>
      </c>
      <c r="E73" s="10">
        <v>7329868.665</v>
      </c>
      <c r="F73" s="11">
        <v>137418.1593076923</v>
      </c>
    </row>
    <row r="74" ht="14.25" customHeight="1">
      <c r="A74" s="6">
        <v>43957.0</v>
      </c>
      <c r="B74" s="7" t="s">
        <v>12</v>
      </c>
      <c r="C74" s="7">
        <v>9210.0</v>
      </c>
      <c r="D74" s="7">
        <v>696832.5</v>
      </c>
      <c r="E74" s="7">
        <v>616683.3809999999</v>
      </c>
      <c r="F74" s="8">
        <v>99623.13076923077</v>
      </c>
    </row>
    <row r="75" ht="14.25" customHeight="1">
      <c r="A75" s="9">
        <v>43974.0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</v>
      </c>
    </row>
    <row r="76" ht="14.25" customHeight="1">
      <c r="A76" s="6">
        <v>43979.0</v>
      </c>
      <c r="B76" s="7" t="s">
        <v>11</v>
      </c>
      <c r="C76" s="7">
        <v>78141.0</v>
      </c>
      <c r="D76" s="7">
        <v>6641569.5</v>
      </c>
      <c r="E76" s="7">
        <v>5084073.516</v>
      </c>
      <c r="F76" s="8">
        <v>142499.01538461537</v>
      </c>
    </row>
    <row r="77" ht="14.25" customHeight="1">
      <c r="A77" s="9">
        <v>43976.0</v>
      </c>
      <c r="B77" s="10" t="s">
        <v>12</v>
      </c>
      <c r="C77" s="10">
        <v>12280.5</v>
      </c>
      <c r="D77" s="10">
        <v>1030440.0</v>
      </c>
      <c r="E77" s="10">
        <v>871047.598</v>
      </c>
      <c r="F77" s="11">
        <v>85172.08461538462</v>
      </c>
    </row>
    <row r="78" ht="14.25" customHeight="1">
      <c r="A78" s="6">
        <v>43951.0</v>
      </c>
      <c r="B78" s="7" t="s">
        <v>12</v>
      </c>
      <c r="C78" s="7">
        <v>8934.0</v>
      </c>
      <c r="D78" s="7">
        <v>716196.0</v>
      </c>
      <c r="E78" s="7">
        <v>663415.497</v>
      </c>
      <c r="F78" s="8">
        <v>24274.438461538462</v>
      </c>
    </row>
    <row r="79" ht="14.25" customHeight="1">
      <c r="A79" s="9">
        <v>43961.0</v>
      </c>
      <c r="B79" s="10" t="s">
        <v>12</v>
      </c>
      <c r="C79" s="10">
        <v>12918.0</v>
      </c>
      <c r="D79" s="10">
        <v>1004788.5</v>
      </c>
      <c r="E79" s="10">
        <v>896111.803</v>
      </c>
      <c r="F79" s="11">
        <v>99729.92307692306</v>
      </c>
    </row>
    <row r="80" ht="14.25" customHeight="1">
      <c r="A80" s="6">
        <v>43959.0</v>
      </c>
      <c r="B80" s="7" t="s">
        <v>12</v>
      </c>
      <c r="C80" s="7">
        <v>12528.0</v>
      </c>
      <c r="D80" s="7">
        <v>959703.0</v>
      </c>
      <c r="E80" s="7">
        <v>861486.475</v>
      </c>
      <c r="F80" s="8">
        <v>87212.13076923077</v>
      </c>
    </row>
    <row r="81" ht="14.25" customHeight="1">
      <c r="A81" s="9">
        <v>43958.0</v>
      </c>
      <c r="B81" s="10" t="s">
        <v>12</v>
      </c>
      <c r="C81" s="10">
        <v>11029.5</v>
      </c>
      <c r="D81" s="10">
        <v>863754.0</v>
      </c>
      <c r="E81" s="10">
        <v>758428.735</v>
      </c>
      <c r="F81" s="11">
        <v>86710.8045076923</v>
      </c>
    </row>
    <row r="82" ht="14.25" customHeight="1">
      <c r="A82" s="6">
        <v>43975.0</v>
      </c>
      <c r="B82" s="7" t="s">
        <v>12</v>
      </c>
      <c r="C82" s="7">
        <v>9994.5</v>
      </c>
      <c r="D82" s="7">
        <v>828984.0</v>
      </c>
      <c r="E82" s="7">
        <v>702631.811</v>
      </c>
      <c r="F82" s="8">
        <v>82264.56716923077</v>
      </c>
    </row>
    <row r="83" ht="14.25" customHeight="1">
      <c r="A83" s="9">
        <v>43982.0</v>
      </c>
      <c r="B83" s="10" t="s">
        <v>12</v>
      </c>
      <c r="C83" s="10">
        <v>12724.5</v>
      </c>
      <c r="D83" s="10">
        <v>1045515.0</v>
      </c>
      <c r="E83" s="10">
        <v>896490.07</v>
      </c>
      <c r="F83" s="11">
        <v>49463.98298461539</v>
      </c>
    </row>
    <row r="84" ht="14.25" customHeight="1">
      <c r="A84" s="6">
        <v>43981.0</v>
      </c>
      <c r="B84" s="7" t="s">
        <v>12</v>
      </c>
      <c r="C84" s="7">
        <v>14728.5</v>
      </c>
      <c r="D84" s="7">
        <v>1260483.0</v>
      </c>
      <c r="E84" s="7">
        <v>1048221.1390000001</v>
      </c>
      <c r="F84" s="8">
        <v>86278.1767</v>
      </c>
    </row>
    <row r="85" ht="14.25" customHeight="1">
      <c r="A85" s="9">
        <v>43979.0</v>
      </c>
      <c r="B85" s="10" t="s">
        <v>12</v>
      </c>
      <c r="C85" s="10">
        <v>13038.0</v>
      </c>
      <c r="D85" s="10">
        <v>1114552.5</v>
      </c>
      <c r="E85" s="10">
        <v>939269.567</v>
      </c>
      <c r="F85" s="11">
        <v>74269.06047692307</v>
      </c>
    </row>
    <row r="86" ht="14.25" customHeight="1">
      <c r="A86" s="6">
        <v>43967.0</v>
      </c>
      <c r="B86" s="7" t="s">
        <v>13</v>
      </c>
      <c r="C86" s="7">
        <v>35482.5</v>
      </c>
      <c r="D86" s="7">
        <v>3222517.5</v>
      </c>
      <c r="E86" s="7">
        <v>2633868.174</v>
      </c>
      <c r="F86" s="8">
        <v>150484.18215384614</v>
      </c>
    </row>
    <row r="87" ht="14.25" customHeight="1">
      <c r="A87" s="9">
        <v>43970.0</v>
      </c>
      <c r="B87" s="10" t="s">
        <v>13</v>
      </c>
      <c r="C87" s="10">
        <v>32434.5</v>
      </c>
      <c r="D87" s="10">
        <v>2865337.5</v>
      </c>
      <c r="E87" s="10">
        <v>2368028.685</v>
      </c>
      <c r="F87" s="11">
        <v>225452.8907846154</v>
      </c>
    </row>
    <row r="88" ht="14.25" customHeight="1">
      <c r="A88" s="6">
        <v>43968.0</v>
      </c>
      <c r="B88" s="7" t="s">
        <v>13</v>
      </c>
      <c r="C88" s="7">
        <v>30486.0</v>
      </c>
      <c r="D88" s="7">
        <v>2694289.5</v>
      </c>
      <c r="E88" s="7">
        <v>2183502.7290000003</v>
      </c>
      <c r="F88" s="8">
        <v>153558.02257692307</v>
      </c>
    </row>
    <row r="89" ht="14.25" customHeight="1">
      <c r="A89" s="9">
        <v>43960.0</v>
      </c>
      <c r="B89" s="10" t="s">
        <v>13</v>
      </c>
      <c r="C89" s="10">
        <v>32079.0</v>
      </c>
      <c r="D89" s="10">
        <v>2902167.0</v>
      </c>
      <c r="E89" s="10">
        <v>2319890.346</v>
      </c>
      <c r="F89" s="11">
        <v>194963.39216923076</v>
      </c>
    </row>
    <row r="90" ht="14.25" customHeight="1">
      <c r="A90" s="6">
        <v>43955.0</v>
      </c>
      <c r="B90" s="7" t="s">
        <v>13</v>
      </c>
      <c r="C90" s="7">
        <v>27072.0</v>
      </c>
      <c r="D90" s="7">
        <v>2450968.5</v>
      </c>
      <c r="E90" s="7">
        <v>1980824.9889999998</v>
      </c>
      <c r="F90" s="8">
        <v>188174.3243923077</v>
      </c>
    </row>
    <row r="91" ht="14.25" customHeight="1">
      <c r="A91" s="9">
        <v>43950.0</v>
      </c>
      <c r="B91" s="10" t="s">
        <v>13</v>
      </c>
      <c r="C91" s="10">
        <v>25917.0</v>
      </c>
      <c r="D91" s="10">
        <v>2397588.0</v>
      </c>
      <c r="E91" s="10">
        <v>1937222.0459999999</v>
      </c>
      <c r="F91" s="11">
        <v>159472.57584615384</v>
      </c>
    </row>
    <row r="92" ht="14.25" customHeight="1">
      <c r="A92" s="6">
        <v>43953.0</v>
      </c>
      <c r="B92" s="7" t="s">
        <v>13</v>
      </c>
      <c r="C92" s="7">
        <v>19461.0</v>
      </c>
      <c r="D92" s="7">
        <v>1799230.5</v>
      </c>
      <c r="E92" s="7">
        <v>1457108.1479999998</v>
      </c>
      <c r="F92" s="8">
        <v>183829.81409230767</v>
      </c>
    </row>
    <row r="93" ht="14.25" customHeight="1">
      <c r="A93" s="9">
        <v>43977.0</v>
      </c>
      <c r="B93" s="10" t="s">
        <v>13</v>
      </c>
      <c r="C93" s="10">
        <v>31407.0</v>
      </c>
      <c r="D93" s="10">
        <v>2907411.0</v>
      </c>
      <c r="E93" s="10">
        <v>2288433.495</v>
      </c>
      <c r="F93" s="11">
        <v>193538.8704076923</v>
      </c>
    </row>
    <row r="94" ht="14.25" customHeight="1">
      <c r="A94" s="6">
        <v>43952.0</v>
      </c>
      <c r="B94" s="7" t="s">
        <v>13</v>
      </c>
      <c r="C94" s="7">
        <v>25792.5</v>
      </c>
      <c r="D94" s="7">
        <v>2374356.0</v>
      </c>
      <c r="E94" s="7">
        <v>1915101.034</v>
      </c>
      <c r="F94" s="8">
        <v>277477.3193230769</v>
      </c>
    </row>
    <row r="95" ht="14.25" customHeight="1">
      <c r="A95" s="9">
        <v>43963.0</v>
      </c>
      <c r="B95" s="10" t="s">
        <v>13</v>
      </c>
      <c r="C95" s="10">
        <v>26032.5</v>
      </c>
      <c r="D95" s="10">
        <v>2370432.0</v>
      </c>
      <c r="E95" s="10">
        <v>1847737.837</v>
      </c>
      <c r="F95" s="11">
        <v>141864.00329999998</v>
      </c>
    </row>
    <row r="96" ht="14.25" customHeight="1">
      <c r="A96" s="6">
        <v>43972.0</v>
      </c>
      <c r="B96" s="7" t="s">
        <v>13</v>
      </c>
      <c r="C96" s="7">
        <v>31707.0</v>
      </c>
      <c r="D96" s="7">
        <v>2853181.5</v>
      </c>
      <c r="E96" s="7">
        <v>2349459.5</v>
      </c>
      <c r="F96" s="8">
        <v>187617.05315384615</v>
      </c>
    </row>
    <row r="97" ht="14.25" customHeight="1">
      <c r="A97" s="9">
        <v>43971.0</v>
      </c>
      <c r="B97" s="10" t="s">
        <v>13</v>
      </c>
      <c r="C97" s="10">
        <v>29955.0</v>
      </c>
      <c r="D97" s="10">
        <v>2692230.0</v>
      </c>
      <c r="E97" s="10">
        <v>2195766.121</v>
      </c>
      <c r="F97" s="11">
        <v>202002.14775384613</v>
      </c>
    </row>
    <row r="98" ht="14.25" customHeight="1">
      <c r="A98" s="6">
        <v>43956.0</v>
      </c>
      <c r="B98" s="7" t="s">
        <v>13</v>
      </c>
      <c r="C98" s="7">
        <v>22848.0</v>
      </c>
      <c r="D98" s="7">
        <v>2079900.0</v>
      </c>
      <c r="E98" s="7">
        <v>1657688.853</v>
      </c>
      <c r="F98" s="8">
        <v>178454.88537692308</v>
      </c>
    </row>
    <row r="99" ht="14.25" customHeight="1">
      <c r="A99" s="9">
        <v>43949.0</v>
      </c>
      <c r="B99" s="10" t="s">
        <v>13</v>
      </c>
      <c r="C99" s="10">
        <v>23314.5</v>
      </c>
      <c r="D99" s="10">
        <v>2136817.5</v>
      </c>
      <c r="E99" s="10">
        <v>1701780.478</v>
      </c>
      <c r="F99" s="11">
        <v>141999.40078461537</v>
      </c>
    </row>
    <row r="100" ht="14.25" customHeight="1">
      <c r="A100" s="6">
        <v>43964.0</v>
      </c>
      <c r="B100" s="7" t="s">
        <v>13</v>
      </c>
      <c r="C100" s="7">
        <v>26464.5</v>
      </c>
      <c r="D100" s="7">
        <v>2373337.5</v>
      </c>
      <c r="E100" s="7">
        <v>1886244.741</v>
      </c>
      <c r="F100" s="8">
        <v>207105.15935384613</v>
      </c>
    </row>
    <row r="101" ht="14.25" customHeight="1">
      <c r="A101" s="9">
        <v>43954.0</v>
      </c>
      <c r="B101" s="10" t="s">
        <v>13</v>
      </c>
      <c r="C101" s="10">
        <v>23539.5</v>
      </c>
      <c r="D101" s="10">
        <v>2170309.5</v>
      </c>
      <c r="E101" s="10">
        <v>1735984.614</v>
      </c>
      <c r="F101" s="11">
        <v>170377.8575384615</v>
      </c>
    </row>
    <row r="102" ht="14.25" customHeight="1">
      <c r="A102" s="6">
        <v>43957.0</v>
      </c>
      <c r="B102" s="7" t="s">
        <v>13</v>
      </c>
      <c r="C102" s="7">
        <v>24678.0</v>
      </c>
      <c r="D102" s="7">
        <v>2232519.0</v>
      </c>
      <c r="E102" s="7">
        <v>1781999.058</v>
      </c>
      <c r="F102" s="8">
        <v>359577.9060076923</v>
      </c>
    </row>
    <row r="103" ht="14.25" customHeight="1">
      <c r="A103" s="9">
        <v>43974.0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ht="14.25" customHeight="1">
      <c r="A104" s="6">
        <v>43976.0</v>
      </c>
      <c r="B104" s="7" t="s">
        <v>13</v>
      </c>
      <c r="C104" s="7">
        <v>30603.0</v>
      </c>
      <c r="D104" s="7">
        <v>2865727.5</v>
      </c>
      <c r="E104" s="7">
        <v>2288224.429</v>
      </c>
      <c r="F104" s="8">
        <v>167381.28187692308</v>
      </c>
    </row>
    <row r="105" ht="14.25" customHeight="1">
      <c r="A105" s="9">
        <v>43951.0</v>
      </c>
      <c r="B105" s="10" t="s">
        <v>13</v>
      </c>
      <c r="C105" s="10">
        <v>24211.5</v>
      </c>
      <c r="D105" s="10">
        <v>2267664.0</v>
      </c>
      <c r="E105" s="10">
        <v>1801564.392</v>
      </c>
      <c r="F105" s="11">
        <v>97090.63692307692</v>
      </c>
    </row>
    <row r="106" ht="14.25" customHeight="1">
      <c r="A106" s="6">
        <v>43961.0</v>
      </c>
      <c r="B106" s="7" t="s">
        <v>13</v>
      </c>
      <c r="C106" s="7">
        <v>31399.5</v>
      </c>
      <c r="D106" s="7">
        <v>2862298.5</v>
      </c>
      <c r="E106" s="7">
        <v>2267667.519</v>
      </c>
      <c r="F106" s="8">
        <v>169650.86923076923</v>
      </c>
    </row>
    <row r="107" ht="14.25" customHeight="1">
      <c r="A107" s="9">
        <v>43959.0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ht="14.25" customHeight="1">
      <c r="A108" s="6">
        <v>43958.0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ht="14.25" customHeight="1">
      <c r="A109" s="9">
        <v>43975.0</v>
      </c>
      <c r="B109" s="10" t="s">
        <v>13</v>
      </c>
      <c r="C109" s="10">
        <v>31854.0</v>
      </c>
      <c r="D109" s="10">
        <v>2915533.5</v>
      </c>
      <c r="E109" s="10">
        <v>2431800.394</v>
      </c>
      <c r="F109" s="11">
        <v>155421.87692307692</v>
      </c>
    </row>
    <row r="110" ht="14.25" customHeight="1">
      <c r="A110" s="6">
        <v>43982.0</v>
      </c>
      <c r="B110" s="7" t="s">
        <v>13</v>
      </c>
      <c r="C110" s="7">
        <v>32359.5</v>
      </c>
      <c r="D110" s="7">
        <v>2991999.0</v>
      </c>
      <c r="E110" s="7">
        <v>2374135.6799999997</v>
      </c>
      <c r="F110" s="8">
        <v>106116.64615384616</v>
      </c>
    </row>
    <row r="111" ht="14.25" customHeight="1">
      <c r="A111" s="9">
        <v>43981.0</v>
      </c>
      <c r="B111" s="10" t="s">
        <v>13</v>
      </c>
      <c r="C111" s="10">
        <v>39867.0</v>
      </c>
      <c r="D111" s="10">
        <v>3654166.5</v>
      </c>
      <c r="E111" s="10">
        <v>2919786.295</v>
      </c>
      <c r="F111" s="11">
        <v>182639.11723076922</v>
      </c>
    </row>
    <row r="112" ht="14.25" customHeight="1">
      <c r="A112" s="6">
        <v>43979.0</v>
      </c>
      <c r="B112" s="7" t="s">
        <v>13</v>
      </c>
      <c r="C112" s="7">
        <v>31974.0</v>
      </c>
      <c r="D112" s="7">
        <v>3004213.5</v>
      </c>
      <c r="E112" s="7">
        <v>2389834.3129999996</v>
      </c>
      <c r="F112" s="8">
        <v>174780.66518461538</v>
      </c>
    </row>
    <row r="113" ht="14.25" customHeight="1">
      <c r="A113" s="9">
        <v>43967.0</v>
      </c>
      <c r="B113" s="10" t="s">
        <v>14</v>
      </c>
      <c r="C113" s="10">
        <v>321412.5</v>
      </c>
      <c r="D113" s="10">
        <v>3.2235864E7</v>
      </c>
      <c r="E113" s="10">
        <v>2.3691368555E7</v>
      </c>
      <c r="F113" s="11">
        <v>595097.1592923077</v>
      </c>
    </row>
    <row r="114" ht="14.25" customHeight="1">
      <c r="A114" s="6">
        <v>43970.0</v>
      </c>
      <c r="B114" s="7" t="s">
        <v>14</v>
      </c>
      <c r="C114" s="7">
        <v>276568.5</v>
      </c>
      <c r="D114" s="7">
        <v>2.7093624E7</v>
      </c>
      <c r="E114" s="7">
        <v>1.97686965E7</v>
      </c>
      <c r="F114" s="8">
        <v>759335.8046923077</v>
      </c>
    </row>
    <row r="115" ht="14.25" customHeight="1">
      <c r="A115" s="9">
        <v>43968.0</v>
      </c>
      <c r="B115" s="10" t="s">
        <v>14</v>
      </c>
      <c r="C115" s="10">
        <v>269029.5</v>
      </c>
      <c r="D115" s="10">
        <v>2.66599305E7</v>
      </c>
      <c r="E115" s="10">
        <v>1.9515982116E7</v>
      </c>
      <c r="F115" s="11">
        <v>551393.4769230769</v>
      </c>
    </row>
    <row r="116" ht="14.25" customHeight="1">
      <c r="A116" s="6">
        <v>43960.0</v>
      </c>
      <c r="B116" s="7" t="s">
        <v>14</v>
      </c>
      <c r="C116" s="7">
        <v>285972.0</v>
      </c>
      <c r="D116" s="7">
        <v>2.9768199E7</v>
      </c>
      <c r="E116" s="7">
        <v>2.1483666921E7</v>
      </c>
      <c r="F116" s="8">
        <v>549316.9501538462</v>
      </c>
    </row>
    <row r="117" ht="14.25" customHeight="1">
      <c r="A117" s="9">
        <v>43955.0</v>
      </c>
      <c r="B117" s="10" t="s">
        <v>14</v>
      </c>
      <c r="C117" s="10">
        <v>283942.5</v>
      </c>
      <c r="D117" s="10">
        <v>2.935794E7</v>
      </c>
      <c r="E117" s="10">
        <v>2.1174604830000002E7</v>
      </c>
      <c r="F117" s="11">
        <v>988153.4080307692</v>
      </c>
    </row>
    <row r="118" ht="14.25" customHeight="1">
      <c r="A118" s="6">
        <v>43950.0</v>
      </c>
      <c r="B118" s="7" t="s">
        <v>14</v>
      </c>
      <c r="C118" s="7">
        <v>298059.0</v>
      </c>
      <c r="D118" s="7">
        <v>3.08692875E7</v>
      </c>
      <c r="E118" s="7">
        <v>2.2717731617999997E7</v>
      </c>
      <c r="F118" s="8">
        <v>661329.1783384614</v>
      </c>
    </row>
    <row r="119" ht="14.25" customHeight="1">
      <c r="A119" s="9">
        <v>43953.0</v>
      </c>
      <c r="B119" s="10" t="s">
        <v>14</v>
      </c>
      <c r="C119" s="10">
        <v>232903.5</v>
      </c>
      <c r="D119" s="10">
        <v>2.43420165E7</v>
      </c>
      <c r="E119" s="10">
        <v>1.7790852444E7</v>
      </c>
      <c r="F119" s="11">
        <v>634118.8692307692</v>
      </c>
    </row>
    <row r="120" ht="14.25" customHeight="1">
      <c r="A120" s="6">
        <v>43977.0</v>
      </c>
      <c r="B120" s="7" t="s">
        <v>14</v>
      </c>
      <c r="C120" s="7">
        <v>276966.0</v>
      </c>
      <c r="D120" s="7">
        <v>2.787261789885E7</v>
      </c>
      <c r="E120" s="7">
        <v>2.0223763805E7</v>
      </c>
      <c r="F120" s="8">
        <v>645572.5782615384</v>
      </c>
    </row>
    <row r="121" ht="14.25" customHeight="1">
      <c r="A121" s="9">
        <v>43952.0</v>
      </c>
      <c r="B121" s="10" t="s">
        <v>14</v>
      </c>
      <c r="C121" s="10">
        <v>296149.5</v>
      </c>
      <c r="D121" s="10">
        <v>3.10533165E7</v>
      </c>
      <c r="E121" s="10">
        <v>2.2737807547E7</v>
      </c>
      <c r="F121" s="11">
        <v>896375.1692307692</v>
      </c>
    </row>
    <row r="122" ht="14.25" customHeight="1">
      <c r="A122" s="6">
        <v>43963.0</v>
      </c>
      <c r="B122" s="7" t="s">
        <v>14</v>
      </c>
      <c r="C122" s="7">
        <v>281796.0</v>
      </c>
      <c r="D122" s="7">
        <v>2.904252E7</v>
      </c>
      <c r="E122" s="7">
        <v>2.0980503505E7</v>
      </c>
      <c r="F122" s="8">
        <v>776209.0316999999</v>
      </c>
    </row>
    <row r="123" ht="14.25" customHeight="1">
      <c r="A123" s="9">
        <v>43972.0</v>
      </c>
      <c r="B123" s="10" t="s">
        <v>14</v>
      </c>
      <c r="C123" s="10">
        <v>288936.0</v>
      </c>
      <c r="D123" s="10">
        <v>2.78529E7</v>
      </c>
      <c r="E123" s="10">
        <v>2.0824687999E7</v>
      </c>
      <c r="F123" s="11">
        <v>822353.4393615385</v>
      </c>
    </row>
    <row r="124" ht="14.25" customHeight="1">
      <c r="A124" s="6">
        <v>43971.0</v>
      </c>
      <c r="B124" s="7" t="s">
        <v>14</v>
      </c>
      <c r="C124" s="7">
        <v>300151.5</v>
      </c>
      <c r="D124" s="7">
        <v>2.936877161745E7</v>
      </c>
      <c r="E124" s="7">
        <v>2.1545834136E7</v>
      </c>
      <c r="F124" s="8">
        <v>1052145.9026769232</v>
      </c>
    </row>
    <row r="125" ht="14.25" customHeight="1">
      <c r="A125" s="9">
        <v>43956.0</v>
      </c>
      <c r="B125" s="10" t="s">
        <v>14</v>
      </c>
      <c r="C125" s="10">
        <v>262734.0</v>
      </c>
      <c r="D125" s="10">
        <v>2.7278441145E7</v>
      </c>
      <c r="E125" s="10">
        <v>1.9610637316999998E7</v>
      </c>
      <c r="F125" s="11">
        <v>919330.0461538462</v>
      </c>
    </row>
    <row r="126" ht="14.25" customHeight="1">
      <c r="A126" s="6">
        <v>43949.0</v>
      </c>
      <c r="B126" s="7" t="s">
        <v>14</v>
      </c>
      <c r="C126" s="7">
        <v>286002.0</v>
      </c>
      <c r="D126" s="7">
        <v>2.91590325E7</v>
      </c>
      <c r="E126" s="7">
        <v>2.1437602310000002E7</v>
      </c>
      <c r="F126" s="8">
        <v>637711.5937230769</v>
      </c>
    </row>
    <row r="127" ht="14.25" customHeight="1">
      <c r="A127" s="9">
        <v>43964.0</v>
      </c>
      <c r="B127" s="10" t="s">
        <v>14</v>
      </c>
      <c r="C127" s="10">
        <v>258459.0</v>
      </c>
      <c r="D127" s="10">
        <v>2.64674535E7</v>
      </c>
      <c r="E127" s="10">
        <v>1.9153152527E7</v>
      </c>
      <c r="F127" s="11">
        <v>636197.2334076923</v>
      </c>
    </row>
    <row r="128" ht="14.25" customHeight="1">
      <c r="A128" s="6">
        <v>43954.0</v>
      </c>
      <c r="B128" s="7" t="s">
        <v>14</v>
      </c>
      <c r="C128" s="7">
        <v>274083.0</v>
      </c>
      <c r="D128" s="7">
        <v>2.8427001E7</v>
      </c>
      <c r="E128" s="7">
        <v>2.0563887599E7</v>
      </c>
      <c r="F128" s="8">
        <v>779849.3653846154</v>
      </c>
    </row>
    <row r="129" ht="14.25" customHeight="1">
      <c r="A129" s="9">
        <v>43957.0</v>
      </c>
      <c r="B129" s="10" t="s">
        <v>14</v>
      </c>
      <c r="C129" s="10">
        <v>277512.0</v>
      </c>
      <c r="D129" s="10">
        <v>2.87708101056E7</v>
      </c>
      <c r="E129" s="10">
        <v>2.0810852736E7</v>
      </c>
      <c r="F129" s="11">
        <v>790162.5769230769</v>
      </c>
    </row>
    <row r="130" ht="14.25" customHeight="1">
      <c r="A130" s="6">
        <v>43974.0</v>
      </c>
      <c r="B130" s="7" t="s">
        <v>14</v>
      </c>
      <c r="C130" s="7">
        <v>356982.0</v>
      </c>
      <c r="D130" s="7">
        <v>3.510392671155E7</v>
      </c>
      <c r="E130" s="7">
        <v>2.6357141036999997E7</v>
      </c>
      <c r="F130" s="8">
        <v>601482.0769230769</v>
      </c>
    </row>
    <row r="131" ht="14.25" customHeight="1">
      <c r="A131" s="9">
        <v>43976.0</v>
      </c>
      <c r="B131" s="10" t="s">
        <v>14</v>
      </c>
      <c r="C131" s="10">
        <v>266983.5</v>
      </c>
      <c r="D131" s="10">
        <v>2.71659135E7</v>
      </c>
      <c r="E131" s="10">
        <v>1.9659432722999997E7</v>
      </c>
      <c r="F131" s="11">
        <v>698314.9846153846</v>
      </c>
    </row>
    <row r="132" ht="14.25" customHeight="1">
      <c r="A132" s="6">
        <v>43951.0</v>
      </c>
      <c r="B132" s="7" t="s">
        <v>14</v>
      </c>
      <c r="C132" s="7">
        <v>311131.5</v>
      </c>
      <c r="D132" s="7">
        <v>3.2418879E7</v>
      </c>
      <c r="E132" s="7">
        <v>2.3595019661E7</v>
      </c>
      <c r="F132" s="8">
        <v>265444.33165384614</v>
      </c>
    </row>
    <row r="133" ht="14.25" customHeight="1">
      <c r="A133" s="9">
        <v>43961.0</v>
      </c>
      <c r="B133" s="10" t="s">
        <v>14</v>
      </c>
      <c r="C133" s="10">
        <v>287206.5</v>
      </c>
      <c r="D133" s="10">
        <v>2.953617610605E7</v>
      </c>
      <c r="E133" s="10">
        <v>2.1276357106E7</v>
      </c>
      <c r="F133" s="11">
        <v>541588.8935615384</v>
      </c>
    </row>
    <row r="134" ht="14.25" customHeight="1">
      <c r="A134" s="6">
        <v>43959.0</v>
      </c>
      <c r="B134" s="7" t="s">
        <v>14</v>
      </c>
      <c r="C134" s="7">
        <v>370092.0</v>
      </c>
      <c r="D134" s="7">
        <v>3.80915565E7</v>
      </c>
      <c r="E134" s="7">
        <v>2.8012065349999998E7</v>
      </c>
      <c r="F134" s="8">
        <v>725212.9959230769</v>
      </c>
    </row>
    <row r="135" ht="14.25" customHeight="1">
      <c r="A135" s="9">
        <v>43958.0</v>
      </c>
      <c r="B135" s="10" t="s">
        <v>14</v>
      </c>
      <c r="C135" s="10">
        <v>247813.5</v>
      </c>
      <c r="D135" s="10">
        <v>2.5325271E7</v>
      </c>
      <c r="E135" s="10">
        <v>1.8582990428E7</v>
      </c>
      <c r="F135" s="11">
        <v>865201.878576923</v>
      </c>
    </row>
    <row r="136" ht="14.25" customHeight="1">
      <c r="A136" s="6">
        <v>43975.0</v>
      </c>
      <c r="B136" s="7" t="s">
        <v>14</v>
      </c>
      <c r="C136" s="7">
        <v>287740.5</v>
      </c>
      <c r="D136" s="7">
        <v>2.8188534E7</v>
      </c>
      <c r="E136" s="7">
        <v>2.1369401387E7</v>
      </c>
      <c r="F136" s="8">
        <v>607679.3461538461</v>
      </c>
    </row>
    <row r="137" ht="14.25" customHeight="1">
      <c r="A137" s="9">
        <v>43967.0</v>
      </c>
      <c r="B137" s="10" t="s">
        <v>15</v>
      </c>
      <c r="C137" s="10">
        <v>408810.0</v>
      </c>
      <c r="D137" s="10">
        <v>4.2323631E7</v>
      </c>
      <c r="E137" s="10">
        <v>3.1033323692999996E7</v>
      </c>
      <c r="F137" s="11">
        <v>571764.0907692307</v>
      </c>
    </row>
    <row r="138" ht="14.25" customHeight="1">
      <c r="A138" s="6">
        <v>43970.0</v>
      </c>
      <c r="B138" s="7" t="s">
        <v>15</v>
      </c>
      <c r="C138" s="7">
        <v>362536.5</v>
      </c>
      <c r="D138" s="7">
        <v>3.7023243E7</v>
      </c>
      <c r="E138" s="7">
        <v>2.6762183377E7</v>
      </c>
      <c r="F138" s="8">
        <v>650375.7684923077</v>
      </c>
    </row>
    <row r="139" ht="14.25" customHeight="1">
      <c r="A139" s="9">
        <v>43968.0</v>
      </c>
      <c r="B139" s="10" t="s">
        <v>15</v>
      </c>
      <c r="C139" s="10">
        <v>357072.0</v>
      </c>
      <c r="D139" s="10">
        <v>3.6834567E7</v>
      </c>
      <c r="E139" s="10">
        <v>2.6914635671E7</v>
      </c>
      <c r="F139" s="11">
        <v>566638.9257538462</v>
      </c>
    </row>
    <row r="140" ht="14.25" customHeight="1">
      <c r="A140" s="6">
        <v>43960.0</v>
      </c>
      <c r="B140" s="7" t="s">
        <v>15</v>
      </c>
      <c r="C140" s="7">
        <v>359214.0</v>
      </c>
      <c r="D140" s="7">
        <v>3.8693427E7</v>
      </c>
      <c r="E140" s="7">
        <v>2.7863789055E7</v>
      </c>
      <c r="F140" s="8">
        <v>582268.7261538461</v>
      </c>
    </row>
    <row r="141" ht="14.25" customHeight="1">
      <c r="A141" s="9">
        <v>43955.0</v>
      </c>
      <c r="B141" s="10" t="s">
        <v>15</v>
      </c>
      <c r="C141" s="10">
        <v>360255.0</v>
      </c>
      <c r="D141" s="10">
        <v>3.8406954E7</v>
      </c>
      <c r="E141" s="10">
        <v>2.7588003988E7</v>
      </c>
      <c r="F141" s="11">
        <v>1078421.345076923</v>
      </c>
    </row>
    <row r="142" ht="14.25" customHeight="1">
      <c r="A142" s="6">
        <v>43950.0</v>
      </c>
      <c r="B142" s="7" t="s">
        <v>15</v>
      </c>
      <c r="C142" s="7">
        <v>387220.5</v>
      </c>
      <c r="D142" s="7">
        <v>4.1559384E7</v>
      </c>
      <c r="E142" s="7">
        <v>3.0476170214999996E7</v>
      </c>
      <c r="F142" s="8">
        <v>642893.5665692308</v>
      </c>
    </row>
    <row r="143" ht="14.25" customHeight="1">
      <c r="A143" s="9">
        <v>43953.0</v>
      </c>
      <c r="B143" s="10" t="s">
        <v>15</v>
      </c>
      <c r="C143" s="10">
        <v>296580.0</v>
      </c>
      <c r="D143" s="10">
        <v>3.1843737E7</v>
      </c>
      <c r="E143" s="10">
        <v>2.311977798E7</v>
      </c>
      <c r="F143" s="11">
        <v>657754.3188</v>
      </c>
    </row>
    <row r="144" ht="14.25" customHeight="1">
      <c r="A144" s="6">
        <v>43977.0</v>
      </c>
      <c r="B144" s="7" t="s">
        <v>15</v>
      </c>
      <c r="C144" s="7">
        <v>369861.0</v>
      </c>
      <c r="D144" s="7">
        <v>3.83659605E7</v>
      </c>
      <c r="E144" s="7">
        <v>2.7592063503E7</v>
      </c>
      <c r="F144" s="8">
        <v>589339.0338461538</v>
      </c>
    </row>
    <row r="145" ht="14.25" customHeight="1">
      <c r="A145" s="9">
        <v>43952.0</v>
      </c>
      <c r="B145" s="10" t="s">
        <v>15</v>
      </c>
      <c r="C145" s="10">
        <v>372504.0</v>
      </c>
      <c r="D145" s="10">
        <v>4.00771935E7</v>
      </c>
      <c r="E145" s="10">
        <v>2.9141359438E7</v>
      </c>
      <c r="F145" s="11">
        <v>848425.4184384615</v>
      </c>
    </row>
    <row r="146" ht="14.25" customHeight="1">
      <c r="A146" s="6">
        <v>43963.0</v>
      </c>
      <c r="B146" s="7" t="s">
        <v>15</v>
      </c>
      <c r="C146" s="7">
        <v>373392.0</v>
      </c>
      <c r="D146" s="7">
        <v>3.9578577E7</v>
      </c>
      <c r="E146" s="7">
        <v>2.8453665595E7</v>
      </c>
      <c r="F146" s="8">
        <v>535419.8979692308</v>
      </c>
    </row>
    <row r="147" ht="14.25" customHeight="1">
      <c r="A147" s="9">
        <v>43972.0</v>
      </c>
      <c r="B147" s="10" t="s">
        <v>15</v>
      </c>
      <c r="C147" s="10">
        <v>378043.5</v>
      </c>
      <c r="D147" s="10">
        <v>3.790215657E7</v>
      </c>
      <c r="E147" s="10">
        <v>2.8083686689999998E7</v>
      </c>
      <c r="F147" s="11">
        <v>713697.6076923077</v>
      </c>
    </row>
    <row r="148" ht="14.25" customHeight="1">
      <c r="A148" s="6">
        <v>43971.0</v>
      </c>
      <c r="B148" s="7" t="s">
        <v>15</v>
      </c>
      <c r="C148" s="7">
        <v>388668.0</v>
      </c>
      <c r="D148" s="7">
        <v>3.9639309E7</v>
      </c>
      <c r="E148" s="7">
        <v>2.8736966634E7</v>
      </c>
      <c r="F148" s="8">
        <v>997757.7538461538</v>
      </c>
    </row>
    <row r="149" ht="14.25" customHeight="1">
      <c r="A149" s="9">
        <v>43956.0</v>
      </c>
      <c r="B149" s="10" t="s">
        <v>15</v>
      </c>
      <c r="C149" s="10">
        <v>333792.0</v>
      </c>
      <c r="D149" s="10">
        <v>3.5671734E7</v>
      </c>
      <c r="E149" s="10">
        <v>2.5644478342E7</v>
      </c>
      <c r="F149" s="11">
        <v>919576.9605538462</v>
      </c>
    </row>
    <row r="150" ht="14.25" customHeight="1">
      <c r="A150" s="6">
        <v>43949.0</v>
      </c>
      <c r="B150" s="7" t="s">
        <v>15</v>
      </c>
      <c r="C150" s="7">
        <v>376060.5</v>
      </c>
      <c r="D150" s="7">
        <v>3.99180285E7</v>
      </c>
      <c r="E150" s="7">
        <v>2.9154014884E7</v>
      </c>
      <c r="F150" s="8">
        <v>611904.2335230769</v>
      </c>
    </row>
    <row r="151" ht="14.25" customHeight="1">
      <c r="A151" s="9">
        <v>43964.0</v>
      </c>
      <c r="B151" s="10" t="s">
        <v>15</v>
      </c>
      <c r="C151" s="10">
        <v>350068.5</v>
      </c>
      <c r="D151" s="10">
        <v>3.71971155E7</v>
      </c>
      <c r="E151" s="10">
        <v>2.6793668158999998E7</v>
      </c>
      <c r="F151" s="11">
        <v>582815.3615384615</v>
      </c>
    </row>
    <row r="152" ht="14.25" customHeight="1">
      <c r="A152" s="6">
        <v>43982.0</v>
      </c>
      <c r="B152" s="7" t="s">
        <v>14</v>
      </c>
      <c r="C152" s="7">
        <v>294337.5</v>
      </c>
      <c r="D152" s="7">
        <v>2.9327766E7</v>
      </c>
      <c r="E152" s="7">
        <v>2.2491044692999996E7</v>
      </c>
      <c r="F152" s="8">
        <v>283716.73846153845</v>
      </c>
    </row>
    <row r="153" ht="14.25" customHeight="1">
      <c r="A153" s="9">
        <v>43954.0</v>
      </c>
      <c r="B153" s="10" t="s">
        <v>15</v>
      </c>
      <c r="C153" s="10">
        <v>342666.0</v>
      </c>
      <c r="D153" s="10">
        <v>3.66319995E7</v>
      </c>
      <c r="E153" s="10">
        <v>2.6408496047999997E7</v>
      </c>
      <c r="F153" s="11">
        <v>820373.5681538461</v>
      </c>
    </row>
    <row r="154" ht="14.25" customHeight="1">
      <c r="A154" s="6">
        <v>43981.0</v>
      </c>
      <c r="B154" s="7" t="s">
        <v>14</v>
      </c>
      <c r="C154" s="7">
        <v>364882.5</v>
      </c>
      <c r="D154" s="7">
        <v>3.57244935E7</v>
      </c>
      <c r="E154" s="7">
        <v>2.7535617434E7</v>
      </c>
      <c r="F154" s="8">
        <v>541116.6988461538</v>
      </c>
    </row>
    <row r="155" ht="14.25" customHeight="1">
      <c r="A155" s="9">
        <v>43957.0</v>
      </c>
      <c r="B155" s="10" t="s">
        <v>15</v>
      </c>
      <c r="C155" s="10">
        <v>355278.0</v>
      </c>
      <c r="D155" s="10">
        <v>3.8092344E7</v>
      </c>
      <c r="E155" s="10">
        <v>2.7467616702999998E7</v>
      </c>
      <c r="F155" s="11">
        <v>942702.9</v>
      </c>
    </row>
    <row r="156" ht="14.25" customHeight="1">
      <c r="A156" s="6">
        <v>43974.0</v>
      </c>
      <c r="B156" s="7" t="s">
        <v>15</v>
      </c>
      <c r="C156" s="7">
        <v>456885.0</v>
      </c>
      <c r="D156" s="7">
        <v>4.640808E7</v>
      </c>
      <c r="E156" s="7">
        <v>3.4793888933E7</v>
      </c>
      <c r="F156" s="8">
        <v>595793.090653846</v>
      </c>
    </row>
    <row r="157" ht="14.25" customHeight="1">
      <c r="A157" s="9">
        <v>43979.0</v>
      </c>
      <c r="B157" s="10" t="s">
        <v>14</v>
      </c>
      <c r="C157" s="10">
        <v>278491.5</v>
      </c>
      <c r="D157" s="10">
        <v>2.815100475E7</v>
      </c>
      <c r="E157" s="10">
        <v>2.0806418796E7</v>
      </c>
      <c r="F157" s="11">
        <v>591565.3538461538</v>
      </c>
    </row>
    <row r="158" ht="14.25" customHeight="1">
      <c r="A158" s="6">
        <v>43976.0</v>
      </c>
      <c r="B158" s="7" t="s">
        <v>15</v>
      </c>
      <c r="C158" s="7">
        <v>349734.0</v>
      </c>
      <c r="D158" s="7">
        <v>3.6883428E7</v>
      </c>
      <c r="E158" s="7">
        <v>2.6438356803E7</v>
      </c>
      <c r="F158" s="8">
        <v>742420.2692307691</v>
      </c>
    </row>
    <row r="159" ht="14.25" customHeight="1">
      <c r="A159" s="9">
        <v>43951.0</v>
      </c>
      <c r="B159" s="10" t="s">
        <v>15</v>
      </c>
      <c r="C159" s="10">
        <v>401580.0</v>
      </c>
      <c r="D159" s="10">
        <v>4.30287345E7</v>
      </c>
      <c r="E159" s="10">
        <v>3.1156525939999998E7</v>
      </c>
      <c r="F159" s="11">
        <v>343786.0846153846</v>
      </c>
    </row>
    <row r="160" ht="14.25" customHeight="1">
      <c r="A160" s="6">
        <v>43961.0</v>
      </c>
      <c r="B160" s="7" t="s">
        <v>15</v>
      </c>
      <c r="C160" s="7">
        <v>368649.0</v>
      </c>
      <c r="D160" s="7">
        <v>3.9010875E7</v>
      </c>
      <c r="E160" s="7">
        <v>2.8090230959E7</v>
      </c>
      <c r="F160" s="8">
        <v>532663.1615384615</v>
      </c>
    </row>
    <row r="161" ht="14.25" customHeight="1">
      <c r="A161" s="9">
        <v>43959.0</v>
      </c>
      <c r="B161" s="10" t="s">
        <v>15</v>
      </c>
      <c r="C161" s="10">
        <v>463530.0</v>
      </c>
      <c r="D161" s="10">
        <v>4.91231805E7</v>
      </c>
      <c r="E161" s="10">
        <v>3.6012087989E7</v>
      </c>
      <c r="F161" s="11">
        <v>700442.1153769231</v>
      </c>
    </row>
    <row r="162" ht="14.25" customHeight="1">
      <c r="A162" s="6">
        <v>43958.0</v>
      </c>
      <c r="B162" s="7" t="s">
        <v>15</v>
      </c>
      <c r="C162" s="7">
        <v>319110.0</v>
      </c>
      <c r="D162" s="7">
        <v>3.3763989E7</v>
      </c>
      <c r="E162" s="7">
        <v>2.4610757489E7</v>
      </c>
      <c r="F162" s="8">
        <v>1101833.447230769</v>
      </c>
    </row>
    <row r="163" ht="14.25" customHeight="1">
      <c r="A163" s="9">
        <v>43975.0</v>
      </c>
      <c r="B163" s="10" t="s">
        <v>15</v>
      </c>
      <c r="C163" s="10">
        <v>375744.0</v>
      </c>
      <c r="D163" s="10">
        <v>3.81913815E7</v>
      </c>
      <c r="E163" s="10">
        <v>2.8822960470999997E7</v>
      </c>
      <c r="F163" s="11">
        <v>574198.1153846154</v>
      </c>
    </row>
    <row r="164" ht="14.25" customHeight="1">
      <c r="A164" s="6">
        <v>43967.0</v>
      </c>
      <c r="B164" s="7" t="s">
        <v>16</v>
      </c>
      <c r="C164" s="7">
        <v>81331.5</v>
      </c>
      <c r="D164" s="7">
        <v>6652179.0</v>
      </c>
      <c r="E164" s="7">
        <v>5305378.904</v>
      </c>
      <c r="F164" s="8">
        <v>156413.8362153846</v>
      </c>
    </row>
    <row r="165" ht="14.25" customHeight="1">
      <c r="A165" s="9">
        <v>43970.0</v>
      </c>
      <c r="B165" s="10" t="s">
        <v>16</v>
      </c>
      <c r="C165" s="10">
        <v>75796.5</v>
      </c>
      <c r="D165" s="10">
        <v>6173463.0</v>
      </c>
      <c r="E165" s="10">
        <v>4915101.795</v>
      </c>
      <c r="F165" s="11">
        <v>253686.7171923077</v>
      </c>
    </row>
    <row r="166" ht="14.25" customHeight="1">
      <c r="A166" s="6">
        <v>43968.0</v>
      </c>
      <c r="B166" s="7" t="s">
        <v>16</v>
      </c>
      <c r="C166" s="7">
        <v>72861.0</v>
      </c>
      <c r="D166" s="7">
        <v>5952802.5</v>
      </c>
      <c r="E166" s="7">
        <v>4711294.200999999</v>
      </c>
      <c r="F166" s="8">
        <v>125880.90000000001</v>
      </c>
    </row>
    <row r="167" ht="14.25" customHeight="1">
      <c r="A167" s="9">
        <v>43960.0</v>
      </c>
      <c r="B167" s="10" t="s">
        <v>16</v>
      </c>
      <c r="C167" s="10">
        <v>83373.0</v>
      </c>
      <c r="D167" s="10">
        <v>7253427.0</v>
      </c>
      <c r="E167" s="10">
        <v>5531366.381</v>
      </c>
      <c r="F167" s="11">
        <v>221053.87967692307</v>
      </c>
    </row>
    <row r="168" ht="14.25" customHeight="1">
      <c r="A168" s="6">
        <v>43955.0</v>
      </c>
      <c r="B168" s="7" t="s">
        <v>16</v>
      </c>
      <c r="C168" s="7">
        <v>64108.5</v>
      </c>
      <c r="D168" s="7">
        <v>5561452.5</v>
      </c>
      <c r="E168" s="7">
        <v>4257859.372</v>
      </c>
      <c r="F168" s="8">
        <v>337872.83273076924</v>
      </c>
    </row>
    <row r="169" ht="14.25" customHeight="1">
      <c r="A169" s="9">
        <v>43950.0</v>
      </c>
      <c r="B169" s="10" t="s">
        <v>16</v>
      </c>
      <c r="C169" s="10">
        <v>74707.5</v>
      </c>
      <c r="D169" s="10">
        <v>6454458.0</v>
      </c>
      <c r="E169" s="10">
        <v>4968152.947</v>
      </c>
      <c r="F169" s="11">
        <v>118941.29398461539</v>
      </c>
    </row>
    <row r="170" ht="14.25" customHeight="1">
      <c r="A170" s="6">
        <v>43953.0</v>
      </c>
      <c r="B170" s="7" t="s">
        <v>16</v>
      </c>
      <c r="C170" s="7">
        <v>46216.5</v>
      </c>
      <c r="D170" s="7">
        <v>4118251.5</v>
      </c>
      <c r="E170" s="7">
        <v>3133704.928</v>
      </c>
      <c r="F170" s="8">
        <v>179531.89196153847</v>
      </c>
    </row>
    <row r="171" ht="14.25" customHeight="1">
      <c r="A171" s="9">
        <v>43977.0</v>
      </c>
      <c r="B171" s="10" t="s">
        <v>16</v>
      </c>
      <c r="C171" s="10">
        <v>67726.5</v>
      </c>
      <c r="D171" s="10">
        <v>5864989.5</v>
      </c>
      <c r="E171" s="10">
        <v>4506085.484</v>
      </c>
      <c r="F171" s="11">
        <v>167003.69436153845</v>
      </c>
    </row>
    <row r="172" ht="14.25" customHeight="1">
      <c r="A172" s="6">
        <v>43952.0</v>
      </c>
      <c r="B172" s="7" t="s">
        <v>16</v>
      </c>
      <c r="C172" s="7">
        <v>82228.5</v>
      </c>
      <c r="D172" s="7">
        <v>7032225.0</v>
      </c>
      <c r="E172" s="7">
        <v>5546127.192</v>
      </c>
      <c r="F172" s="8">
        <v>196859.98644615384</v>
      </c>
    </row>
    <row r="173" ht="14.25" customHeight="1">
      <c r="A173" s="9">
        <v>43963.0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ht="14.25" customHeight="1">
      <c r="A174" s="6">
        <v>43972.0</v>
      </c>
      <c r="B174" s="7" t="s">
        <v>16</v>
      </c>
      <c r="C174" s="7">
        <v>73126.5</v>
      </c>
      <c r="D174" s="7">
        <v>5864085.0</v>
      </c>
      <c r="E174" s="7">
        <v>4847142.986</v>
      </c>
      <c r="F174" s="8">
        <v>142998.2095</v>
      </c>
    </row>
    <row r="175" ht="14.25" customHeight="1">
      <c r="A175" s="9">
        <v>43971.0</v>
      </c>
      <c r="B175" s="10" t="s">
        <v>16</v>
      </c>
      <c r="C175" s="10">
        <v>99631.5</v>
      </c>
      <c r="D175" s="10">
        <v>7121946.0</v>
      </c>
      <c r="E175" s="10">
        <v>6279205.85</v>
      </c>
      <c r="F175" s="11">
        <v>279127.2760230769</v>
      </c>
    </row>
    <row r="176" ht="14.25" customHeight="1">
      <c r="A176" s="6">
        <v>43956.0</v>
      </c>
      <c r="B176" s="7" t="s">
        <v>16</v>
      </c>
      <c r="C176" s="7">
        <v>66396.0</v>
      </c>
      <c r="D176" s="7">
        <v>5770539.0</v>
      </c>
      <c r="E176" s="7">
        <v>4433831.250999999</v>
      </c>
      <c r="F176" s="8">
        <v>232587.42287692308</v>
      </c>
    </row>
    <row r="177" ht="14.25" customHeight="1">
      <c r="A177" s="9">
        <v>43949.0</v>
      </c>
      <c r="B177" s="10" t="s">
        <v>16</v>
      </c>
      <c r="C177" s="10">
        <v>73147.5</v>
      </c>
      <c r="D177" s="10">
        <v>6288246.0</v>
      </c>
      <c r="E177" s="10">
        <v>4798265.113</v>
      </c>
      <c r="F177" s="11">
        <v>123081.63515384615</v>
      </c>
    </row>
    <row r="178" ht="14.25" customHeight="1">
      <c r="A178" s="6">
        <v>43964.0</v>
      </c>
      <c r="B178" s="7" t="s">
        <v>16</v>
      </c>
      <c r="C178" s="7">
        <v>73062.0</v>
      </c>
      <c r="D178" s="7">
        <v>6333828.0</v>
      </c>
      <c r="E178" s="7">
        <v>4890619.262</v>
      </c>
      <c r="F178" s="8">
        <v>181964.6876923077</v>
      </c>
    </row>
    <row r="179" ht="14.25" customHeight="1">
      <c r="A179" s="9">
        <v>43982.0</v>
      </c>
      <c r="B179" s="10" t="s">
        <v>15</v>
      </c>
      <c r="C179" s="10">
        <v>379663.5</v>
      </c>
      <c r="D179" s="10">
        <v>3.9380178E7</v>
      </c>
      <c r="E179" s="10">
        <v>2.9726473223999996E7</v>
      </c>
      <c r="F179" s="11">
        <v>305744.9884307692</v>
      </c>
    </row>
    <row r="180" ht="14.25" customHeight="1">
      <c r="A180" s="6">
        <v>43954.0</v>
      </c>
      <c r="B180" s="7" t="s">
        <v>16</v>
      </c>
      <c r="C180" s="7">
        <v>70581.0</v>
      </c>
      <c r="D180" s="7">
        <v>6221320.5</v>
      </c>
      <c r="E180" s="7">
        <v>4762185.061</v>
      </c>
      <c r="F180" s="8">
        <v>172821.83076923076</v>
      </c>
    </row>
    <row r="181" ht="14.25" customHeight="1">
      <c r="A181" s="9">
        <v>43981.0</v>
      </c>
      <c r="B181" s="10" t="s">
        <v>15</v>
      </c>
      <c r="C181" s="10">
        <v>453123.0</v>
      </c>
      <c r="D181" s="10">
        <v>4.6370904E7</v>
      </c>
      <c r="E181" s="10">
        <v>3.5190775285000004E7</v>
      </c>
      <c r="F181" s="11">
        <v>552625.8</v>
      </c>
    </row>
    <row r="182" ht="14.25" customHeight="1">
      <c r="A182" s="6">
        <v>43957.0</v>
      </c>
      <c r="B182" s="7" t="s">
        <v>16</v>
      </c>
      <c r="C182" s="7">
        <v>63012.0</v>
      </c>
      <c r="D182" s="7">
        <v>5454121.5</v>
      </c>
      <c r="E182" s="7">
        <v>4155234.554</v>
      </c>
      <c r="F182" s="8">
        <v>234787.5564923077</v>
      </c>
    </row>
    <row r="183" ht="14.25" customHeight="1">
      <c r="A183" s="9">
        <v>43974.0</v>
      </c>
      <c r="B183" s="10" t="s">
        <v>16</v>
      </c>
      <c r="C183" s="10">
        <v>89556.0</v>
      </c>
      <c r="D183" s="10">
        <v>7173117.0</v>
      </c>
      <c r="E183" s="10">
        <v>6068194.523</v>
      </c>
      <c r="F183" s="11">
        <v>139983.69019999998</v>
      </c>
    </row>
    <row r="184" ht="14.25" customHeight="1">
      <c r="A184" s="6">
        <v>43979.0</v>
      </c>
      <c r="B184" s="7" t="s">
        <v>15</v>
      </c>
      <c r="C184" s="7">
        <v>364638.0</v>
      </c>
      <c r="D184" s="7">
        <v>3.79476885E7</v>
      </c>
      <c r="E184" s="7">
        <v>2.7829971363E7</v>
      </c>
      <c r="F184" s="8">
        <v>628647.3307692307</v>
      </c>
    </row>
    <row r="185" ht="14.25" customHeight="1">
      <c r="A185" s="9">
        <v>43976.0</v>
      </c>
      <c r="B185" s="10" t="s">
        <v>16</v>
      </c>
      <c r="C185" s="10">
        <v>66316.5</v>
      </c>
      <c r="D185" s="10">
        <v>5704650.0</v>
      </c>
      <c r="E185" s="10">
        <v>4375924.236</v>
      </c>
      <c r="F185" s="11">
        <v>135246.95929230767</v>
      </c>
    </row>
    <row r="186" ht="14.25" customHeight="1">
      <c r="A186" s="6">
        <v>43951.0</v>
      </c>
      <c r="B186" s="7" t="s">
        <v>16</v>
      </c>
      <c r="C186" s="7">
        <v>78235.5</v>
      </c>
      <c r="D186" s="7">
        <v>6819594.0</v>
      </c>
      <c r="E186" s="7">
        <v>5260171.534999999</v>
      </c>
      <c r="F186" s="8">
        <v>70931.81667692307</v>
      </c>
    </row>
    <row r="187" ht="14.25" customHeight="1">
      <c r="A187" s="9">
        <v>43961.0</v>
      </c>
      <c r="B187" s="10" t="s">
        <v>16</v>
      </c>
      <c r="C187" s="10">
        <v>88311.0</v>
      </c>
      <c r="D187" s="10">
        <v>7726069.5</v>
      </c>
      <c r="E187" s="10">
        <v>5922893.721</v>
      </c>
      <c r="F187" s="11">
        <v>161614.12454615385</v>
      </c>
    </row>
    <row r="188" ht="14.25" customHeight="1">
      <c r="A188" s="6">
        <v>43959.0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ht="14.25" customHeight="1">
      <c r="A189" s="9">
        <v>43958.0</v>
      </c>
      <c r="B189" s="10" t="s">
        <v>16</v>
      </c>
      <c r="C189" s="10">
        <v>71067.0</v>
      </c>
      <c r="D189" s="10">
        <v>6175837.5</v>
      </c>
      <c r="E189" s="10">
        <v>4747959.614</v>
      </c>
      <c r="F189" s="11">
        <v>157793.27424615383</v>
      </c>
    </row>
    <row r="190" ht="14.25" customHeight="1">
      <c r="A190" s="6">
        <v>43975.0</v>
      </c>
      <c r="B190" s="7" t="s">
        <v>16</v>
      </c>
      <c r="C190" s="7">
        <v>74649.0</v>
      </c>
      <c r="D190" s="7">
        <v>6098236.5</v>
      </c>
      <c r="E190" s="7">
        <v>5042435.841</v>
      </c>
      <c r="F190" s="8">
        <v>156805.8346153846</v>
      </c>
    </row>
    <row r="191" ht="14.25" customHeight="1">
      <c r="A191" s="9">
        <v>43967.0</v>
      </c>
      <c r="B191" s="10" t="s">
        <v>17</v>
      </c>
      <c r="C191" s="10">
        <v>44560.5</v>
      </c>
      <c r="D191" s="10">
        <v>4025148.0</v>
      </c>
      <c r="E191" s="10">
        <v>3259483.304</v>
      </c>
      <c r="F191" s="11">
        <v>145385.33866923075</v>
      </c>
    </row>
    <row r="192" ht="14.25" customHeight="1">
      <c r="A192" s="6">
        <v>43970.0</v>
      </c>
      <c r="B192" s="7" t="s">
        <v>17</v>
      </c>
      <c r="C192" s="7">
        <v>38250.0</v>
      </c>
      <c r="D192" s="7">
        <v>3552937.5</v>
      </c>
      <c r="E192" s="7">
        <v>2795344.17</v>
      </c>
      <c r="F192" s="8">
        <v>245048.2600769231</v>
      </c>
    </row>
    <row r="193" ht="14.25" customHeight="1">
      <c r="A193" s="9">
        <v>43968.0</v>
      </c>
      <c r="B193" s="10" t="s">
        <v>17</v>
      </c>
      <c r="C193" s="10">
        <v>34830.0</v>
      </c>
      <c r="D193" s="10">
        <v>3191155.5</v>
      </c>
      <c r="E193" s="10">
        <v>2528990.584</v>
      </c>
      <c r="F193" s="11">
        <v>292821.2230769231</v>
      </c>
    </row>
    <row r="194" ht="14.25" customHeight="1">
      <c r="A194" s="6">
        <v>43960.0</v>
      </c>
      <c r="B194" s="7" t="s">
        <v>17</v>
      </c>
      <c r="C194" s="7">
        <v>32239.5</v>
      </c>
      <c r="D194" s="7">
        <v>3084892.5</v>
      </c>
      <c r="E194" s="7">
        <v>2384575.363</v>
      </c>
      <c r="F194" s="8">
        <v>184346.05176923078</v>
      </c>
    </row>
    <row r="195" ht="14.25" customHeight="1">
      <c r="A195" s="9">
        <v>43955.0</v>
      </c>
      <c r="B195" s="10" t="s">
        <v>17</v>
      </c>
      <c r="C195" s="10">
        <v>30780.0</v>
      </c>
      <c r="D195" s="10">
        <v>2817853.5</v>
      </c>
      <c r="E195" s="10">
        <v>2169377.225</v>
      </c>
      <c r="F195" s="11">
        <v>215836.18461538458</v>
      </c>
    </row>
    <row r="196" ht="14.25" customHeight="1">
      <c r="A196" s="6">
        <v>43950.0</v>
      </c>
      <c r="B196" s="7" t="s">
        <v>17</v>
      </c>
      <c r="C196" s="7">
        <v>29142.0</v>
      </c>
      <c r="D196" s="7">
        <v>2627595.0</v>
      </c>
      <c r="E196" s="7">
        <v>2033299.2799999998</v>
      </c>
      <c r="F196" s="8">
        <v>202681.39594615382</v>
      </c>
    </row>
    <row r="197" ht="14.25" customHeight="1">
      <c r="A197" s="9">
        <v>43953.0</v>
      </c>
      <c r="B197" s="10" t="s">
        <v>17</v>
      </c>
      <c r="C197" s="10">
        <v>26428.5</v>
      </c>
      <c r="D197" s="10">
        <v>2470465.5</v>
      </c>
      <c r="E197" s="10">
        <v>1911613.144</v>
      </c>
      <c r="F197" s="11">
        <v>187667.93086153845</v>
      </c>
    </row>
    <row r="198" ht="14.25" customHeight="1">
      <c r="A198" s="6">
        <v>43977.0</v>
      </c>
      <c r="B198" s="7" t="s">
        <v>17</v>
      </c>
      <c r="C198" s="7">
        <v>40744.5</v>
      </c>
      <c r="D198" s="7">
        <v>3700311.0</v>
      </c>
      <c r="E198" s="7">
        <v>2861069.8419999997</v>
      </c>
      <c r="F198" s="8">
        <v>170303.62015384613</v>
      </c>
    </row>
    <row r="199" ht="14.25" customHeight="1">
      <c r="A199" s="9">
        <v>43952.0</v>
      </c>
      <c r="B199" s="10" t="s">
        <v>17</v>
      </c>
      <c r="C199" s="10">
        <v>46620.0</v>
      </c>
      <c r="D199" s="10">
        <v>4293241.5</v>
      </c>
      <c r="E199" s="10">
        <v>3389723.959</v>
      </c>
      <c r="F199" s="11">
        <v>329717.03827692306</v>
      </c>
    </row>
    <row r="200" ht="14.25" customHeight="1">
      <c r="A200" s="6">
        <v>43963.0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ht="14.25" customHeight="1">
      <c r="A201" s="9">
        <v>43972.0</v>
      </c>
      <c r="B201" s="10" t="s">
        <v>17</v>
      </c>
      <c r="C201" s="10">
        <v>40819.5</v>
      </c>
      <c r="D201" s="10">
        <v>3810394.5</v>
      </c>
      <c r="E201" s="10">
        <v>3046897.794</v>
      </c>
      <c r="F201" s="11">
        <v>144594.4076923077</v>
      </c>
    </row>
    <row r="202" ht="14.25" customHeight="1">
      <c r="A202" s="6">
        <v>43971.0</v>
      </c>
      <c r="B202" s="7" t="s">
        <v>17</v>
      </c>
      <c r="C202" s="7">
        <v>41391.0</v>
      </c>
      <c r="D202" s="7">
        <v>3918987.0</v>
      </c>
      <c r="E202" s="7">
        <v>3141103.957</v>
      </c>
      <c r="F202" s="8">
        <v>205451.17950769232</v>
      </c>
    </row>
    <row r="203" ht="14.25" customHeight="1">
      <c r="A203" s="9">
        <v>43956.0</v>
      </c>
      <c r="B203" s="10" t="s">
        <v>17</v>
      </c>
      <c r="C203" s="10">
        <v>29482.5</v>
      </c>
      <c r="D203" s="10">
        <v>2648688.0</v>
      </c>
      <c r="E203" s="10">
        <v>2021918.12</v>
      </c>
      <c r="F203" s="11">
        <v>219587.1531846154</v>
      </c>
    </row>
    <row r="204" ht="14.25" customHeight="1">
      <c r="A204" s="6">
        <v>43949.0</v>
      </c>
      <c r="B204" s="7" t="s">
        <v>17</v>
      </c>
      <c r="C204" s="7">
        <v>32181.0</v>
      </c>
      <c r="D204" s="7">
        <v>2863600.5</v>
      </c>
      <c r="E204" s="7">
        <v>2246478.617</v>
      </c>
      <c r="F204" s="8">
        <v>140503.93076923076</v>
      </c>
    </row>
    <row r="205" ht="14.25" customHeight="1">
      <c r="A205" s="9">
        <v>43964.0</v>
      </c>
      <c r="B205" s="10" t="s">
        <v>17</v>
      </c>
      <c r="C205" s="10">
        <v>35535.0</v>
      </c>
      <c r="D205" s="10">
        <v>3288069.0</v>
      </c>
      <c r="E205" s="10">
        <v>2580984.03</v>
      </c>
      <c r="F205" s="11">
        <v>208081.82515384615</v>
      </c>
    </row>
    <row r="206" ht="14.25" customHeight="1">
      <c r="A206" s="6">
        <v>43982.0</v>
      </c>
      <c r="B206" s="7" t="s">
        <v>16</v>
      </c>
      <c r="C206" s="7">
        <v>76234.5</v>
      </c>
      <c r="D206" s="7">
        <v>6500848.5</v>
      </c>
      <c r="E206" s="7">
        <v>5172874.443999999</v>
      </c>
      <c r="F206" s="8">
        <v>60556.25153846153</v>
      </c>
    </row>
    <row r="207" ht="14.25" customHeight="1">
      <c r="A207" s="9">
        <v>43954.0</v>
      </c>
      <c r="B207" s="10" t="s">
        <v>17</v>
      </c>
      <c r="C207" s="10">
        <v>29935.5</v>
      </c>
      <c r="D207" s="10">
        <v>2720002.5</v>
      </c>
      <c r="E207" s="10">
        <v>2102974.001</v>
      </c>
      <c r="F207" s="11">
        <v>175338.6411076923</v>
      </c>
    </row>
    <row r="208" ht="14.25" customHeight="1">
      <c r="A208" s="6">
        <v>43981.0</v>
      </c>
      <c r="B208" s="7" t="s">
        <v>16</v>
      </c>
      <c r="C208" s="7">
        <v>106926.0</v>
      </c>
      <c r="D208" s="7">
        <v>9098386.5</v>
      </c>
      <c r="E208" s="7">
        <v>7354572.011</v>
      </c>
      <c r="F208" s="8">
        <v>193869.5929230769</v>
      </c>
    </row>
    <row r="209" ht="14.25" customHeight="1">
      <c r="A209" s="9">
        <v>43957.0</v>
      </c>
      <c r="B209" s="10" t="s">
        <v>17</v>
      </c>
      <c r="C209" s="10">
        <v>30342.0</v>
      </c>
      <c r="D209" s="10">
        <v>2738127.0</v>
      </c>
      <c r="E209" s="10">
        <v>2094375.01</v>
      </c>
      <c r="F209" s="11">
        <v>174068.47879999998</v>
      </c>
    </row>
    <row r="210" ht="14.25" customHeight="1">
      <c r="A210" s="6">
        <v>43974.0</v>
      </c>
      <c r="B210" s="7" t="s">
        <v>17</v>
      </c>
      <c r="C210" s="7">
        <v>42999.0</v>
      </c>
      <c r="D210" s="7">
        <v>3883215.0</v>
      </c>
      <c r="E210" s="7">
        <v>3151914.3419999997</v>
      </c>
      <c r="F210" s="8">
        <v>162279.9956153846</v>
      </c>
    </row>
    <row r="211" ht="14.25" customHeight="1">
      <c r="A211" s="9">
        <v>43979.0</v>
      </c>
      <c r="B211" s="10" t="s">
        <v>16</v>
      </c>
      <c r="C211" s="10">
        <v>69945.0</v>
      </c>
      <c r="D211" s="10">
        <v>6101931.0</v>
      </c>
      <c r="E211" s="10">
        <v>4743581.977999999</v>
      </c>
      <c r="F211" s="11">
        <v>226018.5524384615</v>
      </c>
    </row>
    <row r="212" ht="14.25" customHeight="1">
      <c r="A212" s="6">
        <v>43976.0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ht="14.25" customHeight="1">
      <c r="A213" s="9">
        <v>43951.0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</v>
      </c>
    </row>
    <row r="214" ht="14.25" customHeight="1">
      <c r="A214" s="6">
        <v>43961.0</v>
      </c>
      <c r="B214" s="7" t="s">
        <v>17</v>
      </c>
      <c r="C214" s="7">
        <v>37489.5</v>
      </c>
      <c r="D214" s="7">
        <v>3549097.5</v>
      </c>
      <c r="E214" s="7">
        <v>2745646.948</v>
      </c>
      <c r="F214" s="8">
        <v>258287.05384615384</v>
      </c>
    </row>
    <row r="215" ht="14.25" customHeight="1">
      <c r="A215" s="9">
        <v>43959.0</v>
      </c>
      <c r="B215" s="10" t="s">
        <v>17</v>
      </c>
      <c r="C215" s="10">
        <v>34399.5</v>
      </c>
      <c r="D215" s="10">
        <v>3201358.5</v>
      </c>
      <c r="E215" s="10">
        <v>2481896.334</v>
      </c>
      <c r="F215" s="11">
        <v>156377.12456923077</v>
      </c>
    </row>
    <row r="216" ht="14.25" customHeight="1">
      <c r="A216" s="6">
        <v>43958.0</v>
      </c>
      <c r="B216" s="7" t="s">
        <v>17</v>
      </c>
      <c r="C216" s="7">
        <v>32851.5</v>
      </c>
      <c r="D216" s="7">
        <v>2934504.0</v>
      </c>
      <c r="E216" s="7">
        <v>2253872.138</v>
      </c>
      <c r="F216" s="8">
        <v>160756.50769230767</v>
      </c>
    </row>
    <row r="217" ht="14.25" customHeight="1">
      <c r="A217" s="9">
        <v>43975.0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ht="14.25" customHeight="1">
      <c r="A218" s="6">
        <v>43982.0</v>
      </c>
      <c r="B218" s="7" t="s">
        <v>17</v>
      </c>
      <c r="C218" s="7">
        <v>42423.0</v>
      </c>
      <c r="D218" s="7">
        <v>3994153.5</v>
      </c>
      <c r="E218" s="7">
        <v>3105853.9129999997</v>
      </c>
      <c r="F218" s="8">
        <v>53605.71215384615</v>
      </c>
    </row>
    <row r="219" ht="14.25" customHeight="1">
      <c r="A219" s="9">
        <v>43981.0</v>
      </c>
      <c r="B219" s="10" t="s">
        <v>17</v>
      </c>
      <c r="C219" s="10">
        <v>48286.5</v>
      </c>
      <c r="D219" s="10">
        <v>4456441.5</v>
      </c>
      <c r="E219" s="10">
        <v>3473157.545</v>
      </c>
      <c r="F219" s="11">
        <v>205639.55141538463</v>
      </c>
    </row>
    <row r="220" ht="14.25" customHeight="1">
      <c r="A220" s="6">
        <v>43979.0</v>
      </c>
      <c r="B220" s="7" t="s">
        <v>17</v>
      </c>
      <c r="C220" s="7">
        <v>41442.0</v>
      </c>
      <c r="D220" s="7">
        <v>3893680.5</v>
      </c>
      <c r="E220" s="7">
        <v>3004872.349</v>
      </c>
      <c r="F220" s="8">
        <v>190911.88401538462</v>
      </c>
    </row>
    <row r="221" ht="14.25" customHeight="1">
      <c r="A221" s="9">
        <v>43967.0</v>
      </c>
      <c r="B221" s="10" t="s">
        <v>18</v>
      </c>
      <c r="C221" s="10">
        <v>18600.0</v>
      </c>
      <c r="D221" s="10">
        <v>1601425.5</v>
      </c>
      <c r="E221" s="10">
        <v>1268422.666</v>
      </c>
      <c r="F221" s="11">
        <v>189642.93076923076</v>
      </c>
    </row>
    <row r="222" ht="14.25" customHeight="1">
      <c r="A222" s="6">
        <v>43970.0</v>
      </c>
      <c r="B222" s="7" t="s">
        <v>18</v>
      </c>
      <c r="C222" s="7">
        <v>16638.0</v>
      </c>
      <c r="D222" s="7">
        <v>1364847.0</v>
      </c>
      <c r="E222" s="7">
        <v>1137103.412</v>
      </c>
      <c r="F222" s="8">
        <v>258642.5153846154</v>
      </c>
    </row>
    <row r="223" ht="14.25" customHeight="1">
      <c r="A223" s="9">
        <v>43968.0</v>
      </c>
      <c r="B223" s="10" t="s">
        <v>18</v>
      </c>
      <c r="C223" s="10">
        <v>15609.0</v>
      </c>
      <c r="D223" s="10">
        <v>1377577.5</v>
      </c>
      <c r="E223" s="10">
        <v>1086345.0159999998</v>
      </c>
      <c r="F223" s="11">
        <v>224718.4076923077</v>
      </c>
    </row>
    <row r="224" ht="14.25" customHeight="1">
      <c r="A224" s="6">
        <v>43960.0</v>
      </c>
      <c r="B224" s="7" t="s">
        <v>18</v>
      </c>
      <c r="C224" s="7">
        <v>13948.5</v>
      </c>
      <c r="D224" s="7">
        <v>1222932.0</v>
      </c>
      <c r="E224" s="7">
        <v>974409.1449999999</v>
      </c>
      <c r="F224" s="8">
        <v>299208.26923076925</v>
      </c>
    </row>
    <row r="225" ht="14.25" customHeight="1">
      <c r="A225" s="9">
        <v>43955.0</v>
      </c>
      <c r="B225" s="10" t="s">
        <v>18</v>
      </c>
      <c r="C225" s="10">
        <v>12301.5</v>
      </c>
      <c r="D225" s="10">
        <v>1085211.0</v>
      </c>
      <c r="E225" s="10">
        <v>874153.345</v>
      </c>
      <c r="F225" s="11">
        <v>243709.4826923077</v>
      </c>
    </row>
    <row r="226" ht="14.25" customHeight="1">
      <c r="A226" s="6">
        <v>43950.0</v>
      </c>
      <c r="B226" s="7" t="s">
        <v>18</v>
      </c>
      <c r="C226" s="7">
        <v>13014.0</v>
      </c>
      <c r="D226" s="7">
        <v>1115992.5</v>
      </c>
      <c r="E226" s="7">
        <v>928035.2359999999</v>
      </c>
      <c r="F226" s="8">
        <v>185811.06153846154</v>
      </c>
    </row>
    <row r="227" ht="14.25" customHeight="1">
      <c r="A227" s="9">
        <v>43953.0</v>
      </c>
      <c r="B227" s="10" t="s">
        <v>18</v>
      </c>
      <c r="C227" s="10">
        <v>12313.5</v>
      </c>
      <c r="D227" s="10">
        <v>1053220.5</v>
      </c>
      <c r="E227" s="10">
        <v>843395.109</v>
      </c>
      <c r="F227" s="11">
        <v>137019.6769230769</v>
      </c>
    </row>
    <row r="228" ht="14.25" customHeight="1">
      <c r="A228" s="6">
        <v>43977.0</v>
      </c>
      <c r="B228" s="7" t="s">
        <v>18</v>
      </c>
      <c r="C228" s="7">
        <v>17391.0</v>
      </c>
      <c r="D228" s="7">
        <v>1489132.5</v>
      </c>
      <c r="E228" s="7">
        <v>1209901.0159999998</v>
      </c>
      <c r="F228" s="8">
        <v>272121.8153846154</v>
      </c>
    </row>
    <row r="229" ht="14.25" customHeight="1">
      <c r="A229" s="9">
        <v>43952.0</v>
      </c>
      <c r="B229" s="10" t="s">
        <v>18</v>
      </c>
      <c r="C229" s="10">
        <v>17113.5</v>
      </c>
      <c r="D229" s="10">
        <v>1465842.0</v>
      </c>
      <c r="E229" s="10">
        <v>1193019.642</v>
      </c>
      <c r="F229" s="11">
        <v>272484.6307692308</v>
      </c>
    </row>
    <row r="230" ht="14.25" customHeight="1">
      <c r="A230" s="6">
        <v>43963.0</v>
      </c>
      <c r="B230" s="7" t="s">
        <v>18</v>
      </c>
      <c r="C230" s="7">
        <v>12802.5</v>
      </c>
      <c r="D230" s="7">
        <v>1123830.0</v>
      </c>
      <c r="E230" s="7">
        <v>914932.571</v>
      </c>
      <c r="F230" s="8">
        <v>284287.79007692303</v>
      </c>
    </row>
    <row r="231" ht="14.25" customHeight="1">
      <c r="A231" s="9">
        <v>43972.0</v>
      </c>
      <c r="B231" s="10" t="s">
        <v>18</v>
      </c>
      <c r="C231" s="10">
        <v>16554.0</v>
      </c>
      <c r="D231" s="10">
        <v>1380751.5</v>
      </c>
      <c r="E231" s="10">
        <v>1137748.7319999998</v>
      </c>
      <c r="F231" s="11">
        <v>227139.51416923077</v>
      </c>
    </row>
    <row r="232" ht="14.25" customHeight="1">
      <c r="A232" s="6">
        <v>43971.0</v>
      </c>
      <c r="B232" s="7" t="s">
        <v>18</v>
      </c>
      <c r="C232" s="7">
        <v>17329.5</v>
      </c>
      <c r="D232" s="7">
        <v>1430254.5</v>
      </c>
      <c r="E232" s="7">
        <v>1175778.837</v>
      </c>
      <c r="F232" s="8">
        <v>286968.8769230769</v>
      </c>
    </row>
    <row r="233" ht="14.25" customHeight="1">
      <c r="A233" s="9">
        <v>43956.0</v>
      </c>
      <c r="B233" s="10" t="s">
        <v>18</v>
      </c>
      <c r="C233" s="10">
        <v>15987.0</v>
      </c>
      <c r="D233" s="10">
        <v>1384179.0</v>
      </c>
      <c r="E233" s="10">
        <v>1116620.792</v>
      </c>
      <c r="F233" s="11">
        <v>220298.15353846154</v>
      </c>
    </row>
    <row r="234" ht="14.25" customHeight="1">
      <c r="A234" s="6">
        <v>43949.0</v>
      </c>
      <c r="B234" s="7" t="s">
        <v>18</v>
      </c>
      <c r="C234" s="7">
        <v>13303.5</v>
      </c>
      <c r="D234" s="7">
        <v>1102887.0</v>
      </c>
      <c r="E234" s="7">
        <v>914116.792</v>
      </c>
      <c r="F234" s="8">
        <v>173095.92049999998</v>
      </c>
    </row>
    <row r="235" ht="14.25" customHeight="1">
      <c r="A235" s="9">
        <v>43964.0</v>
      </c>
      <c r="B235" s="10" t="s">
        <v>18</v>
      </c>
      <c r="C235" s="10">
        <v>14305.5</v>
      </c>
      <c r="D235" s="10">
        <v>1243507.5</v>
      </c>
      <c r="E235" s="10">
        <v>987216.7409999999</v>
      </c>
      <c r="F235" s="11">
        <v>233030.6</v>
      </c>
    </row>
    <row r="236" ht="14.25" customHeight="1">
      <c r="A236" s="6">
        <v>43954.0</v>
      </c>
      <c r="B236" s="7" t="s">
        <v>18</v>
      </c>
      <c r="C236" s="7">
        <v>12924.0</v>
      </c>
      <c r="D236" s="7">
        <v>1120009.5</v>
      </c>
      <c r="E236" s="7">
        <v>902752.717</v>
      </c>
      <c r="F236" s="8">
        <v>193184.6</v>
      </c>
    </row>
    <row r="237" ht="14.25" customHeight="1">
      <c r="A237" s="9">
        <v>43957.0</v>
      </c>
      <c r="B237" s="10" t="s">
        <v>18</v>
      </c>
      <c r="C237" s="10">
        <v>14061.0</v>
      </c>
      <c r="D237" s="10">
        <v>1221057.0</v>
      </c>
      <c r="E237" s="10">
        <v>983096.417</v>
      </c>
      <c r="F237" s="11">
        <v>373408.8334307692</v>
      </c>
    </row>
    <row r="238" ht="14.25" customHeight="1">
      <c r="A238" s="6">
        <v>43974.0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ht="14.25" customHeight="1">
      <c r="A239" s="9">
        <v>43976.0</v>
      </c>
      <c r="B239" s="10" t="s">
        <v>18</v>
      </c>
      <c r="C239" s="10">
        <v>17211.0</v>
      </c>
      <c r="D239" s="10">
        <v>1507867.5</v>
      </c>
      <c r="E239" s="10">
        <v>1217527.6069999998</v>
      </c>
      <c r="F239" s="11">
        <v>246242.8615384615</v>
      </c>
    </row>
    <row r="240" ht="14.25" customHeight="1">
      <c r="A240" s="6">
        <v>43951.0</v>
      </c>
      <c r="B240" s="7" t="s">
        <v>18</v>
      </c>
      <c r="C240" s="7">
        <v>12753.0</v>
      </c>
      <c r="D240" s="7">
        <v>1103068.5</v>
      </c>
      <c r="E240" s="7">
        <v>904501.456</v>
      </c>
      <c r="F240" s="8">
        <v>58978.55866923076</v>
      </c>
    </row>
    <row r="241" ht="14.25" customHeight="1">
      <c r="A241" s="9">
        <v>43961.0</v>
      </c>
      <c r="B241" s="10" t="s">
        <v>18</v>
      </c>
      <c r="C241" s="10">
        <v>16435.5</v>
      </c>
      <c r="D241" s="10">
        <v>1471537.5</v>
      </c>
      <c r="E241" s="10">
        <v>1176721.164</v>
      </c>
      <c r="F241" s="11">
        <v>252262.82307692306</v>
      </c>
    </row>
    <row r="242" ht="14.25" customHeight="1">
      <c r="A242" s="6">
        <v>43959.0</v>
      </c>
      <c r="B242" s="7" t="s">
        <v>18</v>
      </c>
      <c r="C242" s="7">
        <v>14494.5</v>
      </c>
      <c r="D242" s="7">
        <v>1269786.0</v>
      </c>
      <c r="E242" s="7">
        <v>1018857.6680000001</v>
      </c>
      <c r="F242" s="8">
        <v>197493.53076923077</v>
      </c>
    </row>
    <row r="243" ht="14.25" customHeight="1">
      <c r="A243" s="9">
        <v>43958.0</v>
      </c>
      <c r="B243" s="10" t="s">
        <v>18</v>
      </c>
      <c r="C243" s="10">
        <v>12705.0</v>
      </c>
      <c r="D243" s="10">
        <v>1123894.5</v>
      </c>
      <c r="E243" s="10">
        <v>898508.497</v>
      </c>
      <c r="F243" s="11">
        <v>273904.8153076923</v>
      </c>
    </row>
    <row r="244" ht="14.25" customHeight="1">
      <c r="A244" s="6">
        <v>43975.0</v>
      </c>
      <c r="B244" s="7" t="s">
        <v>18</v>
      </c>
      <c r="C244" s="7">
        <v>18075.0</v>
      </c>
      <c r="D244" s="7">
        <v>1548099.0</v>
      </c>
      <c r="E244" s="7">
        <v>1256993.4810000001</v>
      </c>
      <c r="F244" s="8">
        <v>213288.93846153846</v>
      </c>
    </row>
    <row r="245" ht="14.25" customHeight="1">
      <c r="A245" s="9">
        <v>43967.0</v>
      </c>
      <c r="B245" s="10" t="s">
        <v>19</v>
      </c>
      <c r="C245" s="10">
        <v>13120.5</v>
      </c>
      <c r="D245" s="10">
        <v>1215033.0</v>
      </c>
      <c r="E245" s="10">
        <v>985281.0359999998</v>
      </c>
      <c r="F245" s="11">
        <v>143418.86295384614</v>
      </c>
    </row>
    <row r="246" ht="14.25" customHeight="1">
      <c r="A246" s="6">
        <v>43970.0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ht="14.25" customHeight="1">
      <c r="A247" s="9">
        <v>43968.0</v>
      </c>
      <c r="B247" s="10" t="s">
        <v>19</v>
      </c>
      <c r="C247" s="10">
        <v>11967.0</v>
      </c>
      <c r="D247" s="10">
        <v>1060489.5</v>
      </c>
      <c r="E247" s="10">
        <v>851805.179</v>
      </c>
      <c r="F247" s="11">
        <v>171981.49101538458</v>
      </c>
    </row>
    <row r="248" ht="14.25" customHeight="1">
      <c r="A248" s="6">
        <v>43960.0</v>
      </c>
      <c r="B248" s="7" t="s">
        <v>19</v>
      </c>
      <c r="C248" s="7">
        <v>12037.5</v>
      </c>
      <c r="D248" s="7">
        <v>1081216.5</v>
      </c>
      <c r="E248" s="7">
        <v>910141.155</v>
      </c>
      <c r="F248" s="8">
        <v>143296.04318461538</v>
      </c>
    </row>
    <row r="249" ht="14.25" customHeight="1">
      <c r="A249" s="9">
        <v>43955.0</v>
      </c>
      <c r="B249" s="10" t="s">
        <v>19</v>
      </c>
      <c r="C249" s="10">
        <v>7087.5</v>
      </c>
      <c r="D249" s="10">
        <v>610855.5</v>
      </c>
      <c r="E249" s="10">
        <v>541946.128</v>
      </c>
      <c r="F249" s="11">
        <v>150795.5846153846</v>
      </c>
    </row>
    <row r="250" ht="14.25" customHeight="1">
      <c r="A250" s="6">
        <v>43950.0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ht="14.25" customHeight="1">
      <c r="A251" s="9">
        <v>43953.0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65936.34336923076</v>
      </c>
    </row>
    <row r="252" ht="14.25" customHeight="1">
      <c r="A252" s="6">
        <v>43977.0</v>
      </c>
      <c r="B252" s="7" t="s">
        <v>19</v>
      </c>
      <c r="C252" s="7">
        <v>12259.5</v>
      </c>
      <c r="D252" s="7">
        <v>1152054.0</v>
      </c>
      <c r="E252" s="7">
        <v>906579.6209999999</v>
      </c>
      <c r="F252" s="8">
        <v>217611.18753846153</v>
      </c>
    </row>
    <row r="253" ht="14.25" customHeight="1">
      <c r="A253" s="9">
        <v>43952.0</v>
      </c>
      <c r="B253" s="10" t="s">
        <v>19</v>
      </c>
      <c r="C253" s="10">
        <v>5446.5</v>
      </c>
      <c r="D253" s="10">
        <v>505572.0</v>
      </c>
      <c r="E253" s="10">
        <v>422390.908</v>
      </c>
      <c r="F253" s="11">
        <v>42729.218369230766</v>
      </c>
    </row>
    <row r="254" ht="14.25" customHeight="1">
      <c r="A254" s="6">
        <v>43963.0</v>
      </c>
      <c r="B254" s="7" t="s">
        <v>19</v>
      </c>
      <c r="C254" s="7">
        <v>11296.5</v>
      </c>
      <c r="D254" s="7">
        <v>989632.5</v>
      </c>
      <c r="E254" s="7">
        <v>829947.412</v>
      </c>
      <c r="F254" s="8">
        <v>196319.5046923077</v>
      </c>
    </row>
    <row r="255" ht="14.25" customHeight="1">
      <c r="A255" s="9">
        <v>43972.0</v>
      </c>
      <c r="B255" s="10" t="s">
        <v>19</v>
      </c>
      <c r="C255" s="10">
        <v>12135.0</v>
      </c>
      <c r="D255" s="10">
        <v>1103623.5</v>
      </c>
      <c r="E255" s="10">
        <v>899589.3060000001</v>
      </c>
      <c r="F255" s="11">
        <v>184440.53076923077</v>
      </c>
    </row>
    <row r="256" ht="14.25" customHeight="1">
      <c r="A256" s="6">
        <v>43971.0</v>
      </c>
      <c r="B256" s="7" t="s">
        <v>19</v>
      </c>
      <c r="C256" s="7">
        <v>12630.0</v>
      </c>
      <c r="D256" s="7">
        <v>1104858.0</v>
      </c>
      <c r="E256" s="7">
        <v>915994.1189999998</v>
      </c>
      <c r="F256" s="8">
        <v>161654.46923076923</v>
      </c>
    </row>
    <row r="257" ht="14.25" customHeight="1">
      <c r="A257" s="9">
        <v>43956.0</v>
      </c>
      <c r="B257" s="10" t="s">
        <v>19</v>
      </c>
      <c r="C257" s="10">
        <v>8223.0</v>
      </c>
      <c r="D257" s="10">
        <v>694593.0</v>
      </c>
      <c r="E257" s="10">
        <v>622755.0499999999</v>
      </c>
      <c r="F257" s="11">
        <v>172368.62218461538</v>
      </c>
    </row>
    <row r="258" ht="14.25" customHeight="1">
      <c r="A258" s="6">
        <v>43949.0</v>
      </c>
      <c r="B258" s="7" t="s">
        <v>20</v>
      </c>
      <c r="C258" s="7">
        <v>25149.0</v>
      </c>
      <c r="D258" s="7">
        <v>2277072.0</v>
      </c>
      <c r="E258" s="7">
        <v>1804070.1239999998</v>
      </c>
      <c r="F258" s="8">
        <v>125553.02143076922</v>
      </c>
    </row>
    <row r="259" ht="14.25" customHeight="1">
      <c r="A259" s="9">
        <v>43964.0</v>
      </c>
      <c r="B259" s="10" t="s">
        <v>19</v>
      </c>
      <c r="C259" s="10">
        <v>10401.0</v>
      </c>
      <c r="D259" s="10">
        <v>949912.5</v>
      </c>
      <c r="E259" s="10">
        <v>785961.289</v>
      </c>
      <c r="F259" s="11">
        <v>253438.94004615385</v>
      </c>
    </row>
    <row r="260" ht="14.25" customHeight="1">
      <c r="A260" s="6">
        <v>43982.0</v>
      </c>
      <c r="B260" s="7" t="s">
        <v>18</v>
      </c>
      <c r="C260" s="7">
        <v>17689.5</v>
      </c>
      <c r="D260" s="7">
        <v>1592119.5</v>
      </c>
      <c r="E260" s="7">
        <v>1279369.153</v>
      </c>
      <c r="F260" s="8">
        <v>119890.85384615383</v>
      </c>
    </row>
    <row r="261" ht="14.25" customHeight="1">
      <c r="A261" s="9">
        <v>43954.0</v>
      </c>
      <c r="B261" s="10" t="s">
        <v>19</v>
      </c>
      <c r="C261" s="10">
        <v>8127.0</v>
      </c>
      <c r="D261" s="10">
        <v>665302.5</v>
      </c>
      <c r="E261" s="10">
        <v>644221.494</v>
      </c>
      <c r="F261" s="11">
        <v>95245.72713846153</v>
      </c>
    </row>
    <row r="262" ht="14.25" customHeight="1">
      <c r="A262" s="6">
        <v>43981.0</v>
      </c>
      <c r="B262" s="7" t="s">
        <v>18</v>
      </c>
      <c r="C262" s="7">
        <v>27250.5</v>
      </c>
      <c r="D262" s="7">
        <v>2457252.0</v>
      </c>
      <c r="E262" s="7">
        <v>1983435.05</v>
      </c>
      <c r="F262" s="8">
        <v>175066.50692307693</v>
      </c>
    </row>
    <row r="263" ht="14.25" customHeight="1">
      <c r="A263" s="9">
        <v>43957.0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ht="14.25" customHeight="1">
      <c r="A264" s="6">
        <v>43974.0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269233.3443692308</v>
      </c>
    </row>
    <row r="265" ht="14.25" customHeight="1">
      <c r="A265" s="9">
        <v>43979.0</v>
      </c>
      <c r="B265" s="10" t="s">
        <v>18</v>
      </c>
      <c r="C265" s="10">
        <v>16500.0</v>
      </c>
      <c r="D265" s="10">
        <v>1487928.0</v>
      </c>
      <c r="E265" s="10">
        <v>1187884.8939999999</v>
      </c>
      <c r="F265" s="11">
        <v>279400.0153846154</v>
      </c>
    </row>
    <row r="266" ht="14.25" customHeight="1">
      <c r="A266" s="6">
        <v>43976.0</v>
      </c>
      <c r="B266" s="7" t="s">
        <v>19</v>
      </c>
      <c r="C266" s="7">
        <v>13260.0</v>
      </c>
      <c r="D266" s="7">
        <v>1230687.0</v>
      </c>
      <c r="E266" s="7">
        <v>985675.487</v>
      </c>
      <c r="F266" s="8">
        <v>224353.45695384615</v>
      </c>
    </row>
    <row r="267" ht="14.25" customHeight="1">
      <c r="A267" s="9">
        <v>43951.0</v>
      </c>
      <c r="B267" s="10" t="s">
        <v>19</v>
      </c>
      <c r="C267" s="10">
        <v>4285.5</v>
      </c>
      <c r="D267" s="10">
        <v>404691.0</v>
      </c>
      <c r="E267" s="10">
        <v>333054.548</v>
      </c>
      <c r="F267" s="11">
        <v>11494.63076923077</v>
      </c>
    </row>
    <row r="268" ht="14.25" customHeight="1">
      <c r="A268" s="6">
        <v>43961.0</v>
      </c>
      <c r="B268" s="7" t="s">
        <v>19</v>
      </c>
      <c r="C268" s="7">
        <v>13440.0</v>
      </c>
      <c r="D268" s="7">
        <v>1198285.5</v>
      </c>
      <c r="E268" s="7">
        <v>1018063.802</v>
      </c>
      <c r="F268" s="8">
        <v>178012.59307692308</v>
      </c>
    </row>
    <row r="269" ht="14.25" customHeight="1">
      <c r="A269" s="9">
        <v>43959.0</v>
      </c>
      <c r="B269" s="10" t="s">
        <v>19</v>
      </c>
      <c r="C269" s="10">
        <v>9058.5</v>
      </c>
      <c r="D269" s="10">
        <v>798759.0</v>
      </c>
      <c r="E269" s="10">
        <v>669115.9369999999</v>
      </c>
      <c r="F269" s="11">
        <v>171987.47030000002</v>
      </c>
    </row>
    <row r="270" ht="14.25" customHeight="1">
      <c r="A270" s="6">
        <v>43958.0</v>
      </c>
      <c r="B270" s="7" t="s">
        <v>19</v>
      </c>
      <c r="C270" s="7">
        <v>8719.5</v>
      </c>
      <c r="D270" s="7">
        <v>769276.5</v>
      </c>
      <c r="E270" s="7">
        <v>654599.977</v>
      </c>
      <c r="F270" s="8">
        <v>184385.1884923077</v>
      </c>
    </row>
    <row r="271" ht="14.25" customHeight="1">
      <c r="A271" s="9">
        <v>43975.0</v>
      </c>
      <c r="B271" s="10" t="s">
        <v>19</v>
      </c>
      <c r="C271" s="10">
        <v>12666.0</v>
      </c>
      <c r="D271" s="10">
        <v>1184865.0</v>
      </c>
      <c r="E271" s="10">
        <v>953822.6209999999</v>
      </c>
      <c r="F271" s="11">
        <v>340158.78723076923</v>
      </c>
    </row>
    <row r="272" ht="14.25" customHeight="1">
      <c r="A272" s="6">
        <v>43967.0</v>
      </c>
      <c r="B272" s="7" t="s">
        <v>20</v>
      </c>
      <c r="C272" s="7">
        <v>34563.0</v>
      </c>
      <c r="D272" s="7">
        <v>2922883.5</v>
      </c>
      <c r="E272" s="7">
        <v>2340316.3049999997</v>
      </c>
      <c r="F272" s="8">
        <v>109812.45384615385</v>
      </c>
    </row>
    <row r="273" ht="14.25" customHeight="1">
      <c r="A273" s="9">
        <v>43970.0</v>
      </c>
      <c r="B273" s="10" t="s">
        <v>20</v>
      </c>
      <c r="C273" s="10">
        <v>28882.5</v>
      </c>
      <c r="D273" s="10">
        <v>2446530.0</v>
      </c>
      <c r="E273" s="10">
        <v>1956748.2629999998</v>
      </c>
      <c r="F273" s="11">
        <v>108543.03143076923</v>
      </c>
    </row>
    <row r="274" ht="14.25" customHeight="1">
      <c r="A274" s="6">
        <v>43968.0</v>
      </c>
      <c r="B274" s="7" t="s">
        <v>20</v>
      </c>
      <c r="C274" s="7">
        <v>28275.0</v>
      </c>
      <c r="D274" s="7">
        <v>2435632.5</v>
      </c>
      <c r="E274" s="7">
        <v>1954139.7149999999</v>
      </c>
      <c r="F274" s="8">
        <v>79541.98461538462</v>
      </c>
    </row>
    <row r="275" ht="14.25" customHeight="1">
      <c r="A275" s="9">
        <v>43960.0</v>
      </c>
      <c r="B275" s="10" t="s">
        <v>20</v>
      </c>
      <c r="C275" s="10">
        <v>26271.0</v>
      </c>
      <c r="D275" s="10">
        <v>2384937.0</v>
      </c>
      <c r="E275" s="10">
        <v>1880070.5110000002</v>
      </c>
      <c r="F275" s="11">
        <v>141472.14615384614</v>
      </c>
    </row>
    <row r="276" ht="14.25" customHeight="1">
      <c r="A276" s="6">
        <v>43955.0</v>
      </c>
      <c r="B276" s="7" t="s">
        <v>20</v>
      </c>
      <c r="C276" s="7">
        <v>23587.5</v>
      </c>
      <c r="D276" s="7">
        <v>2155668.0</v>
      </c>
      <c r="E276" s="7">
        <v>1685753.184</v>
      </c>
      <c r="F276" s="8">
        <v>135489.1581153846</v>
      </c>
    </row>
    <row r="277" ht="14.25" customHeight="1">
      <c r="A277" s="9">
        <v>43953.0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ht="14.25" customHeight="1">
      <c r="A278" s="6">
        <v>43977.0</v>
      </c>
      <c r="B278" s="7" t="s">
        <v>20</v>
      </c>
      <c r="C278" s="7">
        <v>27156.0</v>
      </c>
      <c r="D278" s="7">
        <v>2410803.0</v>
      </c>
      <c r="E278" s="7">
        <v>1897998.252</v>
      </c>
      <c r="F278" s="8">
        <v>96303.4</v>
      </c>
    </row>
    <row r="279" ht="14.25" customHeight="1">
      <c r="A279" s="9">
        <v>43952.0</v>
      </c>
      <c r="B279" s="10" t="s">
        <v>20</v>
      </c>
      <c r="C279" s="10">
        <v>35190.0</v>
      </c>
      <c r="D279" s="10">
        <v>3168510.0</v>
      </c>
      <c r="E279" s="10">
        <v>2533138.72</v>
      </c>
      <c r="F279" s="11">
        <v>102615.49999999999</v>
      </c>
    </row>
    <row r="280" ht="14.25" customHeight="1">
      <c r="A280" s="6">
        <v>43963.0</v>
      </c>
      <c r="B280" s="7" t="s">
        <v>20</v>
      </c>
      <c r="C280" s="7">
        <v>25483.5</v>
      </c>
      <c r="D280" s="7">
        <v>2243160.0</v>
      </c>
      <c r="E280" s="7">
        <v>1757185.7729999998</v>
      </c>
      <c r="F280" s="8">
        <v>114933.5923076923</v>
      </c>
    </row>
    <row r="281" ht="14.25" customHeight="1">
      <c r="A281" s="9">
        <v>43972.0</v>
      </c>
      <c r="B281" s="10" t="s">
        <v>20</v>
      </c>
      <c r="C281" s="10">
        <v>25362.0</v>
      </c>
      <c r="D281" s="10">
        <v>2198935.5</v>
      </c>
      <c r="E281" s="10">
        <v>1755958.305</v>
      </c>
      <c r="F281" s="11">
        <v>102833.37792307691</v>
      </c>
    </row>
    <row r="282" ht="14.25" customHeight="1">
      <c r="A282" s="6">
        <v>43971.0</v>
      </c>
      <c r="B282" s="7" t="s">
        <v>20</v>
      </c>
      <c r="C282" s="7">
        <v>28849.5</v>
      </c>
      <c r="D282" s="7">
        <v>2520759.0</v>
      </c>
      <c r="E282" s="7">
        <v>2010739.0729999999</v>
      </c>
      <c r="F282" s="8">
        <v>106300.0107076923</v>
      </c>
    </row>
    <row r="283" ht="14.25" customHeight="1">
      <c r="A283" s="9">
        <v>43956.0</v>
      </c>
      <c r="B283" s="10" t="s">
        <v>20</v>
      </c>
      <c r="C283" s="10">
        <v>26367.0</v>
      </c>
      <c r="D283" s="10">
        <v>2380333.5</v>
      </c>
      <c r="E283" s="10">
        <v>1873451.2719999999</v>
      </c>
      <c r="F283" s="11">
        <v>149632.4937</v>
      </c>
    </row>
    <row r="284" ht="14.25" customHeight="1">
      <c r="A284" s="6">
        <v>43964.0</v>
      </c>
      <c r="B284" s="7" t="s">
        <v>20</v>
      </c>
      <c r="C284" s="7">
        <v>25539.0</v>
      </c>
      <c r="D284" s="7">
        <v>2263651.5</v>
      </c>
      <c r="E284" s="7">
        <v>1783039.3049999997</v>
      </c>
      <c r="F284" s="8">
        <v>139331.3192923077</v>
      </c>
    </row>
    <row r="285" ht="14.25" customHeight="1">
      <c r="A285" s="9">
        <v>43982.0</v>
      </c>
      <c r="B285" s="10" t="s">
        <v>19</v>
      </c>
      <c r="C285" s="10">
        <v>14808.0</v>
      </c>
      <c r="D285" s="10">
        <v>1336789.5</v>
      </c>
      <c r="E285" s="10">
        <v>1084824.9949999999</v>
      </c>
      <c r="F285" s="11">
        <v>167974.06755384614</v>
      </c>
    </row>
    <row r="286" ht="14.25" customHeight="1">
      <c r="A286" s="6">
        <v>43954.0</v>
      </c>
      <c r="B286" s="7" t="s">
        <v>20</v>
      </c>
      <c r="C286" s="7">
        <v>21343.5</v>
      </c>
      <c r="D286" s="7">
        <v>1906557.0</v>
      </c>
      <c r="E286" s="7">
        <v>1485927.8739999998</v>
      </c>
      <c r="F286" s="8">
        <v>100092.68052307691</v>
      </c>
    </row>
    <row r="287" ht="14.25" customHeight="1">
      <c r="A287" s="9">
        <v>43981.0</v>
      </c>
      <c r="B287" s="10" t="s">
        <v>19</v>
      </c>
      <c r="C287" s="10">
        <v>17946.0</v>
      </c>
      <c r="D287" s="10">
        <v>1609090.5</v>
      </c>
      <c r="E287" s="10">
        <v>1298844.2</v>
      </c>
      <c r="F287" s="11">
        <v>137945.5276</v>
      </c>
    </row>
    <row r="288" ht="14.25" customHeight="1">
      <c r="A288" s="6">
        <v>43957.0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ht="14.25" customHeight="1">
      <c r="A289" s="9">
        <v>43974.0</v>
      </c>
      <c r="B289" s="10" t="s">
        <v>20</v>
      </c>
      <c r="C289" s="10">
        <v>36997.5</v>
      </c>
      <c r="D289" s="10">
        <v>3089140.5</v>
      </c>
      <c r="E289" s="10">
        <v>2533823.174</v>
      </c>
      <c r="F289" s="11">
        <v>109891.53846153845</v>
      </c>
    </row>
    <row r="290" ht="14.25" customHeight="1">
      <c r="A290" s="6">
        <v>43979.0</v>
      </c>
      <c r="B290" s="7" t="s">
        <v>19</v>
      </c>
      <c r="C290" s="7">
        <v>13864.5</v>
      </c>
      <c r="D290" s="7">
        <v>1239747.0</v>
      </c>
      <c r="E290" s="7">
        <v>995597.5199999999</v>
      </c>
      <c r="F290" s="8">
        <v>216733.44615384613</v>
      </c>
    </row>
    <row r="291" ht="14.25" customHeight="1">
      <c r="A291" s="9">
        <v>43976.0</v>
      </c>
      <c r="B291" s="10" t="s">
        <v>20</v>
      </c>
      <c r="C291" s="10">
        <v>28494.0</v>
      </c>
      <c r="D291" s="10">
        <v>2512803.0</v>
      </c>
      <c r="E291" s="10">
        <v>1972327.267</v>
      </c>
      <c r="F291" s="11">
        <v>174025.3846153846</v>
      </c>
    </row>
    <row r="292" ht="14.25" customHeight="1">
      <c r="A292" s="6">
        <v>43951.0</v>
      </c>
      <c r="B292" s="7" t="s">
        <v>20</v>
      </c>
      <c r="C292" s="7">
        <v>27883.5</v>
      </c>
      <c r="D292" s="7">
        <v>2560080.0</v>
      </c>
      <c r="E292" s="7">
        <v>2016381.645</v>
      </c>
      <c r="F292" s="8">
        <v>41912.70769230769</v>
      </c>
    </row>
    <row r="293" ht="14.25" customHeight="1">
      <c r="A293" s="9">
        <v>43961.0</v>
      </c>
      <c r="B293" s="10" t="s">
        <v>20</v>
      </c>
      <c r="C293" s="10">
        <v>31224.0</v>
      </c>
      <c r="D293" s="10">
        <v>2767270.5</v>
      </c>
      <c r="E293" s="10">
        <v>2174380.5969999996</v>
      </c>
      <c r="F293" s="11">
        <v>80170.9809076923</v>
      </c>
    </row>
    <row r="294" ht="14.25" customHeight="1">
      <c r="A294" s="6">
        <v>43959.0</v>
      </c>
      <c r="B294" s="7" t="s">
        <v>20</v>
      </c>
      <c r="C294" s="7">
        <v>25020.0</v>
      </c>
      <c r="D294" s="7">
        <v>2235960.0</v>
      </c>
      <c r="E294" s="7">
        <v>1780335.608</v>
      </c>
      <c r="F294" s="8">
        <v>140320.89928461539</v>
      </c>
    </row>
    <row r="295" ht="14.25" customHeight="1">
      <c r="A295" s="9">
        <v>43958.0</v>
      </c>
      <c r="B295" s="10" t="s">
        <v>20</v>
      </c>
      <c r="C295" s="10">
        <v>26184.0</v>
      </c>
      <c r="D295" s="10">
        <v>2308336.5</v>
      </c>
      <c r="E295" s="10">
        <v>1837113.1940000001</v>
      </c>
      <c r="F295" s="11">
        <v>115064.43612307693</v>
      </c>
    </row>
    <row r="296" ht="14.25" customHeight="1">
      <c r="A296" s="6">
        <v>43975.0</v>
      </c>
      <c r="B296" s="7" t="s">
        <v>20</v>
      </c>
      <c r="C296" s="7">
        <v>29824.5</v>
      </c>
      <c r="D296" s="7">
        <v>2526909.0</v>
      </c>
      <c r="E296" s="7">
        <v>2092407.26</v>
      </c>
      <c r="F296" s="8">
        <v>62346.41538461538</v>
      </c>
    </row>
    <row r="297" ht="14.25" customHeight="1">
      <c r="A297" s="9">
        <v>43950.0</v>
      </c>
      <c r="B297" s="10" t="s">
        <v>21</v>
      </c>
      <c r="C297" s="10">
        <v>208351.5</v>
      </c>
      <c r="D297" s="10">
        <v>2.1615333E7</v>
      </c>
      <c r="E297" s="10">
        <v>1.5729720814999998E7</v>
      </c>
      <c r="F297" s="11">
        <v>273156.72</v>
      </c>
    </row>
    <row r="298" ht="14.25" customHeight="1">
      <c r="A298" s="6">
        <v>43949.0</v>
      </c>
      <c r="B298" s="7" t="s">
        <v>21</v>
      </c>
      <c r="C298" s="7">
        <v>204637.5</v>
      </c>
      <c r="D298" s="7">
        <v>2.11148985E7</v>
      </c>
      <c r="E298" s="7">
        <v>1.5426373359E7</v>
      </c>
      <c r="F298" s="8">
        <v>255889.23846153845</v>
      </c>
    </row>
    <row r="299" ht="14.25" customHeight="1">
      <c r="A299" s="9">
        <v>43982.0</v>
      </c>
      <c r="B299" s="10" t="s">
        <v>20</v>
      </c>
      <c r="C299" s="10">
        <v>31372.5</v>
      </c>
      <c r="D299" s="10">
        <v>2794324.5</v>
      </c>
      <c r="E299" s="10">
        <v>2251714.549</v>
      </c>
      <c r="F299" s="11">
        <v>37852.04366923077</v>
      </c>
    </row>
    <row r="300" ht="14.25" customHeight="1">
      <c r="A300" s="6">
        <v>43981.0</v>
      </c>
      <c r="B300" s="7" t="s">
        <v>20</v>
      </c>
      <c r="C300" s="7">
        <v>34681.5</v>
      </c>
      <c r="D300" s="7">
        <v>3005334.0</v>
      </c>
      <c r="E300" s="7">
        <v>2408136.819</v>
      </c>
      <c r="F300" s="8">
        <v>113231.09230769232</v>
      </c>
    </row>
    <row r="301" ht="14.25" customHeight="1">
      <c r="A301" s="9">
        <v>43979.0</v>
      </c>
      <c r="B301" s="10" t="s">
        <v>20</v>
      </c>
      <c r="C301" s="10">
        <v>28197.0</v>
      </c>
      <c r="D301" s="10">
        <v>2559211.5</v>
      </c>
      <c r="E301" s="10">
        <v>2038847.009</v>
      </c>
      <c r="F301" s="11">
        <v>74270.53076923077</v>
      </c>
    </row>
    <row r="302" ht="14.25" customHeight="1">
      <c r="A302" s="6">
        <v>43967.0</v>
      </c>
      <c r="B302" s="7" t="s">
        <v>21</v>
      </c>
      <c r="C302" s="7">
        <v>236551.5</v>
      </c>
      <c r="D302" s="7">
        <v>2.3689383E7</v>
      </c>
      <c r="E302" s="7">
        <v>1.7329462176E7</v>
      </c>
      <c r="F302" s="8">
        <v>258177.63846153844</v>
      </c>
    </row>
    <row r="303" ht="14.25" customHeight="1">
      <c r="A303" s="9">
        <v>43970.0</v>
      </c>
      <c r="B303" s="10" t="s">
        <v>21</v>
      </c>
      <c r="C303" s="10">
        <v>223597.5</v>
      </c>
      <c r="D303" s="10">
        <v>2.1945858E7</v>
      </c>
      <c r="E303" s="10">
        <v>1.5975681728E7</v>
      </c>
      <c r="F303" s="11">
        <v>296759.42307692306</v>
      </c>
    </row>
    <row r="304" ht="14.25" customHeight="1">
      <c r="A304" s="6">
        <v>43968.0</v>
      </c>
      <c r="B304" s="7" t="s">
        <v>21</v>
      </c>
      <c r="C304" s="7">
        <v>193363.5</v>
      </c>
      <c r="D304" s="7">
        <v>1.9546386E7</v>
      </c>
      <c r="E304" s="7">
        <v>1.4278298844E7</v>
      </c>
      <c r="F304" s="8">
        <v>264289.06153846154</v>
      </c>
    </row>
    <row r="305" ht="14.25" customHeight="1">
      <c r="A305" s="9">
        <v>43960.0</v>
      </c>
      <c r="B305" s="10" t="s">
        <v>21</v>
      </c>
      <c r="C305" s="10">
        <v>188319.0</v>
      </c>
      <c r="D305" s="10">
        <v>1.92186315E7</v>
      </c>
      <c r="E305" s="10">
        <v>1.3973128512E7</v>
      </c>
      <c r="F305" s="11">
        <v>403874.8839461538</v>
      </c>
    </row>
    <row r="306" ht="14.25" customHeight="1">
      <c r="A306" s="6">
        <v>43955.0</v>
      </c>
      <c r="B306" s="7" t="s">
        <v>21</v>
      </c>
      <c r="C306" s="7">
        <v>237544.5</v>
      </c>
      <c r="D306" s="7">
        <v>2.4292218E7</v>
      </c>
      <c r="E306" s="7">
        <v>1.7650186029E7</v>
      </c>
      <c r="F306" s="8">
        <v>347608.6384615384</v>
      </c>
    </row>
    <row r="307" ht="14.25" customHeight="1">
      <c r="A307" s="9">
        <v>43950.0</v>
      </c>
      <c r="B307" s="10" t="s">
        <v>22</v>
      </c>
      <c r="C307" s="10">
        <v>203209.5</v>
      </c>
      <c r="D307" s="10">
        <v>2.08713915E7</v>
      </c>
      <c r="E307" s="10">
        <v>1.5206983089E7</v>
      </c>
      <c r="F307" s="11">
        <v>284467.6615384616</v>
      </c>
    </row>
    <row r="308" ht="14.25" customHeight="1">
      <c r="A308" s="6">
        <v>43953.0</v>
      </c>
      <c r="B308" s="7" t="s">
        <v>21</v>
      </c>
      <c r="C308" s="7">
        <v>185979.0</v>
      </c>
      <c r="D308" s="7">
        <v>1.9625364E7</v>
      </c>
      <c r="E308" s="7">
        <v>1.4386025838000001E7</v>
      </c>
      <c r="F308" s="8">
        <v>361439.69230769225</v>
      </c>
    </row>
    <row r="309" ht="14.25" customHeight="1">
      <c r="A309" s="9">
        <v>43977.0</v>
      </c>
      <c r="B309" s="10" t="s">
        <v>21</v>
      </c>
      <c r="C309" s="10">
        <v>244905.0</v>
      </c>
      <c r="D309" s="10">
        <v>2.51634315E7</v>
      </c>
      <c r="E309" s="10">
        <v>1.8210825697E7</v>
      </c>
      <c r="F309" s="11">
        <v>272401.2</v>
      </c>
    </row>
    <row r="310" ht="14.25" customHeight="1">
      <c r="A310" s="6">
        <v>43952.0</v>
      </c>
      <c r="B310" s="7" t="s">
        <v>21</v>
      </c>
      <c r="C310" s="7">
        <v>239409.0</v>
      </c>
      <c r="D310" s="7">
        <v>2.5413351E7</v>
      </c>
      <c r="E310" s="7">
        <v>1.8463277771E7</v>
      </c>
      <c r="F310" s="8">
        <v>369443.39999999997</v>
      </c>
    </row>
    <row r="311" ht="14.25" customHeight="1">
      <c r="A311" s="9">
        <v>43963.0</v>
      </c>
      <c r="B311" s="10" t="s">
        <v>21</v>
      </c>
      <c r="C311" s="10">
        <v>192886.5</v>
      </c>
      <c r="D311" s="10">
        <v>1.92051795E7</v>
      </c>
      <c r="E311" s="10">
        <v>1.3834210462E7</v>
      </c>
      <c r="F311" s="11">
        <v>383344.65076923074</v>
      </c>
    </row>
    <row r="312" ht="14.25" customHeight="1">
      <c r="A312" s="6">
        <v>43972.0</v>
      </c>
      <c r="B312" s="7" t="s">
        <v>21</v>
      </c>
      <c r="C312" s="7">
        <v>224233.5</v>
      </c>
      <c r="D312" s="7">
        <v>2.2253295E7</v>
      </c>
      <c r="E312" s="7">
        <v>1.6496134314E7</v>
      </c>
      <c r="F312" s="8">
        <v>334550.50769230764</v>
      </c>
    </row>
    <row r="313" ht="14.25" customHeight="1">
      <c r="A313" s="9">
        <v>43971.0</v>
      </c>
      <c r="B313" s="10" t="s">
        <v>21</v>
      </c>
      <c r="C313" s="10">
        <v>219622.5</v>
      </c>
      <c r="D313" s="10">
        <v>2.1959286E7</v>
      </c>
      <c r="E313" s="10">
        <v>1.5958453928E7</v>
      </c>
      <c r="F313" s="11">
        <v>417117.17692307686</v>
      </c>
    </row>
    <row r="314" ht="14.25" customHeight="1">
      <c r="A314" s="6">
        <v>43956.0</v>
      </c>
      <c r="B314" s="7" t="s">
        <v>21</v>
      </c>
      <c r="C314" s="7">
        <v>213582.0</v>
      </c>
      <c r="D314" s="7">
        <v>2.19194355E7</v>
      </c>
      <c r="E314" s="7">
        <v>1.5790923194999998E7</v>
      </c>
      <c r="F314" s="8">
        <v>365011.0806153846</v>
      </c>
    </row>
    <row r="315" ht="14.25" customHeight="1">
      <c r="A315" s="9">
        <v>43949.0</v>
      </c>
      <c r="B315" s="10" t="s">
        <v>22</v>
      </c>
      <c r="C315" s="10">
        <v>195705.0</v>
      </c>
      <c r="D315" s="10">
        <v>2.00032635E7</v>
      </c>
      <c r="E315" s="10">
        <v>1.4633542982E7</v>
      </c>
      <c r="F315" s="11">
        <v>268185.43076923076</v>
      </c>
    </row>
    <row r="316" ht="14.25" customHeight="1">
      <c r="A316" s="6">
        <v>43964.0</v>
      </c>
      <c r="B316" s="7" t="s">
        <v>21</v>
      </c>
      <c r="C316" s="7">
        <v>193722.0</v>
      </c>
      <c r="D316" s="7">
        <v>1.9437273E7</v>
      </c>
      <c r="E316" s="7">
        <v>1.3979092230999999E7</v>
      </c>
      <c r="F316" s="8">
        <v>418713.96153846156</v>
      </c>
    </row>
    <row r="317" ht="14.25" customHeight="1">
      <c r="A317" s="9">
        <v>43954.0</v>
      </c>
      <c r="B317" s="10" t="s">
        <v>21</v>
      </c>
      <c r="C317" s="10">
        <v>257215.5</v>
      </c>
      <c r="D317" s="10">
        <v>2.64922785E7</v>
      </c>
      <c r="E317" s="10">
        <v>1.9179229932E7</v>
      </c>
      <c r="F317" s="11">
        <v>254778.07384615383</v>
      </c>
    </row>
    <row r="318" ht="14.25" customHeight="1">
      <c r="A318" s="6">
        <v>43957.0</v>
      </c>
      <c r="B318" s="7" t="s">
        <v>21</v>
      </c>
      <c r="C318" s="7">
        <v>224779.5</v>
      </c>
      <c r="D318" s="7">
        <v>2.3032992E7</v>
      </c>
      <c r="E318" s="7">
        <v>1.6792969817999996E7</v>
      </c>
      <c r="F318" s="8">
        <v>443086.2530307692</v>
      </c>
    </row>
    <row r="319" ht="14.25" customHeight="1">
      <c r="A319" s="9">
        <v>43974.0</v>
      </c>
      <c r="B319" s="10" t="s">
        <v>21</v>
      </c>
      <c r="C319" s="10">
        <v>292018.5</v>
      </c>
      <c r="D319" s="10">
        <v>2.85909105E7</v>
      </c>
      <c r="E319" s="10">
        <v>2.1740920338999998E7</v>
      </c>
      <c r="F319" s="11">
        <v>206427.73076923075</v>
      </c>
    </row>
    <row r="320" ht="14.25" customHeight="1">
      <c r="A320" s="6">
        <v>43976.0</v>
      </c>
      <c r="B320" s="7" t="s">
        <v>21</v>
      </c>
      <c r="C320" s="7">
        <v>198751.5</v>
      </c>
      <c r="D320" s="7">
        <v>2.05827435E7</v>
      </c>
      <c r="E320" s="7">
        <v>1.4894008652E7</v>
      </c>
      <c r="F320" s="8">
        <v>316452.6615384616</v>
      </c>
    </row>
    <row r="321" ht="14.25" customHeight="1">
      <c r="A321" s="9">
        <v>43951.0</v>
      </c>
      <c r="B321" s="10" t="s">
        <v>21</v>
      </c>
      <c r="C321" s="10">
        <v>214386.0</v>
      </c>
      <c r="D321" s="10">
        <v>2.253E7</v>
      </c>
      <c r="E321" s="10">
        <v>1.6370527077E7</v>
      </c>
      <c r="F321" s="11">
        <v>115618.05384615384</v>
      </c>
    </row>
    <row r="322" ht="14.25" customHeight="1">
      <c r="A322" s="6">
        <v>43961.0</v>
      </c>
      <c r="B322" s="7" t="s">
        <v>21</v>
      </c>
      <c r="C322" s="7">
        <v>243825.0</v>
      </c>
      <c r="D322" s="7">
        <v>2.48904045E7</v>
      </c>
      <c r="E322" s="7">
        <v>1.8159589108E7</v>
      </c>
      <c r="F322" s="8">
        <v>258558.49999999997</v>
      </c>
    </row>
    <row r="323" ht="14.25" customHeight="1">
      <c r="A323" s="9">
        <v>43959.0</v>
      </c>
      <c r="B323" s="10" t="s">
        <v>21</v>
      </c>
      <c r="C323" s="10">
        <v>232701.0</v>
      </c>
      <c r="D323" s="10">
        <v>2.38819485E7</v>
      </c>
      <c r="E323" s="10">
        <v>1.7462223404E7</v>
      </c>
      <c r="F323" s="11">
        <v>512464.9846153846</v>
      </c>
    </row>
    <row r="324" ht="14.25" customHeight="1">
      <c r="A324" s="6">
        <v>43958.0</v>
      </c>
      <c r="B324" s="7" t="s">
        <v>21</v>
      </c>
      <c r="C324" s="7">
        <v>219411.0</v>
      </c>
      <c r="D324" s="7">
        <v>2.246013E7</v>
      </c>
      <c r="E324" s="7">
        <v>1.6627687641E7</v>
      </c>
      <c r="F324" s="8">
        <v>518998.75384615385</v>
      </c>
    </row>
    <row r="325" ht="14.25" customHeight="1">
      <c r="A325" s="9">
        <v>43975.0</v>
      </c>
      <c r="B325" s="10" t="s">
        <v>21</v>
      </c>
      <c r="C325" s="10">
        <v>200029.5</v>
      </c>
      <c r="D325" s="10">
        <v>1.9959801E7</v>
      </c>
      <c r="E325" s="10">
        <v>1.5125624641999999E7</v>
      </c>
      <c r="F325" s="11">
        <v>318671.8546538461</v>
      </c>
    </row>
    <row r="326" ht="14.25" customHeight="1">
      <c r="A326" s="6">
        <v>43967.0</v>
      </c>
      <c r="B326" s="7" t="s">
        <v>22</v>
      </c>
      <c r="C326" s="7">
        <v>225480.0</v>
      </c>
      <c r="D326" s="7">
        <v>2.23553385E7</v>
      </c>
      <c r="E326" s="7">
        <v>1.6443448491999999E7</v>
      </c>
      <c r="F326" s="8">
        <v>291468.6</v>
      </c>
    </row>
    <row r="327" ht="14.25" customHeight="1">
      <c r="A327" s="9">
        <v>43970.0</v>
      </c>
      <c r="B327" s="10" t="s">
        <v>22</v>
      </c>
      <c r="C327" s="10">
        <v>211453.5</v>
      </c>
      <c r="D327" s="10">
        <v>2.05900725E7</v>
      </c>
      <c r="E327" s="10">
        <v>1.5078027685E7</v>
      </c>
      <c r="F327" s="11">
        <v>293452.2923769231</v>
      </c>
    </row>
    <row r="328" ht="14.25" customHeight="1">
      <c r="A328" s="6">
        <v>43968.0</v>
      </c>
      <c r="B328" s="7" t="s">
        <v>22</v>
      </c>
      <c r="C328" s="7">
        <v>184801.5</v>
      </c>
      <c r="D328" s="7">
        <v>1.8449091E7</v>
      </c>
      <c r="E328" s="7">
        <v>1.3533023127999999E7</v>
      </c>
      <c r="F328" s="8">
        <v>246229.69714615386</v>
      </c>
    </row>
    <row r="329" ht="14.25" customHeight="1">
      <c r="A329" s="9">
        <v>43960.0</v>
      </c>
      <c r="B329" s="10" t="s">
        <v>22</v>
      </c>
      <c r="C329" s="10">
        <v>177976.5</v>
      </c>
      <c r="D329" s="10">
        <v>1.80857985E7</v>
      </c>
      <c r="E329" s="10">
        <v>1.3150397668E7</v>
      </c>
      <c r="F329" s="11">
        <v>444057.733476923</v>
      </c>
    </row>
    <row r="330" ht="14.25" customHeight="1">
      <c r="A330" s="6">
        <v>43955.0</v>
      </c>
      <c r="B330" s="7" t="s">
        <v>22</v>
      </c>
      <c r="C330" s="7">
        <v>223617.0</v>
      </c>
      <c r="D330" s="7">
        <v>2.27968275E7</v>
      </c>
      <c r="E330" s="7">
        <v>1.6597666014999999E7</v>
      </c>
      <c r="F330" s="8">
        <v>404297.7461538461</v>
      </c>
    </row>
    <row r="331" ht="14.25" customHeight="1">
      <c r="A331" s="9">
        <v>43953.0</v>
      </c>
      <c r="B331" s="10" t="s">
        <v>22</v>
      </c>
      <c r="C331" s="10">
        <v>176397.0</v>
      </c>
      <c r="D331" s="10">
        <v>1.86259215E7</v>
      </c>
      <c r="E331" s="10">
        <v>1.3628439163999999E7</v>
      </c>
      <c r="F331" s="11">
        <v>370802.93846153846</v>
      </c>
    </row>
    <row r="332" ht="14.25" customHeight="1">
      <c r="A332" s="6">
        <v>43977.0</v>
      </c>
      <c r="B332" s="7" t="s">
        <v>22</v>
      </c>
      <c r="C332" s="7">
        <v>232369.5</v>
      </c>
      <c r="D332" s="7">
        <v>2.3856345E7</v>
      </c>
      <c r="E332" s="7">
        <v>1.7297352185000002E7</v>
      </c>
      <c r="F332" s="8">
        <v>279472.1615384615</v>
      </c>
    </row>
    <row r="333" ht="14.25" customHeight="1">
      <c r="A333" s="9">
        <v>43952.0</v>
      </c>
      <c r="B333" s="10" t="s">
        <v>22</v>
      </c>
      <c r="C333" s="10">
        <v>226540.5</v>
      </c>
      <c r="D333" s="10">
        <v>2.3953536E7</v>
      </c>
      <c r="E333" s="10">
        <v>1.7342946797E7</v>
      </c>
      <c r="F333" s="11">
        <v>380499.56092307693</v>
      </c>
    </row>
    <row r="334" ht="14.25" customHeight="1">
      <c r="A334" s="6">
        <v>43963.0</v>
      </c>
      <c r="B334" s="7" t="s">
        <v>22</v>
      </c>
      <c r="C334" s="7">
        <v>189679.5</v>
      </c>
      <c r="D334" s="7">
        <v>1.87180365E7</v>
      </c>
      <c r="E334" s="7">
        <v>1.3500671991999999E7</v>
      </c>
      <c r="F334" s="8">
        <v>344959.87384615385</v>
      </c>
    </row>
    <row r="335" ht="14.25" customHeight="1">
      <c r="A335" s="9">
        <v>43972.0</v>
      </c>
      <c r="B335" s="10" t="s">
        <v>22</v>
      </c>
      <c r="C335" s="10">
        <v>213640.5</v>
      </c>
      <c r="D335" s="10">
        <v>2.10426735E7</v>
      </c>
      <c r="E335" s="10">
        <v>1.5681371557000002E7</v>
      </c>
      <c r="F335" s="11">
        <v>296732.5961538461</v>
      </c>
    </row>
    <row r="336" ht="14.25" customHeight="1">
      <c r="A336" s="6">
        <v>43971.0</v>
      </c>
      <c r="B336" s="7" t="s">
        <v>22</v>
      </c>
      <c r="C336" s="7">
        <v>214885.5</v>
      </c>
      <c r="D336" s="7">
        <v>2.14113495E7</v>
      </c>
      <c r="E336" s="7">
        <v>1.5600701422999999E7</v>
      </c>
      <c r="F336" s="8">
        <v>410370.5153846154</v>
      </c>
    </row>
    <row r="337" ht="14.25" customHeight="1">
      <c r="A337" s="9">
        <v>43956.0</v>
      </c>
      <c r="B337" s="10" t="s">
        <v>22</v>
      </c>
      <c r="C337" s="10">
        <v>203832.0</v>
      </c>
      <c r="D337" s="10">
        <v>2.08801425E7</v>
      </c>
      <c r="E337" s="10">
        <v>1.5015521489999998E7</v>
      </c>
      <c r="F337" s="11">
        <v>398269.43076923076</v>
      </c>
    </row>
    <row r="338" ht="14.25" customHeight="1">
      <c r="A338" s="6">
        <v>43964.0</v>
      </c>
      <c r="B338" s="7" t="s">
        <v>22</v>
      </c>
      <c r="C338" s="7">
        <v>188662.5</v>
      </c>
      <c r="D338" s="7">
        <v>1.87840005E7</v>
      </c>
      <c r="E338" s="7">
        <v>1.3568684673999999E7</v>
      </c>
      <c r="F338" s="8">
        <v>349844.3615384615</v>
      </c>
    </row>
    <row r="339" ht="14.25" customHeight="1">
      <c r="A339" s="9">
        <v>43982.0</v>
      </c>
      <c r="B339" s="10" t="s">
        <v>21</v>
      </c>
      <c r="C339" s="10">
        <v>215277.0</v>
      </c>
      <c r="D339" s="10">
        <v>2.15853165E7</v>
      </c>
      <c r="E339" s="10">
        <v>1.6285354714E7</v>
      </c>
      <c r="F339" s="11">
        <v>183249.26153846155</v>
      </c>
    </row>
    <row r="340" ht="14.25" customHeight="1">
      <c r="A340" s="6">
        <v>43954.0</v>
      </c>
      <c r="B340" s="7" t="s">
        <v>22</v>
      </c>
      <c r="C340" s="7">
        <v>248148.0</v>
      </c>
      <c r="D340" s="7">
        <v>2.55190725E7</v>
      </c>
      <c r="E340" s="7">
        <v>1.8491870615E7</v>
      </c>
      <c r="F340" s="8">
        <v>270910.05384615384</v>
      </c>
    </row>
    <row r="341" ht="14.25" customHeight="1">
      <c r="A341" s="9">
        <v>43981.0</v>
      </c>
      <c r="B341" s="10" t="s">
        <v>21</v>
      </c>
      <c r="C341" s="10">
        <v>246414.0</v>
      </c>
      <c r="D341" s="10">
        <v>2.45272455E7</v>
      </c>
      <c r="E341" s="10">
        <v>1.8595804535E7</v>
      </c>
      <c r="F341" s="11">
        <v>282204.5230769231</v>
      </c>
    </row>
    <row r="342" ht="14.25" customHeight="1">
      <c r="A342" s="6">
        <v>43957.0</v>
      </c>
      <c r="B342" s="7" t="s">
        <v>22</v>
      </c>
      <c r="C342" s="7">
        <v>216498.0</v>
      </c>
      <c r="D342" s="7">
        <v>2.21264445E7</v>
      </c>
      <c r="E342" s="7">
        <v>1.6128268832E7</v>
      </c>
      <c r="F342" s="8">
        <v>389877.53846153844</v>
      </c>
    </row>
    <row r="343" ht="14.25" customHeight="1">
      <c r="A343" s="9">
        <v>43974.0</v>
      </c>
      <c r="B343" s="10" t="s">
        <v>22</v>
      </c>
      <c r="C343" s="10">
        <v>275793.0</v>
      </c>
      <c r="D343" s="10">
        <v>2.6806626E7</v>
      </c>
      <c r="E343" s="10">
        <v>2.0508194544999998E7</v>
      </c>
      <c r="F343" s="11">
        <v>239346.81538461536</v>
      </c>
    </row>
    <row r="344" ht="14.25" customHeight="1">
      <c r="A344" s="6">
        <v>43979.0</v>
      </c>
      <c r="B344" s="7" t="s">
        <v>21</v>
      </c>
      <c r="C344" s="7">
        <v>199753.5</v>
      </c>
      <c r="D344" s="7">
        <v>2.05357335E7</v>
      </c>
      <c r="E344" s="7">
        <v>1.5173462744E7</v>
      </c>
      <c r="F344" s="8">
        <v>257491.36923076925</v>
      </c>
    </row>
    <row r="345" ht="14.25" customHeight="1">
      <c r="A345" s="9">
        <v>43976.0</v>
      </c>
      <c r="B345" s="10" t="s">
        <v>22</v>
      </c>
      <c r="C345" s="10">
        <v>192948.0</v>
      </c>
      <c r="D345" s="10">
        <v>1.9806927E7</v>
      </c>
      <c r="E345" s="10">
        <v>1.4358653389999999E7</v>
      </c>
      <c r="F345" s="11">
        <v>319377.7946153846</v>
      </c>
    </row>
    <row r="346" ht="14.25" customHeight="1">
      <c r="A346" s="6">
        <v>43951.0</v>
      </c>
      <c r="B346" s="7" t="s">
        <v>22</v>
      </c>
      <c r="C346" s="7">
        <v>206038.5</v>
      </c>
      <c r="D346" s="7">
        <v>2.174046E7</v>
      </c>
      <c r="E346" s="7">
        <v>1.5789926042999998E7</v>
      </c>
      <c r="F346" s="8">
        <v>115102.03846153845</v>
      </c>
    </row>
    <row r="347" ht="14.25" customHeight="1">
      <c r="A347" s="9">
        <v>43961.0</v>
      </c>
      <c r="B347" s="10" t="s">
        <v>22</v>
      </c>
      <c r="C347" s="10">
        <v>231559.5</v>
      </c>
      <c r="D347" s="10">
        <v>2.3443725E7</v>
      </c>
      <c r="E347" s="10">
        <v>1.7121204866E7</v>
      </c>
      <c r="F347" s="11">
        <v>269535.7253846154</v>
      </c>
    </row>
    <row r="348" ht="14.25" customHeight="1">
      <c r="A348" s="6">
        <v>43959.0</v>
      </c>
      <c r="B348" s="7" t="s">
        <v>22</v>
      </c>
      <c r="C348" s="7">
        <v>225076.5</v>
      </c>
      <c r="D348" s="7">
        <v>2.28460785E7</v>
      </c>
      <c r="E348" s="7">
        <v>1.6722171227E7</v>
      </c>
      <c r="F348" s="8">
        <v>479024.68461538455</v>
      </c>
    </row>
    <row r="349" ht="14.25" customHeight="1">
      <c r="A349" s="9">
        <v>43958.0</v>
      </c>
      <c r="B349" s="10" t="s">
        <v>22</v>
      </c>
      <c r="C349" s="10">
        <v>209415.0</v>
      </c>
      <c r="D349" s="10">
        <v>2.1463023E7</v>
      </c>
      <c r="E349" s="10">
        <v>1.5847839739E7</v>
      </c>
      <c r="F349" s="11">
        <v>521163.8769230769</v>
      </c>
    </row>
    <row r="350" ht="14.25" customHeight="1">
      <c r="A350" s="6">
        <v>43975.0</v>
      </c>
      <c r="B350" s="7" t="s">
        <v>22</v>
      </c>
      <c r="C350" s="7">
        <v>193719.0</v>
      </c>
      <c r="D350" s="7">
        <v>1.9071117E7</v>
      </c>
      <c r="E350" s="7">
        <v>1.4541424877999999E7</v>
      </c>
      <c r="F350" s="8">
        <v>304806.9854230769</v>
      </c>
    </row>
    <row r="351" ht="14.25" customHeight="1">
      <c r="A351" s="9">
        <v>43950.0</v>
      </c>
      <c r="B351" s="10" t="s">
        <v>23</v>
      </c>
      <c r="C351" s="10">
        <v>12250.5</v>
      </c>
      <c r="D351" s="10">
        <v>981519.0</v>
      </c>
      <c r="E351" s="10">
        <v>867080.682</v>
      </c>
      <c r="F351" s="11">
        <v>102160.21538461538</v>
      </c>
    </row>
    <row r="352" ht="14.25" customHeight="1">
      <c r="A352" s="6">
        <v>43949.0</v>
      </c>
      <c r="B352" s="7" t="s">
        <v>23</v>
      </c>
      <c r="C352" s="7">
        <v>12541.5</v>
      </c>
      <c r="D352" s="7">
        <v>992541.0</v>
      </c>
      <c r="E352" s="7">
        <v>874678.696</v>
      </c>
      <c r="F352" s="8">
        <v>83886.67692307691</v>
      </c>
    </row>
    <row r="353" ht="14.25" customHeight="1">
      <c r="A353" s="9">
        <v>43982.0</v>
      </c>
      <c r="B353" s="10" t="s">
        <v>22</v>
      </c>
      <c r="C353" s="10">
        <v>206758.5</v>
      </c>
      <c r="D353" s="10">
        <v>2.07172485E7</v>
      </c>
      <c r="E353" s="10">
        <v>1.5667372685999999E7</v>
      </c>
      <c r="F353" s="11">
        <v>180007.08753846152</v>
      </c>
    </row>
    <row r="354" ht="14.25" customHeight="1">
      <c r="A354" s="6">
        <v>43981.0</v>
      </c>
      <c r="B354" s="7" t="s">
        <v>22</v>
      </c>
      <c r="C354" s="7">
        <v>244734.0</v>
      </c>
      <c r="D354" s="7">
        <v>2.415198E7</v>
      </c>
      <c r="E354" s="7">
        <v>1.8429449488E7</v>
      </c>
      <c r="F354" s="8">
        <v>303444.3653846154</v>
      </c>
    </row>
    <row r="355" ht="14.25" customHeight="1">
      <c r="A355" s="9">
        <v>43979.0</v>
      </c>
      <c r="B355" s="10" t="s">
        <v>22</v>
      </c>
      <c r="C355" s="10">
        <v>191641.5</v>
      </c>
      <c r="D355" s="10">
        <v>1.95490365E7</v>
      </c>
      <c r="E355" s="10">
        <v>1.448116423E7</v>
      </c>
      <c r="F355" s="11">
        <v>266079.27846153843</v>
      </c>
    </row>
    <row r="356" ht="14.25" customHeight="1">
      <c r="A356" s="6">
        <v>43967.0</v>
      </c>
      <c r="B356" s="7" t="s">
        <v>23</v>
      </c>
      <c r="C356" s="7">
        <v>16368.0</v>
      </c>
      <c r="D356" s="7">
        <v>1316350.5</v>
      </c>
      <c r="E356" s="7">
        <v>1092945.283</v>
      </c>
      <c r="F356" s="8">
        <v>175846.6446153846</v>
      </c>
    </row>
    <row r="357" ht="14.25" customHeight="1">
      <c r="A357" s="9">
        <v>43970.0</v>
      </c>
      <c r="B357" s="10" t="s">
        <v>23</v>
      </c>
      <c r="C357" s="10">
        <v>14427.0</v>
      </c>
      <c r="D357" s="10">
        <v>1126810.5</v>
      </c>
      <c r="E357" s="10">
        <v>963035.414</v>
      </c>
      <c r="F357" s="11">
        <v>202056.3451923077</v>
      </c>
    </row>
    <row r="358" ht="14.25" customHeight="1">
      <c r="A358" s="6">
        <v>43968.0</v>
      </c>
      <c r="B358" s="7" t="s">
        <v>23</v>
      </c>
      <c r="C358" s="7">
        <v>13440.0</v>
      </c>
      <c r="D358" s="7">
        <v>1157529.0</v>
      </c>
      <c r="E358" s="7">
        <v>935379.4229999998</v>
      </c>
      <c r="F358" s="8">
        <v>111375.6648</v>
      </c>
    </row>
    <row r="359" ht="14.25" customHeight="1">
      <c r="A359" s="9">
        <v>43960.0</v>
      </c>
      <c r="B359" s="10" t="s">
        <v>23</v>
      </c>
      <c r="C359" s="10">
        <v>11745.0</v>
      </c>
      <c r="D359" s="10">
        <v>955801.5</v>
      </c>
      <c r="E359" s="10">
        <v>795942.652</v>
      </c>
      <c r="F359" s="11">
        <v>165952.05877692305</v>
      </c>
    </row>
    <row r="360" ht="14.25" customHeight="1">
      <c r="A360" s="6">
        <v>43955.0</v>
      </c>
      <c r="B360" s="7" t="s">
        <v>23</v>
      </c>
      <c r="C360" s="7">
        <v>11062.5</v>
      </c>
      <c r="D360" s="7">
        <v>906343.5</v>
      </c>
      <c r="E360" s="7">
        <v>762082.749</v>
      </c>
      <c r="F360" s="8">
        <v>125305.56399230768</v>
      </c>
    </row>
    <row r="361" ht="14.25" customHeight="1">
      <c r="A361" s="9">
        <v>43953.0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ht="14.25" customHeight="1">
      <c r="A362" s="6">
        <v>43977.0</v>
      </c>
      <c r="B362" s="7" t="s">
        <v>24</v>
      </c>
      <c r="C362" s="7">
        <v>10437.0</v>
      </c>
      <c r="D362" s="7">
        <v>833815.5</v>
      </c>
      <c r="E362" s="7">
        <v>737888.3659999999</v>
      </c>
      <c r="F362" s="8">
        <v>39424.85384615384</v>
      </c>
    </row>
    <row r="363" ht="14.25" customHeight="1">
      <c r="A363" s="9">
        <v>43952.0</v>
      </c>
      <c r="B363" s="10" t="s">
        <v>23</v>
      </c>
      <c r="C363" s="10">
        <v>13644.0</v>
      </c>
      <c r="D363" s="10">
        <v>1134444.0</v>
      </c>
      <c r="E363" s="10">
        <v>971710.8709999999</v>
      </c>
      <c r="F363" s="11">
        <v>291527.8831384615</v>
      </c>
    </row>
    <row r="364" ht="14.25" customHeight="1">
      <c r="A364" s="6">
        <v>43963.0</v>
      </c>
      <c r="B364" s="7" t="s">
        <v>23</v>
      </c>
      <c r="C364" s="7">
        <v>13443.0</v>
      </c>
      <c r="D364" s="7">
        <v>1092277.5</v>
      </c>
      <c r="E364" s="7">
        <v>921493.483</v>
      </c>
      <c r="F364" s="8">
        <v>218151.6</v>
      </c>
    </row>
    <row r="365" ht="14.25" customHeight="1">
      <c r="A365" s="9">
        <v>43972.0</v>
      </c>
      <c r="B365" s="10" t="s">
        <v>23</v>
      </c>
      <c r="C365" s="10">
        <v>14182.5</v>
      </c>
      <c r="D365" s="10">
        <v>1172574.0</v>
      </c>
      <c r="E365" s="10">
        <v>968784.8649999999</v>
      </c>
      <c r="F365" s="11">
        <v>94547.0</v>
      </c>
    </row>
    <row r="366" ht="14.25" customHeight="1">
      <c r="A366" s="6">
        <v>43971.0</v>
      </c>
      <c r="B366" s="7" t="s">
        <v>23</v>
      </c>
      <c r="C366" s="7">
        <v>14928.0</v>
      </c>
      <c r="D366" s="7">
        <v>1217749.5</v>
      </c>
      <c r="E366" s="7">
        <v>1025585.5199999999</v>
      </c>
      <c r="F366" s="8">
        <v>84618.75436923077</v>
      </c>
    </row>
    <row r="367" ht="14.25" customHeight="1">
      <c r="A367" s="9">
        <v>43956.0</v>
      </c>
      <c r="B367" s="10" t="s">
        <v>23</v>
      </c>
      <c r="C367" s="10">
        <v>13941.0</v>
      </c>
      <c r="D367" s="10">
        <v>1145575.5</v>
      </c>
      <c r="E367" s="10">
        <v>974448.126</v>
      </c>
      <c r="F367" s="11">
        <v>152152.96544615386</v>
      </c>
    </row>
    <row r="368" ht="14.25" customHeight="1">
      <c r="A368" s="6">
        <v>43964.0</v>
      </c>
      <c r="B368" s="7" t="s">
        <v>23</v>
      </c>
      <c r="C368" s="7">
        <v>14643.0</v>
      </c>
      <c r="D368" s="7">
        <v>1172691.0</v>
      </c>
      <c r="E368" s="7">
        <v>971555.083</v>
      </c>
      <c r="F368" s="8">
        <v>124018.33614615384</v>
      </c>
    </row>
    <row r="369" ht="14.25" customHeight="1">
      <c r="A369" s="9">
        <v>43954.0</v>
      </c>
      <c r="B369" s="10" t="s">
        <v>23</v>
      </c>
      <c r="C369" s="10">
        <v>10032.0</v>
      </c>
      <c r="D369" s="10">
        <v>816150.0</v>
      </c>
      <c r="E369" s="10">
        <v>698626.0329999999</v>
      </c>
      <c r="F369" s="11">
        <v>97812.8923076923</v>
      </c>
    </row>
    <row r="370" ht="14.25" customHeight="1">
      <c r="A370" s="6">
        <v>43957.0</v>
      </c>
      <c r="B370" s="7" t="s">
        <v>23</v>
      </c>
      <c r="C370" s="7">
        <v>12468.0</v>
      </c>
      <c r="D370" s="7">
        <v>1016566.5</v>
      </c>
      <c r="E370" s="7">
        <v>858367.6039999999</v>
      </c>
      <c r="F370" s="8">
        <v>88833.63816923076</v>
      </c>
    </row>
    <row r="371" ht="14.25" customHeight="1">
      <c r="A371" s="9">
        <v>43974.0</v>
      </c>
      <c r="B371" s="10" t="s">
        <v>23</v>
      </c>
      <c r="C371" s="10">
        <v>17943.0</v>
      </c>
      <c r="D371" s="10">
        <v>1457391.0</v>
      </c>
      <c r="E371" s="10">
        <v>1194154.7659999998</v>
      </c>
      <c r="F371" s="11">
        <v>124621.03076923077</v>
      </c>
    </row>
    <row r="372" ht="14.25" customHeight="1">
      <c r="A372" s="6">
        <v>43976.0</v>
      </c>
      <c r="B372" s="7" t="s">
        <v>23</v>
      </c>
      <c r="C372" s="7">
        <v>15807.0</v>
      </c>
      <c r="D372" s="7">
        <v>1326705.0</v>
      </c>
      <c r="E372" s="7">
        <v>1070563.6439999999</v>
      </c>
      <c r="F372" s="8">
        <v>123343.24153846155</v>
      </c>
    </row>
    <row r="373" ht="14.25" customHeight="1">
      <c r="A373" s="9">
        <v>43951.0</v>
      </c>
      <c r="B373" s="10" t="s">
        <v>23</v>
      </c>
      <c r="C373" s="10">
        <v>11976.0</v>
      </c>
      <c r="D373" s="10">
        <v>1004511.0</v>
      </c>
      <c r="E373" s="10">
        <v>861334.614</v>
      </c>
      <c r="F373" s="11">
        <v>20847.353846153845</v>
      </c>
    </row>
    <row r="374" ht="14.25" customHeight="1">
      <c r="A374" s="6">
        <v>43961.0</v>
      </c>
      <c r="B374" s="7" t="s">
        <v>23</v>
      </c>
      <c r="C374" s="7">
        <v>14566.5</v>
      </c>
      <c r="D374" s="7">
        <v>1216557.0</v>
      </c>
      <c r="E374" s="7">
        <v>1013050.3829999999</v>
      </c>
      <c r="F374" s="8">
        <v>102510.4018923077</v>
      </c>
    </row>
    <row r="375" ht="14.25" customHeight="1">
      <c r="A375" s="9">
        <v>43959.0</v>
      </c>
      <c r="B375" s="10" t="s">
        <v>23</v>
      </c>
      <c r="C375" s="10">
        <v>12976.5</v>
      </c>
      <c r="D375" s="10">
        <v>1046848.5</v>
      </c>
      <c r="E375" s="10">
        <v>892743.7459999999</v>
      </c>
      <c r="F375" s="11">
        <v>396844.24095384614</v>
      </c>
    </row>
    <row r="376" ht="14.25" customHeight="1">
      <c r="A376" s="6">
        <v>43958.0</v>
      </c>
      <c r="B376" s="7" t="s">
        <v>23</v>
      </c>
      <c r="C376" s="7">
        <v>11719.5</v>
      </c>
      <c r="D376" s="7">
        <v>965880.0</v>
      </c>
      <c r="E376" s="7">
        <v>809986.386</v>
      </c>
      <c r="F376" s="8">
        <v>106745.03623846154</v>
      </c>
    </row>
    <row r="377" ht="14.25" customHeight="1">
      <c r="A377" s="9">
        <v>43975.0</v>
      </c>
      <c r="B377" s="10" t="s">
        <v>23</v>
      </c>
      <c r="C377" s="10">
        <v>17197.5</v>
      </c>
      <c r="D377" s="10">
        <v>1386262.5</v>
      </c>
      <c r="E377" s="10">
        <v>1130117.381</v>
      </c>
      <c r="F377" s="11">
        <v>121581.84923076924</v>
      </c>
    </row>
    <row r="378" ht="14.25" customHeight="1">
      <c r="A378" s="6">
        <v>43977.0</v>
      </c>
      <c r="B378" s="7" t="s">
        <v>23</v>
      </c>
      <c r="C378" s="7">
        <v>14419.5</v>
      </c>
      <c r="D378" s="7">
        <v>1210456.5</v>
      </c>
      <c r="E378" s="7">
        <v>970917.124</v>
      </c>
      <c r="F378" s="8">
        <v>88147.13846153846</v>
      </c>
    </row>
    <row r="379" ht="14.25" customHeight="1">
      <c r="A379" s="9">
        <v>43983.0</v>
      </c>
      <c r="B379" s="10" t="s">
        <v>9</v>
      </c>
      <c r="C379" s="10">
        <v>7816.5</v>
      </c>
      <c r="D379" s="10">
        <v>636345.0</v>
      </c>
      <c r="E379" s="10">
        <v>550528.6630000001</v>
      </c>
      <c r="F379" s="11">
        <v>190344.3008</v>
      </c>
    </row>
    <row r="380" ht="14.25" customHeight="1">
      <c r="A380" s="6">
        <v>43982.0</v>
      </c>
      <c r="B380" s="7" t="s">
        <v>25</v>
      </c>
      <c r="C380" s="7">
        <v>6409.5</v>
      </c>
      <c r="D380" s="7">
        <v>493893.0</v>
      </c>
      <c r="E380" s="7">
        <v>459762.61999999994</v>
      </c>
      <c r="F380" s="8">
        <v>28040.97692307692</v>
      </c>
    </row>
    <row r="381" ht="14.25" customHeight="1">
      <c r="A381" s="9">
        <v>43981.0</v>
      </c>
      <c r="B381" s="10" t="s">
        <v>24</v>
      </c>
      <c r="C381" s="10">
        <v>11220.0</v>
      </c>
      <c r="D381" s="10">
        <v>928675.5</v>
      </c>
      <c r="E381" s="10">
        <v>802403.808</v>
      </c>
      <c r="F381" s="11">
        <v>136423.60523076923</v>
      </c>
    </row>
    <row r="382" ht="14.25" customHeight="1">
      <c r="A382" s="6">
        <v>43980.0</v>
      </c>
      <c r="B382" s="7" t="s">
        <v>9</v>
      </c>
      <c r="C382" s="7">
        <v>8350.5</v>
      </c>
      <c r="D382" s="7">
        <v>651237.0</v>
      </c>
      <c r="E382" s="7">
        <v>601485.126</v>
      </c>
      <c r="F382" s="8">
        <v>83014.63505384616</v>
      </c>
    </row>
    <row r="383" ht="14.25" customHeight="1">
      <c r="A383" s="9">
        <v>43979.0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ht="14.25" customHeight="1">
      <c r="A384" s="6">
        <v>43978.0</v>
      </c>
      <c r="B384" s="7" t="s">
        <v>10</v>
      </c>
      <c r="C384" s="7">
        <v>32817.0</v>
      </c>
      <c r="D384" s="7">
        <v>3015751.5</v>
      </c>
      <c r="E384" s="7">
        <v>2415980.772</v>
      </c>
      <c r="F384" s="8">
        <v>346048.63569230767</v>
      </c>
    </row>
    <row r="385" ht="14.25" customHeight="1">
      <c r="A385" s="9">
        <v>43973.0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</v>
      </c>
    </row>
    <row r="386" ht="14.25" customHeight="1">
      <c r="A386" s="6">
        <v>43982.0</v>
      </c>
      <c r="B386" s="7" t="s">
        <v>26</v>
      </c>
      <c r="C386" s="7">
        <v>5127.0</v>
      </c>
      <c r="D386" s="7">
        <v>468835.5</v>
      </c>
      <c r="E386" s="7">
        <v>412625.887</v>
      </c>
      <c r="F386" s="8">
        <v>8642.376923076923</v>
      </c>
    </row>
    <row r="387" ht="14.25" customHeight="1">
      <c r="A387" s="9">
        <v>43962.0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ht="14.25" customHeight="1">
      <c r="A388" s="6">
        <v>43981.0</v>
      </c>
      <c r="B388" s="7" t="s">
        <v>23</v>
      </c>
      <c r="C388" s="7">
        <v>20688.0</v>
      </c>
      <c r="D388" s="7">
        <v>1773154.5</v>
      </c>
      <c r="E388" s="7">
        <v>1458979.491</v>
      </c>
      <c r="F388" s="8">
        <v>98432.2134076923</v>
      </c>
    </row>
    <row r="389" ht="14.25" customHeight="1">
      <c r="A389" s="9">
        <v>43979.0</v>
      </c>
      <c r="B389" s="10" t="s">
        <v>23</v>
      </c>
      <c r="C389" s="10">
        <v>15678.0</v>
      </c>
      <c r="D389" s="10">
        <v>1387443.0</v>
      </c>
      <c r="E389" s="10">
        <v>1121336.507</v>
      </c>
      <c r="F389" s="11">
        <v>101620.2923076923</v>
      </c>
    </row>
    <row r="390" ht="14.25" customHeight="1">
      <c r="A390" s="6">
        <v>43969.0</v>
      </c>
      <c r="B390" s="7" t="s">
        <v>10</v>
      </c>
      <c r="C390" s="7">
        <v>31329.0</v>
      </c>
      <c r="D390" s="7">
        <v>2826379.5</v>
      </c>
      <c r="E390" s="7">
        <v>2229453.508</v>
      </c>
      <c r="F390" s="8">
        <v>331756.1807230769</v>
      </c>
    </row>
    <row r="391" ht="14.25" customHeight="1">
      <c r="A391" s="9">
        <v>43965.0</v>
      </c>
      <c r="B391" s="10" t="s">
        <v>10</v>
      </c>
      <c r="C391" s="10">
        <v>29658.0</v>
      </c>
      <c r="D391" s="10">
        <v>2703132.0</v>
      </c>
      <c r="E391" s="10">
        <v>2160539.996</v>
      </c>
      <c r="F391" s="11">
        <v>312856.1615384615</v>
      </c>
    </row>
    <row r="392" ht="14.25" customHeight="1">
      <c r="A392" s="6">
        <v>43966.0</v>
      </c>
      <c r="B392" s="7" t="s">
        <v>10</v>
      </c>
      <c r="C392" s="7">
        <v>34150.5</v>
      </c>
      <c r="D392" s="7">
        <v>3038293.5</v>
      </c>
      <c r="E392" s="7">
        <v>2442084.561</v>
      </c>
      <c r="F392" s="8">
        <v>277257.14947692305</v>
      </c>
    </row>
    <row r="393" ht="14.25" customHeight="1">
      <c r="A393" s="9">
        <v>43983.0</v>
      </c>
      <c r="B393" s="10" t="s">
        <v>10</v>
      </c>
      <c r="C393" s="10">
        <v>31947.0</v>
      </c>
      <c r="D393" s="10">
        <v>2945035.5</v>
      </c>
      <c r="E393" s="10">
        <v>2320195.4450000003</v>
      </c>
      <c r="F393" s="11">
        <v>383761.6669230769</v>
      </c>
    </row>
    <row r="394" ht="14.25" customHeight="1">
      <c r="A394" s="6">
        <v>43982.0</v>
      </c>
      <c r="B394" s="7" t="s">
        <v>24</v>
      </c>
      <c r="C394" s="7">
        <v>10416.0</v>
      </c>
      <c r="D394" s="7">
        <v>866023.5</v>
      </c>
      <c r="E394" s="7">
        <v>744833.002</v>
      </c>
      <c r="F394" s="8">
        <v>19998.63846153846</v>
      </c>
    </row>
    <row r="395" ht="14.25" customHeight="1">
      <c r="A395" s="9">
        <v>43980.0</v>
      </c>
      <c r="B395" s="10" t="s">
        <v>10</v>
      </c>
      <c r="C395" s="10">
        <v>35431.5</v>
      </c>
      <c r="D395" s="10">
        <v>3193167.0</v>
      </c>
      <c r="E395" s="10">
        <v>2545757.0549999997</v>
      </c>
      <c r="F395" s="11">
        <v>202281.06923076924</v>
      </c>
    </row>
    <row r="396" ht="14.25" customHeight="1">
      <c r="A396" s="6">
        <v>43978.0</v>
      </c>
      <c r="B396" s="7" t="s">
        <v>11</v>
      </c>
      <c r="C396" s="7">
        <v>78544.5</v>
      </c>
      <c r="D396" s="7">
        <v>6701083.5</v>
      </c>
      <c r="E396" s="7">
        <v>5109499.617</v>
      </c>
      <c r="F396" s="8">
        <v>76226.26923076922</v>
      </c>
    </row>
    <row r="397" ht="14.25" customHeight="1">
      <c r="A397" s="9">
        <v>43973.0</v>
      </c>
      <c r="B397" s="10" t="s">
        <v>11</v>
      </c>
      <c r="C397" s="10">
        <v>97963.5</v>
      </c>
      <c r="D397" s="10">
        <v>7728465.0</v>
      </c>
      <c r="E397" s="10">
        <v>6415904.924000001</v>
      </c>
      <c r="F397" s="11">
        <v>150138.8230769231</v>
      </c>
    </row>
    <row r="398" ht="14.25" customHeight="1">
      <c r="A398" s="6">
        <v>43983.0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ht="14.25" customHeight="1">
      <c r="A399" s="9">
        <v>43982.0</v>
      </c>
      <c r="B399" s="10" t="s">
        <v>23</v>
      </c>
      <c r="C399" s="10">
        <v>16143.0</v>
      </c>
      <c r="D399" s="10">
        <v>1423410.0</v>
      </c>
      <c r="E399" s="10">
        <v>1183524.938</v>
      </c>
      <c r="F399" s="11">
        <v>41938.95039230769</v>
      </c>
    </row>
    <row r="400" ht="14.25" customHeight="1">
      <c r="A400" s="6">
        <v>43962.0</v>
      </c>
      <c r="B400" s="7" t="s">
        <v>11</v>
      </c>
      <c r="C400" s="7">
        <v>72220.5</v>
      </c>
      <c r="D400" s="7">
        <v>6398719.5</v>
      </c>
      <c r="E400" s="7">
        <v>4782829.606000001</v>
      </c>
      <c r="F400" s="8">
        <v>186502.14615384614</v>
      </c>
    </row>
    <row r="401" ht="14.25" customHeight="1">
      <c r="A401" s="9">
        <v>43969.0</v>
      </c>
      <c r="B401" s="10" t="s">
        <v>11</v>
      </c>
      <c r="C401" s="10">
        <v>78058.5</v>
      </c>
      <c r="D401" s="10">
        <v>6609714.0</v>
      </c>
      <c r="E401" s="10">
        <v>5024858.793</v>
      </c>
      <c r="F401" s="11">
        <v>140406.0769230769</v>
      </c>
    </row>
    <row r="402" ht="14.25" customHeight="1">
      <c r="A402" s="6">
        <v>43965.0</v>
      </c>
      <c r="B402" s="7" t="s">
        <v>11</v>
      </c>
      <c r="C402" s="7">
        <v>70498.5</v>
      </c>
      <c r="D402" s="7">
        <v>6053649.0</v>
      </c>
      <c r="E402" s="7">
        <v>4580254.154999999</v>
      </c>
      <c r="F402" s="8">
        <v>131801.93944615382</v>
      </c>
    </row>
    <row r="403" ht="14.25" customHeight="1">
      <c r="A403" s="9">
        <v>43966.0</v>
      </c>
      <c r="B403" s="10" t="s">
        <v>11</v>
      </c>
      <c r="C403" s="10">
        <v>78961.5</v>
      </c>
      <c r="D403" s="10">
        <v>6876454.5</v>
      </c>
      <c r="E403" s="10">
        <v>5258162.288</v>
      </c>
      <c r="F403" s="11">
        <v>162133.1846153846</v>
      </c>
    </row>
    <row r="404" ht="14.25" customHeight="1">
      <c r="A404" s="6">
        <v>43978.0</v>
      </c>
      <c r="B404" s="7" t="s">
        <v>12</v>
      </c>
      <c r="C404" s="7">
        <v>12490.5</v>
      </c>
      <c r="D404" s="7">
        <v>1054798.5</v>
      </c>
      <c r="E404" s="7">
        <v>878389.065</v>
      </c>
      <c r="F404" s="8">
        <v>67454.76536923076</v>
      </c>
    </row>
    <row r="405" ht="14.25" customHeight="1">
      <c r="A405" s="9">
        <v>43973.0</v>
      </c>
      <c r="B405" s="10" t="s">
        <v>12</v>
      </c>
      <c r="C405" s="10">
        <v>18036.0</v>
      </c>
      <c r="D405" s="10">
        <v>1455049.5</v>
      </c>
      <c r="E405" s="10">
        <v>1301439.284</v>
      </c>
      <c r="F405" s="11">
        <v>69189.12307692308</v>
      </c>
    </row>
    <row r="406" ht="14.25" customHeight="1">
      <c r="A406" s="6">
        <v>43983.0</v>
      </c>
      <c r="B406" s="7" t="s">
        <v>12</v>
      </c>
      <c r="C406" s="7">
        <v>11416.5</v>
      </c>
      <c r="D406" s="7">
        <v>1007742.0</v>
      </c>
      <c r="E406" s="7">
        <v>815296.88</v>
      </c>
      <c r="F406" s="8">
        <v>145147.84546153847</v>
      </c>
    </row>
    <row r="407" ht="14.25" customHeight="1">
      <c r="A407" s="9">
        <v>43962.0</v>
      </c>
      <c r="B407" s="10" t="s">
        <v>12</v>
      </c>
      <c r="C407" s="10">
        <v>9007.5</v>
      </c>
      <c r="D407" s="10">
        <v>734335.5</v>
      </c>
      <c r="E407" s="10">
        <v>622482.404</v>
      </c>
      <c r="F407" s="11">
        <v>113093.66153846154</v>
      </c>
    </row>
    <row r="408" ht="14.25" customHeight="1">
      <c r="A408" s="6">
        <v>43980.0</v>
      </c>
      <c r="B408" s="7" t="s">
        <v>11</v>
      </c>
      <c r="C408" s="7">
        <v>87552.0</v>
      </c>
      <c r="D408" s="7">
        <v>7387116.0</v>
      </c>
      <c r="E408" s="7">
        <v>5815890.3319999995</v>
      </c>
      <c r="F408" s="8">
        <v>161811.8923076923</v>
      </c>
    </row>
    <row r="409" ht="14.25" customHeight="1">
      <c r="A409" s="9">
        <v>43969.0</v>
      </c>
      <c r="B409" s="10" t="s">
        <v>12</v>
      </c>
      <c r="C409" s="10">
        <v>11680.5</v>
      </c>
      <c r="D409" s="10">
        <v>936427.5</v>
      </c>
      <c r="E409" s="10">
        <v>813406.684</v>
      </c>
      <c r="F409" s="11">
        <v>117272.7846153846</v>
      </c>
    </row>
    <row r="410" ht="14.25" customHeight="1">
      <c r="A410" s="6">
        <v>43965.0</v>
      </c>
      <c r="B410" s="7" t="s">
        <v>12</v>
      </c>
      <c r="C410" s="7">
        <v>12037.5</v>
      </c>
      <c r="D410" s="7">
        <v>981564.0</v>
      </c>
      <c r="E410" s="7">
        <v>877726.201</v>
      </c>
      <c r="F410" s="8">
        <v>69249.01181538461</v>
      </c>
    </row>
    <row r="411" ht="14.25" customHeight="1">
      <c r="A411" s="9">
        <v>43966.0</v>
      </c>
      <c r="B411" s="10" t="s">
        <v>12</v>
      </c>
      <c r="C411" s="10">
        <v>14421.0</v>
      </c>
      <c r="D411" s="10">
        <v>1150579.5</v>
      </c>
      <c r="E411" s="10">
        <v>1038033.7869999999</v>
      </c>
      <c r="F411" s="11">
        <v>68487.35856923077</v>
      </c>
    </row>
    <row r="412" ht="14.25" customHeight="1">
      <c r="A412" s="6">
        <v>43980.0</v>
      </c>
      <c r="B412" s="7" t="s">
        <v>12</v>
      </c>
      <c r="C412" s="7">
        <v>14823.0</v>
      </c>
      <c r="D412" s="7">
        <v>1273464.0</v>
      </c>
      <c r="E412" s="7">
        <v>1068326.937</v>
      </c>
      <c r="F412" s="8">
        <v>76299.02338461539</v>
      </c>
    </row>
    <row r="413" ht="14.25" customHeight="1">
      <c r="A413" s="9">
        <v>43978.0</v>
      </c>
      <c r="B413" s="10" t="s">
        <v>13</v>
      </c>
      <c r="C413" s="10">
        <v>31257.0</v>
      </c>
      <c r="D413" s="10">
        <v>2924133.0</v>
      </c>
      <c r="E413" s="10">
        <v>2311405.017</v>
      </c>
      <c r="F413" s="11">
        <v>148582.33846153846</v>
      </c>
    </row>
    <row r="414" ht="14.25" customHeight="1">
      <c r="A414" s="6">
        <v>43973.0</v>
      </c>
      <c r="B414" s="7" t="s">
        <v>13</v>
      </c>
      <c r="C414" s="7">
        <v>38074.5</v>
      </c>
      <c r="D414" s="7">
        <v>3414180.0</v>
      </c>
      <c r="E414" s="7">
        <v>2805831.5209999997</v>
      </c>
      <c r="F414" s="8">
        <v>124540.74078461538</v>
      </c>
    </row>
    <row r="415" ht="14.25" customHeight="1">
      <c r="A415" s="9">
        <v>43983.0</v>
      </c>
      <c r="B415" s="10" t="s">
        <v>13</v>
      </c>
      <c r="C415" s="10">
        <v>32170.5</v>
      </c>
      <c r="D415" s="10">
        <v>3013512.0</v>
      </c>
      <c r="E415" s="10">
        <v>2355616.679</v>
      </c>
      <c r="F415" s="11">
        <v>219429.2774153846</v>
      </c>
    </row>
    <row r="416" ht="14.25" customHeight="1">
      <c r="A416" s="6">
        <v>43962.0</v>
      </c>
      <c r="B416" s="7" t="s">
        <v>13</v>
      </c>
      <c r="C416" s="7">
        <v>42397.5</v>
      </c>
      <c r="D416" s="7">
        <v>3911979.0</v>
      </c>
      <c r="E416" s="7">
        <v>3086459.8370000003</v>
      </c>
      <c r="F416" s="8">
        <v>164514.63076923075</v>
      </c>
    </row>
    <row r="417" ht="14.25" customHeight="1">
      <c r="A417" s="9">
        <v>43969.0</v>
      </c>
      <c r="B417" s="10" t="s">
        <v>13</v>
      </c>
      <c r="C417" s="10">
        <v>28668.0</v>
      </c>
      <c r="D417" s="10">
        <v>2588148.0</v>
      </c>
      <c r="E417" s="10">
        <v>2042294.167</v>
      </c>
      <c r="F417" s="11">
        <v>160977.42935384615</v>
      </c>
    </row>
    <row r="418" ht="14.25" customHeight="1">
      <c r="A418" s="6">
        <v>43965.0</v>
      </c>
      <c r="B418" s="7" t="s">
        <v>13</v>
      </c>
      <c r="C418" s="7">
        <v>27411.0</v>
      </c>
      <c r="D418" s="7">
        <v>2441520.0</v>
      </c>
      <c r="E418" s="7">
        <v>1933378.3459999997</v>
      </c>
      <c r="F418" s="8">
        <v>141658.27661538462</v>
      </c>
    </row>
    <row r="419" ht="14.25" customHeight="1">
      <c r="A419" s="9">
        <v>43966.0</v>
      </c>
      <c r="B419" s="10" t="s">
        <v>13</v>
      </c>
      <c r="C419" s="10">
        <v>32854.5</v>
      </c>
      <c r="D419" s="10">
        <v>2949078.0</v>
      </c>
      <c r="E419" s="10">
        <v>2391958.463</v>
      </c>
      <c r="F419" s="11">
        <v>129383.86666153846</v>
      </c>
    </row>
    <row r="420" ht="14.25" customHeight="1">
      <c r="A420" s="6">
        <v>43980.0</v>
      </c>
      <c r="B420" s="7" t="s">
        <v>13</v>
      </c>
      <c r="C420" s="7">
        <v>35346.0</v>
      </c>
      <c r="D420" s="7">
        <v>3258054.0</v>
      </c>
      <c r="E420" s="7">
        <v>2595610.66</v>
      </c>
      <c r="F420" s="8">
        <v>195198.78461538462</v>
      </c>
    </row>
    <row r="421" ht="14.25" customHeight="1">
      <c r="A421" s="9">
        <v>43978.0</v>
      </c>
      <c r="B421" s="10" t="s">
        <v>14</v>
      </c>
      <c r="C421" s="10">
        <v>286558.5</v>
      </c>
      <c r="D421" s="10">
        <v>2.9256993E7</v>
      </c>
      <c r="E421" s="10">
        <v>2.1169527457000002E7</v>
      </c>
      <c r="F421" s="11">
        <v>646741.2813</v>
      </c>
    </row>
    <row r="422" ht="14.25" customHeight="1">
      <c r="A422" s="6">
        <v>43973.0</v>
      </c>
      <c r="B422" s="7" t="s">
        <v>14</v>
      </c>
      <c r="C422" s="7">
        <v>304092.0</v>
      </c>
      <c r="D422" s="7">
        <v>2.9465769E7</v>
      </c>
      <c r="E422" s="7">
        <v>2.2276452264999997E7</v>
      </c>
      <c r="F422" s="8">
        <v>570447.6369538462</v>
      </c>
    </row>
    <row r="423" ht="14.25" customHeight="1">
      <c r="A423" s="9">
        <v>43983.0</v>
      </c>
      <c r="B423" s="10" t="s">
        <v>14</v>
      </c>
      <c r="C423" s="10">
        <v>272926.5</v>
      </c>
      <c r="D423" s="10">
        <v>2.77700925E7</v>
      </c>
      <c r="E423" s="10">
        <v>2.0952913508E7</v>
      </c>
      <c r="F423" s="11">
        <v>872904.4042846154</v>
      </c>
    </row>
    <row r="424" ht="14.25" customHeight="1">
      <c r="A424" s="6">
        <v>43962.0</v>
      </c>
      <c r="B424" s="7" t="s">
        <v>14</v>
      </c>
      <c r="C424" s="7">
        <v>237099.0</v>
      </c>
      <c r="D424" s="7">
        <v>2.462823322395E7</v>
      </c>
      <c r="E424" s="7">
        <v>1.767993047E7</v>
      </c>
      <c r="F424" s="8">
        <v>622499.3303153847</v>
      </c>
    </row>
    <row r="425" ht="14.25" customHeight="1">
      <c r="A425" s="9">
        <v>43969.0</v>
      </c>
      <c r="B425" s="10" t="s">
        <v>14</v>
      </c>
      <c r="C425" s="10">
        <v>273900.0</v>
      </c>
      <c r="D425" s="10">
        <v>2.7535284147600003E7</v>
      </c>
      <c r="E425" s="10">
        <v>1.9680985969E7</v>
      </c>
      <c r="F425" s="11">
        <v>764540.5879230769</v>
      </c>
    </row>
    <row r="426" ht="14.25" customHeight="1">
      <c r="A426" s="6">
        <v>43965.0</v>
      </c>
      <c r="B426" s="7" t="s">
        <v>14</v>
      </c>
      <c r="C426" s="7">
        <v>274059.0</v>
      </c>
      <c r="D426" s="7">
        <v>2.8181292E7</v>
      </c>
      <c r="E426" s="7">
        <v>2.0493717226E7</v>
      </c>
      <c r="F426" s="8">
        <v>806120.1933307692</v>
      </c>
    </row>
    <row r="427" ht="14.25" customHeight="1">
      <c r="A427" s="9">
        <v>43966.0</v>
      </c>
      <c r="B427" s="10" t="s">
        <v>14</v>
      </c>
      <c r="C427" s="10">
        <v>318816.0</v>
      </c>
      <c r="D427" s="10">
        <v>3.2354331E7</v>
      </c>
      <c r="E427" s="10">
        <v>2.3895072432E7</v>
      </c>
      <c r="F427" s="11">
        <v>616932.9235384614</v>
      </c>
    </row>
    <row r="428" ht="14.25" customHeight="1">
      <c r="A428" s="6">
        <v>43978.0</v>
      </c>
      <c r="B428" s="7" t="s">
        <v>15</v>
      </c>
      <c r="C428" s="7">
        <v>370012.5</v>
      </c>
      <c r="D428" s="7">
        <v>3.90348615E7</v>
      </c>
      <c r="E428" s="7">
        <v>2.8040467216000002E7</v>
      </c>
      <c r="F428" s="8">
        <v>681486.5666461538</v>
      </c>
    </row>
    <row r="429" ht="14.25" customHeight="1">
      <c r="A429" s="9">
        <v>43973.0</v>
      </c>
      <c r="B429" s="10" t="s">
        <v>15</v>
      </c>
      <c r="C429" s="10">
        <v>393018.0</v>
      </c>
      <c r="D429" s="10">
        <v>3.94983735E7</v>
      </c>
      <c r="E429" s="10">
        <v>2.9683782432999995E7</v>
      </c>
      <c r="F429" s="11">
        <v>636230.3201153845</v>
      </c>
    </row>
    <row r="430" ht="14.25" customHeight="1">
      <c r="A430" s="6">
        <v>43983.0</v>
      </c>
      <c r="B430" s="7" t="s">
        <v>15</v>
      </c>
      <c r="C430" s="7">
        <v>349699.5</v>
      </c>
      <c r="D430" s="7">
        <v>3.725784018135E7</v>
      </c>
      <c r="E430" s="7">
        <v>2.7640203134E7</v>
      </c>
      <c r="F430" s="8">
        <v>744856.585476923</v>
      </c>
    </row>
    <row r="431" ht="14.25" customHeight="1">
      <c r="A431" s="9">
        <v>43962.0</v>
      </c>
      <c r="B431" s="10" t="s">
        <v>15</v>
      </c>
      <c r="C431" s="10">
        <v>318565.5</v>
      </c>
      <c r="D431" s="10">
        <v>3.3781581E7</v>
      </c>
      <c r="E431" s="10">
        <v>2.4232690171E7</v>
      </c>
      <c r="F431" s="11">
        <v>605833.7657076922</v>
      </c>
    </row>
    <row r="432" ht="14.25" customHeight="1">
      <c r="A432" s="6">
        <v>43980.0</v>
      </c>
      <c r="B432" s="7" t="s">
        <v>14</v>
      </c>
      <c r="C432" s="7">
        <v>422965.5</v>
      </c>
      <c r="D432" s="7">
        <v>4.1767140105000004E7</v>
      </c>
      <c r="E432" s="7">
        <v>3.2361318847E7</v>
      </c>
      <c r="F432" s="8">
        <v>525087.9153846154</v>
      </c>
    </row>
    <row r="433" ht="14.25" customHeight="1">
      <c r="A433" s="9">
        <v>43969.0</v>
      </c>
      <c r="B433" s="10" t="s">
        <v>15</v>
      </c>
      <c r="C433" s="10">
        <v>355081.5</v>
      </c>
      <c r="D433" s="10">
        <v>3.6876888E7</v>
      </c>
      <c r="E433" s="10">
        <v>2.6228948559E7</v>
      </c>
      <c r="F433" s="11">
        <v>898617.7503076922</v>
      </c>
    </row>
    <row r="434" ht="14.25" customHeight="1">
      <c r="A434" s="6">
        <v>43965.0</v>
      </c>
      <c r="B434" s="7" t="s">
        <v>15</v>
      </c>
      <c r="C434" s="7">
        <v>358387.5</v>
      </c>
      <c r="D434" s="7">
        <v>3.79631505E7</v>
      </c>
      <c r="E434" s="7">
        <v>2.7483828209E7</v>
      </c>
      <c r="F434" s="8">
        <v>506964.83088461537</v>
      </c>
    </row>
    <row r="435" ht="14.25" customHeight="1">
      <c r="A435" s="9">
        <v>43966.0</v>
      </c>
      <c r="B435" s="10" t="s">
        <v>15</v>
      </c>
      <c r="C435" s="10">
        <v>403261.5</v>
      </c>
      <c r="D435" s="10">
        <v>4.2271377E7</v>
      </c>
      <c r="E435" s="10">
        <v>3.1105053391E7</v>
      </c>
      <c r="F435" s="11">
        <v>571050.764276923</v>
      </c>
    </row>
    <row r="436" ht="14.25" customHeight="1">
      <c r="A436" s="6">
        <v>43978.0</v>
      </c>
      <c r="B436" s="7" t="s">
        <v>16</v>
      </c>
      <c r="C436" s="7">
        <v>69010.5</v>
      </c>
      <c r="D436" s="7">
        <v>5985894.0</v>
      </c>
      <c r="E436" s="7">
        <v>4624968.49</v>
      </c>
      <c r="F436" s="8">
        <v>168769.33384615384</v>
      </c>
    </row>
    <row r="437" ht="14.25" customHeight="1">
      <c r="A437" s="9">
        <v>43973.0</v>
      </c>
      <c r="B437" s="10" t="s">
        <v>16</v>
      </c>
      <c r="C437" s="10">
        <v>75820.5</v>
      </c>
      <c r="D437" s="10">
        <v>5943489.0</v>
      </c>
      <c r="E437" s="10">
        <v>5046963.672</v>
      </c>
      <c r="F437" s="11">
        <v>196334.07284615384</v>
      </c>
    </row>
    <row r="438" ht="14.25" customHeight="1">
      <c r="A438" s="6">
        <v>43983.0</v>
      </c>
      <c r="B438" s="7" t="s">
        <v>16</v>
      </c>
      <c r="C438" s="7">
        <v>64740.0</v>
      </c>
      <c r="D438" s="7">
        <v>5800290.0</v>
      </c>
      <c r="E438" s="7">
        <v>4332158.433</v>
      </c>
      <c r="F438" s="8">
        <v>205428.24997692305</v>
      </c>
    </row>
    <row r="439" ht="14.25" customHeight="1">
      <c r="A439" s="9">
        <v>43962.0</v>
      </c>
      <c r="B439" s="10" t="s">
        <v>16</v>
      </c>
      <c r="C439" s="10">
        <v>59574.0</v>
      </c>
      <c r="D439" s="10">
        <v>5178169.5</v>
      </c>
      <c r="E439" s="10">
        <v>3929032.265</v>
      </c>
      <c r="F439" s="11">
        <v>208822.3307692308</v>
      </c>
    </row>
    <row r="440" ht="14.25" customHeight="1">
      <c r="A440" s="6">
        <v>43980.0</v>
      </c>
      <c r="B440" s="7" t="s">
        <v>15</v>
      </c>
      <c r="C440" s="7">
        <v>524481.0</v>
      </c>
      <c r="D440" s="7">
        <v>5.4172029E7</v>
      </c>
      <c r="E440" s="7">
        <v>4.1382275210999995E7</v>
      </c>
      <c r="F440" s="8">
        <v>512623.0388076923</v>
      </c>
    </row>
    <row r="441" ht="14.25" customHeight="1">
      <c r="A441" s="9">
        <v>43969.0</v>
      </c>
      <c r="B441" s="10" t="s">
        <v>16</v>
      </c>
      <c r="C441" s="10">
        <v>70278.0</v>
      </c>
      <c r="D441" s="10">
        <v>5798476.5</v>
      </c>
      <c r="E441" s="10">
        <v>4485664.506</v>
      </c>
      <c r="F441" s="11">
        <v>182019.63597692308</v>
      </c>
    </row>
    <row r="442" ht="14.25" customHeight="1">
      <c r="A442" s="6">
        <v>43965.0</v>
      </c>
      <c r="B442" s="7" t="s">
        <v>16</v>
      </c>
      <c r="C442" s="7">
        <v>63645.0</v>
      </c>
      <c r="D442" s="7">
        <v>5366602.5</v>
      </c>
      <c r="E442" s="7">
        <v>4245727.339</v>
      </c>
      <c r="F442" s="8">
        <v>137701.4149</v>
      </c>
    </row>
    <row r="443" ht="14.25" customHeight="1">
      <c r="A443" s="9">
        <v>43966.0</v>
      </c>
      <c r="B443" s="10" t="s">
        <v>16</v>
      </c>
      <c r="C443" s="10">
        <v>75642.0</v>
      </c>
      <c r="D443" s="10">
        <v>6293952.0</v>
      </c>
      <c r="E443" s="10">
        <v>5100877.931</v>
      </c>
      <c r="F443" s="11">
        <v>159537.61835384613</v>
      </c>
    </row>
    <row r="444" ht="14.25" customHeight="1">
      <c r="A444" s="6">
        <v>43978.0</v>
      </c>
      <c r="B444" s="7" t="s">
        <v>17</v>
      </c>
      <c r="C444" s="7">
        <v>40420.5</v>
      </c>
      <c r="D444" s="7">
        <v>3780852.0</v>
      </c>
      <c r="E444" s="7">
        <v>2893288.4459999995</v>
      </c>
      <c r="F444" s="8">
        <v>291528.45785384614</v>
      </c>
    </row>
    <row r="445" ht="14.25" customHeight="1">
      <c r="A445" s="9">
        <v>43973.0</v>
      </c>
      <c r="B445" s="10" t="s">
        <v>17</v>
      </c>
      <c r="C445" s="10">
        <v>53838.0</v>
      </c>
      <c r="D445" s="10">
        <v>4840833.0</v>
      </c>
      <c r="E445" s="10">
        <v>4017247.747</v>
      </c>
      <c r="F445" s="11">
        <v>147709.19777692307</v>
      </c>
    </row>
    <row r="446" ht="14.25" customHeight="1">
      <c r="A446" s="6">
        <v>43983.0</v>
      </c>
      <c r="B446" s="7" t="s">
        <v>17</v>
      </c>
      <c r="C446" s="7">
        <v>40528.5</v>
      </c>
      <c r="D446" s="7">
        <v>3865251.0</v>
      </c>
      <c r="E446" s="7">
        <v>2972895.417</v>
      </c>
      <c r="F446" s="8">
        <v>336001.0803923077</v>
      </c>
    </row>
    <row r="447" ht="14.25" customHeight="1">
      <c r="A447" s="9">
        <v>43962.0</v>
      </c>
      <c r="B447" s="10" t="s">
        <v>17</v>
      </c>
      <c r="C447" s="10">
        <v>32733.0</v>
      </c>
      <c r="D447" s="10">
        <v>3079630.5</v>
      </c>
      <c r="E447" s="10">
        <v>2364369.401</v>
      </c>
      <c r="F447" s="11">
        <v>281373.5702153846</v>
      </c>
    </row>
    <row r="448" ht="14.25" customHeight="1">
      <c r="A448" s="6">
        <v>43980.0</v>
      </c>
      <c r="B448" s="7" t="s">
        <v>16</v>
      </c>
      <c r="C448" s="7">
        <v>84433.5</v>
      </c>
      <c r="D448" s="7">
        <v>7228395.0</v>
      </c>
      <c r="E448" s="7">
        <v>5795765.936</v>
      </c>
      <c r="F448" s="8">
        <v>264121.66047692305</v>
      </c>
    </row>
    <row r="449" ht="14.25" customHeight="1">
      <c r="A449" s="9">
        <v>43969.0</v>
      </c>
      <c r="B449" s="10" t="s">
        <v>17</v>
      </c>
      <c r="C449" s="10">
        <v>36655.5</v>
      </c>
      <c r="D449" s="10">
        <v>3360135.0</v>
      </c>
      <c r="E449" s="10">
        <v>2596293.8219999997</v>
      </c>
      <c r="F449" s="11">
        <v>202175.53846153847</v>
      </c>
    </row>
    <row r="450" ht="14.25" customHeight="1">
      <c r="A450" s="6">
        <v>43965.0</v>
      </c>
      <c r="B450" s="7" t="s">
        <v>17</v>
      </c>
      <c r="C450" s="7">
        <v>33886.5</v>
      </c>
      <c r="D450" s="7">
        <v>3166479.0</v>
      </c>
      <c r="E450" s="7">
        <v>2522496.074</v>
      </c>
      <c r="F450" s="8">
        <v>156584.5876923077</v>
      </c>
    </row>
    <row r="451" ht="14.25" customHeight="1">
      <c r="A451" s="9">
        <v>43966.0</v>
      </c>
      <c r="B451" s="10" t="s">
        <v>17</v>
      </c>
      <c r="C451" s="10">
        <v>41697.0</v>
      </c>
      <c r="D451" s="10">
        <v>3772258.5</v>
      </c>
      <c r="E451" s="10">
        <v>3092823.668</v>
      </c>
      <c r="F451" s="11">
        <v>167669.98904615385</v>
      </c>
    </row>
    <row r="452" ht="14.25" customHeight="1">
      <c r="A452" s="6">
        <v>43980.0</v>
      </c>
      <c r="B452" s="7" t="s">
        <v>17</v>
      </c>
      <c r="C452" s="7">
        <v>44569.5</v>
      </c>
      <c r="D452" s="7">
        <v>4108596.0</v>
      </c>
      <c r="E452" s="7">
        <v>3229427.083</v>
      </c>
      <c r="F452" s="8">
        <v>121448.35925384614</v>
      </c>
    </row>
    <row r="453" ht="14.25" customHeight="1">
      <c r="A453" s="9">
        <v>43978.0</v>
      </c>
      <c r="B453" s="10" t="s">
        <v>18</v>
      </c>
      <c r="C453" s="10">
        <v>18069.0</v>
      </c>
      <c r="D453" s="10">
        <v>1603084.5</v>
      </c>
      <c r="E453" s="10">
        <v>1312709.009</v>
      </c>
      <c r="F453" s="11">
        <v>241760.2076923077</v>
      </c>
    </row>
    <row r="454" ht="14.25" customHeight="1">
      <c r="A454" s="6">
        <v>43973.0</v>
      </c>
      <c r="B454" s="7" t="s">
        <v>18</v>
      </c>
      <c r="C454" s="7">
        <v>21483.0</v>
      </c>
      <c r="D454" s="7">
        <v>1774329.0</v>
      </c>
      <c r="E454" s="7">
        <v>1460215.51</v>
      </c>
      <c r="F454" s="8">
        <v>181509.9923076923</v>
      </c>
    </row>
    <row r="455" ht="14.25" customHeight="1">
      <c r="A455" s="9">
        <v>43983.0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</v>
      </c>
    </row>
    <row r="456" ht="14.25" customHeight="1">
      <c r="A456" s="6">
        <v>43962.0</v>
      </c>
      <c r="B456" s="7" t="s">
        <v>18</v>
      </c>
      <c r="C456" s="7">
        <v>12238.5</v>
      </c>
      <c r="D456" s="7">
        <v>1096002.0</v>
      </c>
      <c r="E456" s="7">
        <v>872395.086</v>
      </c>
      <c r="F456" s="8">
        <v>218895.4076923077</v>
      </c>
    </row>
    <row r="457" ht="14.25" customHeight="1">
      <c r="A457" s="9">
        <v>43969.0</v>
      </c>
      <c r="B457" s="10" t="s">
        <v>18</v>
      </c>
      <c r="C457" s="10">
        <v>14290.5</v>
      </c>
      <c r="D457" s="10">
        <v>1246162.5</v>
      </c>
      <c r="E457" s="10">
        <v>983143.4899999999</v>
      </c>
      <c r="F457" s="11">
        <v>263823.3461538461</v>
      </c>
    </row>
    <row r="458" ht="14.25" customHeight="1">
      <c r="A458" s="6">
        <v>43965.0</v>
      </c>
      <c r="B458" s="7" t="s">
        <v>18</v>
      </c>
      <c r="C458" s="7">
        <v>14385.0</v>
      </c>
      <c r="D458" s="7">
        <v>1223491.5</v>
      </c>
      <c r="E458" s="7">
        <v>977925.731</v>
      </c>
      <c r="F458" s="8">
        <v>285708.40769230766</v>
      </c>
    </row>
    <row r="459" ht="14.25" customHeight="1">
      <c r="A459" s="9">
        <v>43966.0</v>
      </c>
      <c r="B459" s="10" t="s">
        <v>18</v>
      </c>
      <c r="C459" s="10">
        <v>16498.5</v>
      </c>
      <c r="D459" s="10">
        <v>1370482.5</v>
      </c>
      <c r="E459" s="10">
        <v>1095453.123</v>
      </c>
      <c r="F459" s="11">
        <v>250663.8153846154</v>
      </c>
    </row>
    <row r="460" ht="14.25" customHeight="1">
      <c r="A460" s="6">
        <v>43978.0</v>
      </c>
      <c r="B460" s="7" t="s">
        <v>19</v>
      </c>
      <c r="C460" s="7">
        <v>13203.0</v>
      </c>
      <c r="D460" s="7">
        <v>1211457.0</v>
      </c>
      <c r="E460" s="7">
        <v>964554.2109999999</v>
      </c>
      <c r="F460" s="8">
        <v>156117.80846153846</v>
      </c>
    </row>
    <row r="461" ht="14.25" customHeight="1">
      <c r="A461" s="9">
        <v>43973.0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186035.5973846154</v>
      </c>
    </row>
    <row r="462" ht="14.25" customHeight="1">
      <c r="A462" s="6">
        <v>43983.0</v>
      </c>
      <c r="B462" s="7" t="s">
        <v>19</v>
      </c>
      <c r="C462" s="7">
        <v>16476.0</v>
      </c>
      <c r="D462" s="7">
        <v>1565632.5</v>
      </c>
      <c r="E462" s="7">
        <v>1234060.991</v>
      </c>
      <c r="F462" s="8">
        <v>194827.87672307692</v>
      </c>
    </row>
    <row r="463" ht="14.25" customHeight="1">
      <c r="A463" s="9">
        <v>43962.0</v>
      </c>
      <c r="B463" s="10" t="s">
        <v>19</v>
      </c>
      <c r="C463" s="10">
        <v>12654.0</v>
      </c>
      <c r="D463" s="10">
        <v>1081158.0</v>
      </c>
      <c r="E463" s="10">
        <v>927698.8229999999</v>
      </c>
      <c r="F463" s="11">
        <v>197299.08136923076</v>
      </c>
    </row>
    <row r="464" ht="14.25" customHeight="1">
      <c r="A464" s="6">
        <v>43980.0</v>
      </c>
      <c r="B464" s="7" t="s">
        <v>18</v>
      </c>
      <c r="C464" s="7">
        <v>19647.0</v>
      </c>
      <c r="D464" s="7">
        <v>1764669.0</v>
      </c>
      <c r="E464" s="7">
        <v>1409485.402</v>
      </c>
      <c r="F464" s="8">
        <v>182377.32307692306</v>
      </c>
    </row>
    <row r="465" ht="14.25" customHeight="1">
      <c r="A465" s="9">
        <v>43969.0</v>
      </c>
      <c r="B465" s="10" t="s">
        <v>19</v>
      </c>
      <c r="C465" s="10">
        <v>12450.0</v>
      </c>
      <c r="D465" s="10">
        <v>1115146.5</v>
      </c>
      <c r="E465" s="10">
        <v>897555.5109999999</v>
      </c>
      <c r="F465" s="11">
        <v>150809.61403846153</v>
      </c>
    </row>
    <row r="466" ht="14.25" customHeight="1">
      <c r="A466" s="6">
        <v>43965.0</v>
      </c>
      <c r="B466" s="7" t="s">
        <v>19</v>
      </c>
      <c r="C466" s="7">
        <v>11161.5</v>
      </c>
      <c r="D466" s="7">
        <v>963502.5</v>
      </c>
      <c r="E466" s="7">
        <v>812962.6780000001</v>
      </c>
      <c r="F466" s="8">
        <v>193118.3230769231</v>
      </c>
    </row>
    <row r="467" ht="14.25" customHeight="1">
      <c r="A467" s="9">
        <v>43966.0</v>
      </c>
      <c r="B467" s="10" t="s">
        <v>19</v>
      </c>
      <c r="C467" s="10">
        <v>12229.5</v>
      </c>
      <c r="D467" s="10">
        <v>1122730.5</v>
      </c>
      <c r="E467" s="10">
        <v>921566.447</v>
      </c>
      <c r="F467" s="11">
        <v>147588.0</v>
      </c>
    </row>
    <row r="468" ht="14.25" customHeight="1">
      <c r="A468" s="6">
        <v>43978.0</v>
      </c>
      <c r="B468" s="7" t="s">
        <v>20</v>
      </c>
      <c r="C468" s="7">
        <v>28050.0</v>
      </c>
      <c r="D468" s="7">
        <v>2458555.5</v>
      </c>
      <c r="E468" s="7">
        <v>1979227.4479999999</v>
      </c>
      <c r="F468" s="8">
        <v>122940.53466153846</v>
      </c>
    </row>
    <row r="469" ht="14.25" customHeight="1">
      <c r="A469" s="9">
        <v>43973.0</v>
      </c>
      <c r="B469" s="10" t="s">
        <v>20</v>
      </c>
      <c r="C469" s="10">
        <v>30781.5</v>
      </c>
      <c r="D469" s="10">
        <v>2540715.0</v>
      </c>
      <c r="E469" s="10">
        <v>2108065.569</v>
      </c>
      <c r="F469" s="11">
        <v>90381.16923076923</v>
      </c>
    </row>
    <row r="470" ht="14.25" customHeight="1">
      <c r="A470" s="6">
        <v>43983.0</v>
      </c>
      <c r="B470" s="7" t="s">
        <v>20</v>
      </c>
      <c r="C470" s="7">
        <v>27960.0</v>
      </c>
      <c r="D470" s="7">
        <v>2538967.5</v>
      </c>
      <c r="E470" s="7">
        <v>1983277.5959999997</v>
      </c>
      <c r="F470" s="8">
        <v>134168.53587692307</v>
      </c>
    </row>
    <row r="471" ht="14.25" customHeight="1">
      <c r="A471" s="9">
        <v>43962.0</v>
      </c>
      <c r="B471" s="10" t="s">
        <v>20</v>
      </c>
      <c r="C471" s="10">
        <v>23629.5</v>
      </c>
      <c r="D471" s="10">
        <v>2164365.0</v>
      </c>
      <c r="E471" s="10">
        <v>1678039.859</v>
      </c>
      <c r="F471" s="11">
        <v>151098.71538461538</v>
      </c>
    </row>
    <row r="472" ht="14.25" customHeight="1">
      <c r="A472" s="6">
        <v>43980.0</v>
      </c>
      <c r="B472" s="7" t="s">
        <v>19</v>
      </c>
      <c r="C472" s="7">
        <v>17052.0</v>
      </c>
      <c r="D472" s="7">
        <v>1549020.0</v>
      </c>
      <c r="E472" s="7">
        <v>1246591.997</v>
      </c>
      <c r="F472" s="8">
        <v>104864.4846153846</v>
      </c>
    </row>
    <row r="473" ht="14.25" customHeight="1">
      <c r="A473" s="9">
        <v>43969.0</v>
      </c>
      <c r="B473" s="10" t="s">
        <v>20</v>
      </c>
      <c r="C473" s="10">
        <v>27181.5</v>
      </c>
      <c r="D473" s="10">
        <v>2324490.0</v>
      </c>
      <c r="E473" s="10">
        <v>1796459.479</v>
      </c>
      <c r="F473" s="11">
        <v>129793.76153846155</v>
      </c>
    </row>
    <row r="474" ht="14.25" customHeight="1">
      <c r="A474" s="6">
        <v>43965.0</v>
      </c>
      <c r="B474" s="7" t="s">
        <v>20</v>
      </c>
      <c r="C474" s="7">
        <v>25656.0</v>
      </c>
      <c r="D474" s="7">
        <v>2225341.5</v>
      </c>
      <c r="E474" s="7">
        <v>1766450.28</v>
      </c>
      <c r="F474" s="8">
        <v>91828.48910769231</v>
      </c>
    </row>
    <row r="475" ht="14.25" customHeight="1">
      <c r="A475" s="9">
        <v>43966.0</v>
      </c>
      <c r="B475" s="10" t="s">
        <v>20</v>
      </c>
      <c r="C475" s="10">
        <v>29283.0</v>
      </c>
      <c r="D475" s="10">
        <v>2477487.0</v>
      </c>
      <c r="E475" s="10">
        <v>2005719.3469999998</v>
      </c>
      <c r="F475" s="11">
        <v>77264.32873846154</v>
      </c>
    </row>
    <row r="476" ht="14.25" customHeight="1">
      <c r="A476" s="6">
        <v>43980.0</v>
      </c>
      <c r="B476" s="7" t="s">
        <v>20</v>
      </c>
      <c r="C476" s="7">
        <v>32782.5</v>
      </c>
      <c r="D476" s="7">
        <v>2854741.5</v>
      </c>
      <c r="E476" s="7">
        <v>2293738.957</v>
      </c>
      <c r="F476" s="8">
        <v>58400.7992</v>
      </c>
    </row>
    <row r="477" ht="14.25" customHeight="1">
      <c r="A477" s="9">
        <v>43978.0</v>
      </c>
      <c r="B477" s="10" t="s">
        <v>21</v>
      </c>
      <c r="C477" s="10">
        <v>215592.0</v>
      </c>
      <c r="D477" s="10">
        <v>2.23423005E7</v>
      </c>
      <c r="E477" s="10">
        <v>1.6240834603999998E7</v>
      </c>
      <c r="F477" s="11">
        <v>285591.72307692305</v>
      </c>
    </row>
    <row r="478" ht="14.25" customHeight="1">
      <c r="A478" s="6">
        <v>43973.0</v>
      </c>
      <c r="B478" s="7" t="s">
        <v>21</v>
      </c>
      <c r="C478" s="7">
        <v>228334.5</v>
      </c>
      <c r="D478" s="7">
        <v>2.23807725E7</v>
      </c>
      <c r="E478" s="7">
        <v>1.7031004073E7</v>
      </c>
      <c r="F478" s="8">
        <v>275436.23846153845</v>
      </c>
    </row>
    <row r="479" ht="14.25" customHeight="1">
      <c r="A479" s="9">
        <v>43983.0</v>
      </c>
      <c r="B479" s="10" t="s">
        <v>21</v>
      </c>
      <c r="C479" s="10">
        <v>188776.5</v>
      </c>
      <c r="D479" s="10">
        <v>1.94653725E7</v>
      </c>
      <c r="E479" s="10">
        <v>1.4354207141999999E7</v>
      </c>
      <c r="F479" s="11">
        <v>467483.70729230763</v>
      </c>
    </row>
    <row r="480" ht="14.25" customHeight="1">
      <c r="A480" s="6">
        <v>43962.0</v>
      </c>
      <c r="B480" s="7" t="s">
        <v>21</v>
      </c>
      <c r="C480" s="7">
        <v>175293.0</v>
      </c>
      <c r="D480" s="7">
        <v>1.7919144E7</v>
      </c>
      <c r="E480" s="7">
        <v>1.2903628609E7</v>
      </c>
      <c r="F480" s="8">
        <v>355401.6076923077</v>
      </c>
    </row>
    <row r="481" ht="14.25" customHeight="1">
      <c r="A481" s="9">
        <v>43969.0</v>
      </c>
      <c r="B481" s="10" t="s">
        <v>21</v>
      </c>
      <c r="C481" s="10">
        <v>201999.0</v>
      </c>
      <c r="D481" s="10">
        <v>2.04224355E7</v>
      </c>
      <c r="E481" s="10">
        <v>1.4541626939999998E7</v>
      </c>
      <c r="F481" s="11">
        <v>279597.8615384615</v>
      </c>
    </row>
    <row r="482" ht="14.25" customHeight="1">
      <c r="A482" s="6">
        <v>43965.0</v>
      </c>
      <c r="B482" s="7" t="s">
        <v>21</v>
      </c>
      <c r="C482" s="7">
        <v>197946.0</v>
      </c>
      <c r="D482" s="7">
        <v>1.99424355E7</v>
      </c>
      <c r="E482" s="7">
        <v>1.4561721772999998E7</v>
      </c>
      <c r="F482" s="8">
        <v>363750.5569230769</v>
      </c>
    </row>
    <row r="483" ht="14.25" customHeight="1">
      <c r="A483" s="9">
        <v>43966.0</v>
      </c>
      <c r="B483" s="10" t="s">
        <v>21</v>
      </c>
      <c r="C483" s="10">
        <v>230896.5</v>
      </c>
      <c r="D483" s="10">
        <v>2.3085222E7</v>
      </c>
      <c r="E483" s="10">
        <v>1.7099721813E7</v>
      </c>
      <c r="F483" s="11">
        <v>329754.6307692308</v>
      </c>
    </row>
    <row r="484" ht="14.25" customHeight="1">
      <c r="A484" s="6">
        <v>43978.0</v>
      </c>
      <c r="B484" s="7" t="s">
        <v>22</v>
      </c>
      <c r="C484" s="7">
        <v>203532.0</v>
      </c>
      <c r="D484" s="7">
        <v>2.09533245E7</v>
      </c>
      <c r="E484" s="7">
        <v>1.5301120521000002E7</v>
      </c>
      <c r="F484" s="8">
        <v>356339.00384615385</v>
      </c>
    </row>
    <row r="485" ht="14.25" customHeight="1">
      <c r="A485" s="9">
        <v>43973.0</v>
      </c>
      <c r="B485" s="10" t="s">
        <v>22</v>
      </c>
      <c r="C485" s="10">
        <v>214428.0</v>
      </c>
      <c r="D485" s="10">
        <v>2.08125855E7</v>
      </c>
      <c r="E485" s="10">
        <v>1.5857489721E7</v>
      </c>
      <c r="F485" s="11">
        <v>256649.1615384615</v>
      </c>
    </row>
    <row r="486" ht="14.25" customHeight="1">
      <c r="A486" s="6">
        <v>43983.0</v>
      </c>
      <c r="B486" s="7" t="s">
        <v>22</v>
      </c>
      <c r="C486" s="7">
        <v>183228.0</v>
      </c>
      <c r="D486" s="7">
        <v>1.89141945E7</v>
      </c>
      <c r="E486" s="7">
        <v>1.3959979012E7</v>
      </c>
      <c r="F486" s="8">
        <v>464232.5484615384</v>
      </c>
    </row>
    <row r="487" ht="14.25" customHeight="1">
      <c r="A487" s="9">
        <v>43962.0</v>
      </c>
      <c r="B487" s="10" t="s">
        <v>22</v>
      </c>
      <c r="C487" s="10">
        <v>166948.5</v>
      </c>
      <c r="D487" s="10">
        <v>1.6971231E7</v>
      </c>
      <c r="E487" s="10">
        <v>1.2200989641E7</v>
      </c>
      <c r="F487" s="11">
        <v>416475.0769230769</v>
      </c>
    </row>
    <row r="488" ht="14.25" customHeight="1">
      <c r="A488" s="6">
        <v>43980.0</v>
      </c>
      <c r="B488" s="7" t="s">
        <v>21</v>
      </c>
      <c r="C488" s="7">
        <v>232102.5</v>
      </c>
      <c r="D488" s="7">
        <v>2.31204435E7</v>
      </c>
      <c r="E488" s="7">
        <v>1.7632080519E7</v>
      </c>
      <c r="F488" s="8">
        <v>331721.6692307692</v>
      </c>
    </row>
    <row r="489" ht="14.25" customHeight="1">
      <c r="A489" s="9">
        <v>43969.0</v>
      </c>
      <c r="B489" s="10" t="s">
        <v>22</v>
      </c>
      <c r="C489" s="10">
        <v>196560.0</v>
      </c>
      <c r="D489" s="10">
        <v>1.9855122E7</v>
      </c>
      <c r="E489" s="10">
        <v>1.4172342451E7</v>
      </c>
      <c r="F489" s="11">
        <v>269626.3076923077</v>
      </c>
    </row>
    <row r="490" ht="14.25" customHeight="1">
      <c r="A490" s="6">
        <v>43965.0</v>
      </c>
      <c r="B490" s="7" t="s">
        <v>22</v>
      </c>
      <c r="C490" s="7">
        <v>186496.5</v>
      </c>
      <c r="D490" s="7">
        <v>1.8640998E7</v>
      </c>
      <c r="E490" s="7">
        <v>1.3641908621E7</v>
      </c>
      <c r="F490" s="8">
        <v>364896.93846153846</v>
      </c>
    </row>
    <row r="491" ht="14.25" customHeight="1">
      <c r="A491" s="9">
        <v>43966.0</v>
      </c>
      <c r="B491" s="10" t="s">
        <v>22</v>
      </c>
      <c r="C491" s="10">
        <v>219772.5</v>
      </c>
      <c r="D491" s="10">
        <v>2.18952945E7</v>
      </c>
      <c r="E491" s="10">
        <v>1.6241999308E7</v>
      </c>
      <c r="F491" s="11">
        <v>317179.04615384614</v>
      </c>
    </row>
    <row r="492" ht="14.25" customHeight="1">
      <c r="A492" s="6">
        <v>43980.0</v>
      </c>
      <c r="B492" s="7" t="s">
        <v>22</v>
      </c>
      <c r="C492" s="7">
        <v>226476.0</v>
      </c>
      <c r="D492" s="7">
        <v>2.24161515E7</v>
      </c>
      <c r="E492" s="7">
        <v>1.7175270221E7</v>
      </c>
      <c r="F492" s="8">
        <v>306548.18846153846</v>
      </c>
    </row>
    <row r="493" ht="14.25" customHeight="1">
      <c r="A493" s="9">
        <v>43978.0</v>
      </c>
      <c r="B493" s="10" t="s">
        <v>24</v>
      </c>
      <c r="C493" s="10">
        <v>8362.5</v>
      </c>
      <c r="D493" s="10">
        <v>687684.0</v>
      </c>
      <c r="E493" s="10">
        <v>597300.389</v>
      </c>
      <c r="F493" s="11">
        <v>48380.49925384615</v>
      </c>
    </row>
    <row r="494" ht="14.25" customHeight="1">
      <c r="A494" s="6">
        <v>43973.0</v>
      </c>
      <c r="B494" s="7" t="s">
        <v>23</v>
      </c>
      <c r="C494" s="7">
        <v>17008.5</v>
      </c>
      <c r="D494" s="7">
        <v>1398771.0</v>
      </c>
      <c r="E494" s="7">
        <v>1144986.397</v>
      </c>
      <c r="F494" s="8">
        <v>158820.4117</v>
      </c>
    </row>
    <row r="495" ht="14.25" customHeight="1">
      <c r="A495" s="9">
        <v>43983.0</v>
      </c>
      <c r="B495" s="10" t="s">
        <v>25</v>
      </c>
      <c r="C495" s="10">
        <v>5166.0</v>
      </c>
      <c r="D495" s="10">
        <v>389013.0</v>
      </c>
      <c r="E495" s="10">
        <v>357353.073</v>
      </c>
      <c r="F495" s="11">
        <v>141592.70844615385</v>
      </c>
    </row>
    <row r="496" ht="14.25" customHeight="1">
      <c r="A496" s="6">
        <v>43962.0</v>
      </c>
      <c r="B496" s="7" t="s">
        <v>23</v>
      </c>
      <c r="C496" s="7">
        <v>10941.0</v>
      </c>
      <c r="D496" s="7">
        <v>880356.0</v>
      </c>
      <c r="E496" s="7">
        <v>723289.055</v>
      </c>
      <c r="F496" s="8">
        <v>166333.5736307692</v>
      </c>
    </row>
    <row r="497" ht="14.25" customHeight="1">
      <c r="A497" s="9">
        <v>43969.0</v>
      </c>
      <c r="B497" s="10" t="s">
        <v>23</v>
      </c>
      <c r="C497" s="10">
        <v>14497.5</v>
      </c>
      <c r="D497" s="10">
        <v>1230711.0</v>
      </c>
      <c r="E497" s="10">
        <v>1005560.455</v>
      </c>
      <c r="F497" s="11">
        <v>171097.83406153845</v>
      </c>
    </row>
    <row r="498" ht="14.25" customHeight="1">
      <c r="A498" s="6">
        <v>43965.0</v>
      </c>
      <c r="B498" s="7" t="s">
        <v>23</v>
      </c>
      <c r="C498" s="7">
        <v>13810.5</v>
      </c>
      <c r="D498" s="7">
        <v>1131676.5</v>
      </c>
      <c r="E498" s="7">
        <v>966968.6359999999</v>
      </c>
      <c r="F498" s="8">
        <v>195740.02307692307</v>
      </c>
    </row>
    <row r="499" ht="14.25" customHeight="1">
      <c r="A499" s="9">
        <v>43966.0</v>
      </c>
      <c r="B499" s="10" t="s">
        <v>23</v>
      </c>
      <c r="C499" s="10">
        <v>13752.0</v>
      </c>
      <c r="D499" s="10">
        <v>1091040.0</v>
      </c>
      <c r="E499" s="10">
        <v>898790.646</v>
      </c>
      <c r="F499" s="11">
        <v>149313.46028461537</v>
      </c>
    </row>
    <row r="500" ht="14.25" customHeight="1">
      <c r="A500" s="6">
        <v>43978.0</v>
      </c>
      <c r="B500" s="7" t="s">
        <v>23</v>
      </c>
      <c r="C500" s="7">
        <v>15276.0</v>
      </c>
      <c r="D500" s="7">
        <v>1350199.5</v>
      </c>
      <c r="E500" s="7">
        <v>1100106.21</v>
      </c>
      <c r="F500" s="8">
        <v>107692.85196923077</v>
      </c>
    </row>
    <row r="501" ht="14.25" customHeight="1">
      <c r="A501" s="9">
        <v>43983.0</v>
      </c>
      <c r="B501" s="10" t="s">
        <v>26</v>
      </c>
      <c r="C501" s="10">
        <v>4408.5</v>
      </c>
      <c r="D501" s="10">
        <v>410892.0</v>
      </c>
      <c r="E501" s="10">
        <v>346029.05</v>
      </c>
      <c r="F501" s="11">
        <v>36168.75384615384</v>
      </c>
    </row>
    <row r="502" ht="14.25" customHeight="1">
      <c r="A502" s="6">
        <v>43980.0</v>
      </c>
      <c r="B502" s="7" t="s">
        <v>24</v>
      </c>
      <c r="C502" s="7">
        <v>9927.0</v>
      </c>
      <c r="D502" s="7">
        <v>850840.5</v>
      </c>
      <c r="E502" s="7">
        <v>733232.389</v>
      </c>
      <c r="F502" s="8">
        <v>51066.35384615384</v>
      </c>
    </row>
    <row r="503" ht="14.25" customHeight="1">
      <c r="A503" s="9">
        <v>43983.0</v>
      </c>
      <c r="B503" s="10" t="s">
        <v>24</v>
      </c>
      <c r="C503" s="10">
        <v>9474.0</v>
      </c>
      <c r="D503" s="10">
        <v>802447.5</v>
      </c>
      <c r="E503" s="10">
        <v>682814.146</v>
      </c>
      <c r="F503" s="11">
        <v>81560.98336923077</v>
      </c>
    </row>
    <row r="504" ht="14.25" customHeight="1">
      <c r="A504" s="6">
        <v>43980.0</v>
      </c>
      <c r="B504" s="7" t="s">
        <v>23</v>
      </c>
      <c r="C504" s="7">
        <v>16878.0</v>
      </c>
      <c r="D504" s="7">
        <v>1438255.5</v>
      </c>
      <c r="E504" s="7">
        <v>1180692.704</v>
      </c>
      <c r="F504" s="8">
        <v>102040.10621538461</v>
      </c>
    </row>
    <row r="505" ht="14.25" customHeight="1">
      <c r="A505" s="12">
        <v>43983.0</v>
      </c>
      <c r="B505" s="13" t="s">
        <v>23</v>
      </c>
      <c r="C505" s="13">
        <v>14238.0</v>
      </c>
      <c r="D505" s="13">
        <v>1293219.0</v>
      </c>
      <c r="E505" s="13">
        <v>1006008.1159999999</v>
      </c>
      <c r="F505" s="14">
        <v>129348.2923076923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2.86"/>
    <col customWidth="1" min="3" max="5" width="18.29"/>
    <col customWidth="1" min="6" max="26" width="8.71"/>
  </cols>
  <sheetData>
    <row r="1" ht="14.25" customHeight="1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ht="14.25" customHeight="1">
      <c r="A2" s="15">
        <v>43949.0</v>
      </c>
      <c r="B2" s="16" t="s">
        <v>16</v>
      </c>
      <c r="C2" s="16">
        <v>36.0</v>
      </c>
      <c r="D2" s="16">
        <v>4923.0</v>
      </c>
      <c r="E2" s="16">
        <v>4560.0</v>
      </c>
    </row>
    <row r="3" ht="14.25" customHeight="1">
      <c r="A3" s="15">
        <v>43949.0</v>
      </c>
      <c r="B3" s="16" t="s">
        <v>11</v>
      </c>
      <c r="C3" s="16">
        <v>31.0</v>
      </c>
      <c r="D3" s="16">
        <v>5465.0</v>
      </c>
      <c r="E3" s="16">
        <v>5096.0</v>
      </c>
    </row>
    <row r="4" ht="14.25" customHeight="1">
      <c r="A4" s="15">
        <v>43949.0</v>
      </c>
      <c r="B4" s="16" t="s">
        <v>17</v>
      </c>
      <c r="C4" s="16">
        <v>19.0</v>
      </c>
      <c r="D4" s="16">
        <v>1846.0</v>
      </c>
      <c r="E4" s="16">
        <v>1681.0</v>
      </c>
    </row>
    <row r="5" ht="14.25" customHeight="1">
      <c r="A5" s="15">
        <v>43949.0</v>
      </c>
      <c r="B5" s="16" t="s">
        <v>10</v>
      </c>
      <c r="C5" s="16">
        <v>18.0</v>
      </c>
      <c r="D5" s="16">
        <v>1539.0</v>
      </c>
      <c r="E5" s="16">
        <v>1404.0</v>
      </c>
    </row>
    <row r="6" ht="14.25" customHeight="1">
      <c r="A6" s="15">
        <v>43949.0</v>
      </c>
      <c r="B6" s="16" t="s">
        <v>20</v>
      </c>
      <c r="C6" s="16">
        <v>18.0</v>
      </c>
      <c r="D6" s="16">
        <v>1505.0</v>
      </c>
      <c r="E6" s="16">
        <v>1368.0</v>
      </c>
    </row>
    <row r="7" ht="14.25" customHeight="1">
      <c r="A7" s="15">
        <v>43949.0</v>
      </c>
      <c r="B7" s="16" t="s">
        <v>22</v>
      </c>
      <c r="C7" s="16">
        <v>54.0</v>
      </c>
      <c r="D7" s="16">
        <v>12306.0</v>
      </c>
      <c r="E7" s="16">
        <v>11532.0</v>
      </c>
    </row>
    <row r="8" ht="14.25" customHeight="1">
      <c r="A8" s="15">
        <v>43949.0</v>
      </c>
      <c r="B8" s="16" t="s">
        <v>21</v>
      </c>
      <c r="C8" s="16">
        <v>59.0</v>
      </c>
      <c r="D8" s="16">
        <v>12943.0</v>
      </c>
      <c r="E8" s="16">
        <v>12072.0</v>
      </c>
    </row>
    <row r="9" ht="14.25" customHeight="1">
      <c r="A9" s="15">
        <v>43949.0</v>
      </c>
      <c r="B9" s="16" t="s">
        <v>13</v>
      </c>
      <c r="C9" s="16">
        <v>17.0</v>
      </c>
      <c r="D9" s="16">
        <v>1439.0</v>
      </c>
      <c r="E9" s="16">
        <v>1265.0</v>
      </c>
    </row>
    <row r="10" ht="14.25" customHeight="1">
      <c r="A10" s="15">
        <v>43949.0</v>
      </c>
      <c r="B10" s="16" t="s">
        <v>23</v>
      </c>
      <c r="C10" s="16">
        <v>15.0</v>
      </c>
      <c r="D10" s="16">
        <v>636.0</v>
      </c>
      <c r="E10" s="16">
        <v>547.0</v>
      </c>
    </row>
    <row r="11" ht="14.25" customHeight="1">
      <c r="A11" s="15">
        <v>43949.0</v>
      </c>
      <c r="B11" s="16" t="s">
        <v>18</v>
      </c>
      <c r="C11" s="16">
        <v>15.0</v>
      </c>
      <c r="D11" s="16">
        <v>780.0</v>
      </c>
      <c r="E11" s="16">
        <v>690.0</v>
      </c>
    </row>
    <row r="12" ht="14.25" customHeight="1">
      <c r="A12" s="15">
        <v>43949.0</v>
      </c>
      <c r="B12" s="16" t="s">
        <v>15</v>
      </c>
      <c r="C12" s="16">
        <v>125.0</v>
      </c>
      <c r="D12" s="16">
        <v>20914.0</v>
      </c>
      <c r="E12" s="16">
        <v>19479.0</v>
      </c>
    </row>
    <row r="13" ht="14.25" customHeight="1">
      <c r="A13" s="15">
        <v>43949.0</v>
      </c>
      <c r="B13" s="16" t="s">
        <v>14</v>
      </c>
      <c r="C13" s="16">
        <v>128.0</v>
      </c>
      <c r="D13" s="16">
        <v>16450.0</v>
      </c>
      <c r="E13" s="16">
        <v>15320.0</v>
      </c>
    </row>
    <row r="14" ht="14.25" customHeight="1">
      <c r="A14" s="15">
        <v>43949.0</v>
      </c>
      <c r="B14" s="16" t="s">
        <v>12</v>
      </c>
      <c r="C14" s="16">
        <v>10.0</v>
      </c>
      <c r="D14" s="16">
        <v>580.0</v>
      </c>
      <c r="E14" s="16">
        <v>506.0</v>
      </c>
    </row>
    <row r="15" ht="14.25" customHeight="1">
      <c r="A15" s="15">
        <v>43950.0</v>
      </c>
      <c r="B15" s="16" t="s">
        <v>16</v>
      </c>
      <c r="C15" s="16">
        <v>36.0</v>
      </c>
      <c r="D15" s="16">
        <v>4937.0</v>
      </c>
      <c r="E15" s="16">
        <v>4561.0</v>
      </c>
    </row>
    <row r="16" ht="14.25" customHeight="1">
      <c r="A16" s="15">
        <v>43950.0</v>
      </c>
      <c r="B16" s="16" t="s">
        <v>11</v>
      </c>
      <c r="C16" s="16">
        <v>31.0</v>
      </c>
      <c r="D16" s="16">
        <v>5378.0</v>
      </c>
      <c r="E16" s="16">
        <v>4985.0</v>
      </c>
    </row>
    <row r="17" ht="14.25" customHeight="1">
      <c r="A17" s="15">
        <v>43950.0</v>
      </c>
      <c r="B17" s="16" t="s">
        <v>17</v>
      </c>
      <c r="C17" s="16">
        <v>19.0</v>
      </c>
      <c r="D17" s="16">
        <v>1676.0</v>
      </c>
      <c r="E17" s="16">
        <v>1516.0</v>
      </c>
    </row>
    <row r="18" ht="14.25" customHeight="1">
      <c r="A18" s="15">
        <v>43950.0</v>
      </c>
      <c r="B18" s="16" t="s">
        <v>10</v>
      </c>
      <c r="C18" s="16">
        <v>18.0</v>
      </c>
      <c r="D18" s="16">
        <v>1684.0</v>
      </c>
      <c r="E18" s="16">
        <v>1528.0</v>
      </c>
    </row>
    <row r="19" ht="14.25" customHeight="1">
      <c r="A19" s="15">
        <v>43950.0</v>
      </c>
      <c r="B19" s="16" t="s">
        <v>20</v>
      </c>
      <c r="C19" s="16">
        <v>18.0</v>
      </c>
      <c r="D19" s="16">
        <v>1599.0</v>
      </c>
      <c r="E19" s="16">
        <v>1450.0</v>
      </c>
    </row>
    <row r="20" ht="14.25" customHeight="1">
      <c r="A20" s="15">
        <v>43950.0</v>
      </c>
      <c r="B20" s="16" t="s">
        <v>22</v>
      </c>
      <c r="C20" s="16">
        <v>54.0</v>
      </c>
      <c r="D20" s="16">
        <v>12747.0</v>
      </c>
      <c r="E20" s="16">
        <v>11884.0</v>
      </c>
    </row>
    <row r="21" ht="14.25" customHeight="1">
      <c r="A21" s="15">
        <v>43950.0</v>
      </c>
      <c r="B21" s="16" t="s">
        <v>21</v>
      </c>
      <c r="C21" s="16">
        <v>59.0</v>
      </c>
      <c r="D21" s="16">
        <v>13186.0</v>
      </c>
      <c r="E21" s="16">
        <v>12251.0</v>
      </c>
    </row>
    <row r="22" ht="14.25" customHeight="1">
      <c r="A22" s="15">
        <v>43950.0</v>
      </c>
      <c r="B22" s="16" t="s">
        <v>13</v>
      </c>
      <c r="C22" s="16">
        <v>18.0</v>
      </c>
      <c r="D22" s="16">
        <v>1534.0</v>
      </c>
      <c r="E22" s="16">
        <v>1369.0</v>
      </c>
    </row>
    <row r="23" ht="14.25" customHeight="1">
      <c r="A23" s="15">
        <v>43950.0</v>
      </c>
      <c r="B23" s="16" t="s">
        <v>23</v>
      </c>
      <c r="C23" s="16">
        <v>15.0</v>
      </c>
      <c r="D23" s="16">
        <v>659.0</v>
      </c>
      <c r="E23" s="16">
        <v>575.0</v>
      </c>
    </row>
    <row r="24" ht="14.25" customHeight="1">
      <c r="A24" s="15">
        <v>43950.0</v>
      </c>
      <c r="B24" s="16" t="s">
        <v>18</v>
      </c>
      <c r="C24" s="16">
        <v>15.0</v>
      </c>
      <c r="D24" s="16">
        <v>786.0</v>
      </c>
      <c r="E24" s="16">
        <v>695.0</v>
      </c>
    </row>
    <row r="25" ht="14.25" customHeight="1">
      <c r="A25" s="15">
        <v>43950.0</v>
      </c>
      <c r="B25" s="16" t="s">
        <v>15</v>
      </c>
      <c r="C25" s="16">
        <v>125.0</v>
      </c>
      <c r="D25" s="16">
        <v>21863.0</v>
      </c>
      <c r="E25" s="16">
        <v>20160.0</v>
      </c>
    </row>
    <row r="26" ht="14.25" customHeight="1">
      <c r="A26" s="15">
        <v>43950.0</v>
      </c>
      <c r="B26" s="16" t="s">
        <v>14</v>
      </c>
      <c r="C26" s="16">
        <v>128.0</v>
      </c>
      <c r="D26" s="16">
        <v>17368.0</v>
      </c>
      <c r="E26" s="16">
        <v>16077.0</v>
      </c>
    </row>
    <row r="27" ht="14.25" customHeight="1">
      <c r="A27" s="15">
        <v>43950.0</v>
      </c>
      <c r="B27" s="16" t="s">
        <v>12</v>
      </c>
      <c r="C27" s="16">
        <v>10.0</v>
      </c>
      <c r="D27" s="16">
        <v>502.0</v>
      </c>
      <c r="E27" s="16">
        <v>433.0</v>
      </c>
    </row>
    <row r="28" ht="14.25" customHeight="1">
      <c r="A28" s="15">
        <v>43951.0</v>
      </c>
      <c r="B28" s="16" t="s">
        <v>16</v>
      </c>
      <c r="C28" s="16">
        <v>36.0</v>
      </c>
      <c r="D28" s="16">
        <v>5143.0</v>
      </c>
      <c r="E28" s="16">
        <v>4715.0</v>
      </c>
    </row>
    <row r="29" ht="14.25" customHeight="1">
      <c r="A29" s="15">
        <v>43951.0</v>
      </c>
      <c r="B29" s="16" t="s">
        <v>11</v>
      </c>
      <c r="C29" s="16">
        <v>31.0</v>
      </c>
      <c r="D29" s="16">
        <v>5120.0</v>
      </c>
      <c r="E29" s="16">
        <v>4737.0</v>
      </c>
    </row>
    <row r="30" ht="14.25" customHeight="1">
      <c r="A30" s="15">
        <v>43951.0</v>
      </c>
      <c r="B30" s="16" t="s">
        <v>17</v>
      </c>
      <c r="C30" s="16">
        <v>20.0</v>
      </c>
      <c r="D30" s="16">
        <v>1756.0</v>
      </c>
      <c r="E30" s="16">
        <v>1586.0</v>
      </c>
    </row>
    <row r="31" ht="14.25" customHeight="1">
      <c r="A31" s="15">
        <v>43951.0</v>
      </c>
      <c r="B31" s="16" t="s">
        <v>10</v>
      </c>
      <c r="C31" s="16">
        <v>19.0</v>
      </c>
      <c r="D31" s="16">
        <v>1712.0</v>
      </c>
      <c r="E31" s="16">
        <v>1552.0</v>
      </c>
    </row>
    <row r="32" ht="14.25" customHeight="1">
      <c r="A32" s="15">
        <v>43951.0</v>
      </c>
      <c r="B32" s="16" t="s">
        <v>20</v>
      </c>
      <c r="C32" s="16">
        <v>19.0</v>
      </c>
      <c r="D32" s="16">
        <v>1662.0</v>
      </c>
      <c r="E32" s="16">
        <v>1506.0</v>
      </c>
    </row>
    <row r="33" ht="14.25" customHeight="1">
      <c r="A33" s="15">
        <v>43951.0</v>
      </c>
      <c r="B33" s="16" t="s">
        <v>22</v>
      </c>
      <c r="C33" s="16">
        <v>54.0</v>
      </c>
      <c r="D33" s="16">
        <v>12817.0</v>
      </c>
      <c r="E33" s="16">
        <v>11865.0</v>
      </c>
    </row>
    <row r="34" ht="14.25" customHeight="1">
      <c r="A34" s="15">
        <v>43951.0</v>
      </c>
      <c r="B34" s="16" t="s">
        <v>21</v>
      </c>
      <c r="C34" s="16">
        <v>59.0</v>
      </c>
      <c r="D34" s="16">
        <v>13251.0</v>
      </c>
      <c r="E34" s="16">
        <v>12255.0</v>
      </c>
    </row>
    <row r="35" ht="14.25" customHeight="1">
      <c r="A35" s="15">
        <v>43951.0</v>
      </c>
      <c r="B35" s="16" t="s">
        <v>13</v>
      </c>
      <c r="C35" s="16">
        <v>19.0</v>
      </c>
      <c r="D35" s="16">
        <v>1499.0</v>
      </c>
      <c r="E35" s="16">
        <v>1322.0</v>
      </c>
    </row>
    <row r="36" ht="14.25" customHeight="1">
      <c r="A36" s="15">
        <v>43951.0</v>
      </c>
      <c r="B36" s="16" t="s">
        <v>23</v>
      </c>
      <c r="C36" s="16">
        <v>15.0</v>
      </c>
      <c r="D36" s="16">
        <v>644.0</v>
      </c>
      <c r="E36" s="16">
        <v>550.0</v>
      </c>
    </row>
    <row r="37" ht="14.25" customHeight="1">
      <c r="A37" s="15">
        <v>43951.0</v>
      </c>
      <c r="B37" s="16" t="s">
        <v>18</v>
      </c>
      <c r="C37" s="16">
        <v>15.0</v>
      </c>
      <c r="D37" s="16">
        <v>791.0</v>
      </c>
      <c r="E37" s="16">
        <v>691.0</v>
      </c>
    </row>
    <row r="38" ht="14.25" customHeight="1">
      <c r="A38" s="15">
        <v>43951.0</v>
      </c>
      <c r="B38" s="16" t="s">
        <v>19</v>
      </c>
      <c r="C38" s="16">
        <v>15.0</v>
      </c>
      <c r="D38" s="16">
        <v>262.0</v>
      </c>
      <c r="E38" s="16">
        <v>195.0</v>
      </c>
    </row>
    <row r="39" ht="14.25" customHeight="1">
      <c r="A39" s="15">
        <v>43951.0</v>
      </c>
      <c r="B39" s="16" t="s">
        <v>15</v>
      </c>
      <c r="C39" s="16">
        <v>125.0</v>
      </c>
      <c r="D39" s="16">
        <v>22368.0</v>
      </c>
      <c r="E39" s="16">
        <v>20625.0</v>
      </c>
    </row>
    <row r="40" ht="14.25" customHeight="1">
      <c r="A40" s="15">
        <v>43951.0</v>
      </c>
      <c r="B40" s="16" t="s">
        <v>14</v>
      </c>
      <c r="C40" s="16">
        <v>129.0</v>
      </c>
      <c r="D40" s="16">
        <v>18042.0</v>
      </c>
      <c r="E40" s="16">
        <v>16631.0</v>
      </c>
    </row>
    <row r="41" ht="14.25" customHeight="1">
      <c r="A41" s="15">
        <v>43951.0</v>
      </c>
      <c r="B41" s="16" t="s">
        <v>12</v>
      </c>
      <c r="C41" s="16">
        <v>10.0</v>
      </c>
      <c r="D41" s="16">
        <v>448.0</v>
      </c>
      <c r="E41" s="16">
        <v>376.0</v>
      </c>
    </row>
    <row r="42" ht="14.25" customHeight="1">
      <c r="A42" s="15">
        <v>43952.0</v>
      </c>
      <c r="B42" s="16" t="s">
        <v>16</v>
      </c>
      <c r="C42" s="16">
        <v>36.0</v>
      </c>
      <c r="D42" s="16">
        <v>5457.0</v>
      </c>
      <c r="E42" s="16">
        <v>4916.0</v>
      </c>
    </row>
    <row r="43" ht="14.25" customHeight="1">
      <c r="A43" s="15">
        <v>43952.0</v>
      </c>
      <c r="B43" s="16" t="s">
        <v>11</v>
      </c>
      <c r="C43" s="16">
        <v>31.0</v>
      </c>
      <c r="D43" s="16">
        <v>6118.0</v>
      </c>
      <c r="E43" s="16">
        <v>5564.0</v>
      </c>
    </row>
    <row r="44" ht="14.25" customHeight="1">
      <c r="A44" s="15">
        <v>43952.0</v>
      </c>
      <c r="B44" s="16" t="s">
        <v>17</v>
      </c>
      <c r="C44" s="16">
        <v>20.0</v>
      </c>
      <c r="D44" s="16">
        <v>2468.0</v>
      </c>
      <c r="E44" s="16">
        <v>2221.0</v>
      </c>
    </row>
    <row r="45" ht="14.25" customHeight="1">
      <c r="A45" s="15">
        <v>43952.0</v>
      </c>
      <c r="B45" s="16" t="s">
        <v>10</v>
      </c>
      <c r="C45" s="16">
        <v>18.0</v>
      </c>
      <c r="D45" s="16">
        <v>1826.0</v>
      </c>
      <c r="E45" s="16">
        <v>1633.0</v>
      </c>
    </row>
    <row r="46" ht="14.25" customHeight="1">
      <c r="A46" s="15">
        <v>43952.0</v>
      </c>
      <c r="B46" s="16" t="s">
        <v>20</v>
      </c>
      <c r="C46" s="16">
        <v>19.0</v>
      </c>
      <c r="D46" s="16">
        <v>1987.0</v>
      </c>
      <c r="E46" s="16">
        <v>1791.0</v>
      </c>
    </row>
    <row r="47" ht="14.25" customHeight="1">
      <c r="A47" s="15">
        <v>43952.0</v>
      </c>
      <c r="B47" s="16" t="s">
        <v>22</v>
      </c>
      <c r="C47" s="16">
        <v>54.0</v>
      </c>
      <c r="D47" s="16">
        <v>14205.0</v>
      </c>
      <c r="E47" s="16">
        <v>13026.0</v>
      </c>
    </row>
    <row r="48" ht="14.25" customHeight="1">
      <c r="A48" s="15">
        <v>43952.0</v>
      </c>
      <c r="B48" s="16" t="s">
        <v>21</v>
      </c>
      <c r="C48" s="16">
        <v>59.0</v>
      </c>
      <c r="D48" s="16">
        <v>15222.0</v>
      </c>
      <c r="E48" s="16">
        <v>13873.0</v>
      </c>
    </row>
    <row r="49" ht="14.25" customHeight="1">
      <c r="A49" s="15">
        <v>43952.0</v>
      </c>
      <c r="B49" s="16" t="s">
        <v>13</v>
      </c>
      <c r="C49" s="16">
        <v>19.0</v>
      </c>
      <c r="D49" s="16">
        <v>1497.0</v>
      </c>
      <c r="E49" s="16">
        <v>1291.0</v>
      </c>
    </row>
    <row r="50" ht="14.25" customHeight="1">
      <c r="A50" s="15">
        <v>43952.0</v>
      </c>
      <c r="B50" s="16" t="s">
        <v>23</v>
      </c>
      <c r="C50" s="16">
        <v>15.0</v>
      </c>
      <c r="D50" s="16">
        <v>721.0</v>
      </c>
      <c r="E50" s="16">
        <v>625.0</v>
      </c>
    </row>
    <row r="51" ht="14.25" customHeight="1">
      <c r="A51" s="15">
        <v>43952.0</v>
      </c>
      <c r="B51" s="16" t="s">
        <v>18</v>
      </c>
      <c r="C51" s="16">
        <v>15.0</v>
      </c>
      <c r="D51" s="16">
        <v>996.0</v>
      </c>
      <c r="E51" s="16">
        <v>888.0</v>
      </c>
    </row>
    <row r="52" ht="14.25" customHeight="1">
      <c r="A52" s="15">
        <v>43952.0</v>
      </c>
      <c r="B52" s="16" t="s">
        <v>19</v>
      </c>
      <c r="C52" s="16">
        <v>15.0</v>
      </c>
      <c r="D52" s="16">
        <v>294.0</v>
      </c>
      <c r="E52" s="16">
        <v>225.0</v>
      </c>
    </row>
    <row r="53" ht="14.25" customHeight="1">
      <c r="A53" s="15">
        <v>43952.0</v>
      </c>
      <c r="B53" s="16" t="s">
        <v>15</v>
      </c>
      <c r="C53" s="16">
        <v>125.0</v>
      </c>
      <c r="D53" s="16">
        <v>20602.0</v>
      </c>
      <c r="E53" s="16">
        <v>18845.0</v>
      </c>
    </row>
    <row r="54" ht="14.25" customHeight="1">
      <c r="A54" s="15">
        <v>43952.0</v>
      </c>
      <c r="B54" s="16" t="s">
        <v>14</v>
      </c>
      <c r="C54" s="16">
        <v>129.0</v>
      </c>
      <c r="D54" s="16">
        <v>17002.0</v>
      </c>
      <c r="E54" s="16">
        <v>15570.0</v>
      </c>
    </row>
    <row r="55" ht="14.25" customHeight="1">
      <c r="A55" s="15">
        <v>43952.0</v>
      </c>
      <c r="B55" s="16" t="s">
        <v>12</v>
      </c>
      <c r="C55" s="16">
        <v>10.0</v>
      </c>
      <c r="D55" s="16">
        <v>554.0</v>
      </c>
      <c r="E55" s="16">
        <v>472.0</v>
      </c>
    </row>
    <row r="56" ht="14.25" customHeight="1">
      <c r="A56" s="15">
        <v>43953.0</v>
      </c>
      <c r="B56" s="16" t="s">
        <v>16</v>
      </c>
      <c r="C56" s="16">
        <v>36.0</v>
      </c>
      <c r="D56" s="16">
        <v>3442.0</v>
      </c>
      <c r="E56" s="16">
        <v>3147.0</v>
      </c>
    </row>
    <row r="57" ht="14.25" customHeight="1">
      <c r="A57" s="15">
        <v>43953.0</v>
      </c>
      <c r="B57" s="16" t="s">
        <v>11</v>
      </c>
      <c r="C57" s="16">
        <v>31.0</v>
      </c>
      <c r="D57" s="16">
        <v>4157.0</v>
      </c>
      <c r="E57" s="16">
        <v>3823.0</v>
      </c>
    </row>
    <row r="58" ht="14.25" customHeight="1">
      <c r="A58" s="15">
        <v>43953.0</v>
      </c>
      <c r="B58" s="16" t="s">
        <v>17</v>
      </c>
      <c r="C58" s="16">
        <v>20.0</v>
      </c>
      <c r="D58" s="16">
        <v>1613.0</v>
      </c>
      <c r="E58" s="16">
        <v>1457.0</v>
      </c>
    </row>
    <row r="59" ht="14.25" customHeight="1">
      <c r="A59" s="15">
        <v>43953.0</v>
      </c>
      <c r="B59" s="16" t="s">
        <v>10</v>
      </c>
      <c r="C59" s="16">
        <v>18.0</v>
      </c>
      <c r="D59" s="16">
        <v>1708.0</v>
      </c>
      <c r="E59" s="16">
        <v>1534.0</v>
      </c>
    </row>
    <row r="60" ht="14.25" customHeight="1">
      <c r="A60" s="15">
        <v>43953.0</v>
      </c>
      <c r="B60" s="16" t="s">
        <v>20</v>
      </c>
      <c r="C60" s="16">
        <v>19.0</v>
      </c>
      <c r="D60" s="16">
        <v>1206.0</v>
      </c>
      <c r="E60" s="16">
        <v>1080.0</v>
      </c>
    </row>
    <row r="61" ht="14.25" customHeight="1">
      <c r="A61" s="15">
        <v>43953.0</v>
      </c>
      <c r="B61" s="16" t="s">
        <v>22</v>
      </c>
      <c r="C61" s="16">
        <v>54.0</v>
      </c>
      <c r="D61" s="16">
        <v>11622.0</v>
      </c>
      <c r="E61" s="16">
        <v>10754.0</v>
      </c>
    </row>
    <row r="62" ht="14.25" customHeight="1">
      <c r="A62" s="15">
        <v>43953.0</v>
      </c>
      <c r="B62" s="16" t="s">
        <v>21</v>
      </c>
      <c r="C62" s="16">
        <v>59.0</v>
      </c>
      <c r="D62" s="16">
        <v>12429.0</v>
      </c>
      <c r="E62" s="16">
        <v>11477.0</v>
      </c>
    </row>
    <row r="63" ht="14.25" customHeight="1">
      <c r="A63" s="15">
        <v>43953.0</v>
      </c>
      <c r="B63" s="16" t="s">
        <v>13</v>
      </c>
      <c r="C63" s="16">
        <v>19.0</v>
      </c>
      <c r="D63" s="16">
        <v>1217.0</v>
      </c>
      <c r="E63" s="16">
        <v>1048.0</v>
      </c>
    </row>
    <row r="64" ht="14.25" customHeight="1">
      <c r="A64" s="15">
        <v>43953.0</v>
      </c>
      <c r="B64" s="16" t="s">
        <v>23</v>
      </c>
      <c r="C64" s="16">
        <v>15.0</v>
      </c>
      <c r="D64" s="16">
        <v>567.0</v>
      </c>
      <c r="E64" s="16">
        <v>493.0</v>
      </c>
    </row>
    <row r="65" ht="14.25" customHeight="1">
      <c r="A65" s="15">
        <v>43953.0</v>
      </c>
      <c r="B65" s="16" t="s">
        <v>18</v>
      </c>
      <c r="C65" s="16">
        <v>15.0</v>
      </c>
      <c r="D65" s="16">
        <v>751.0</v>
      </c>
      <c r="E65" s="16">
        <v>651.0</v>
      </c>
    </row>
    <row r="66" ht="14.25" customHeight="1">
      <c r="A66" s="15">
        <v>43953.0</v>
      </c>
      <c r="B66" s="16" t="s">
        <v>19</v>
      </c>
      <c r="C66" s="16">
        <v>15.0</v>
      </c>
      <c r="D66" s="16">
        <v>274.0</v>
      </c>
      <c r="E66" s="16">
        <v>203.0</v>
      </c>
    </row>
    <row r="67" ht="14.25" customHeight="1">
      <c r="A67" s="15">
        <v>43953.0</v>
      </c>
      <c r="B67" s="16" t="s">
        <v>15</v>
      </c>
      <c r="C67" s="16">
        <v>125.0</v>
      </c>
      <c r="D67" s="16">
        <v>16932.0</v>
      </c>
      <c r="E67" s="16">
        <v>15601.0</v>
      </c>
    </row>
    <row r="68" ht="14.25" customHeight="1">
      <c r="A68" s="15">
        <v>43953.0</v>
      </c>
      <c r="B68" s="16" t="s">
        <v>14</v>
      </c>
      <c r="C68" s="16">
        <v>129.0</v>
      </c>
      <c r="D68" s="16">
        <v>14009.0</v>
      </c>
      <c r="E68" s="16">
        <v>12920.0</v>
      </c>
    </row>
    <row r="69" ht="14.25" customHeight="1">
      <c r="A69" s="15">
        <v>43953.0</v>
      </c>
      <c r="B69" s="16" t="s">
        <v>12</v>
      </c>
      <c r="C69" s="16">
        <v>10.0</v>
      </c>
      <c r="D69" s="16">
        <v>416.0</v>
      </c>
      <c r="E69" s="16">
        <v>341.0</v>
      </c>
    </row>
    <row r="70" ht="14.25" customHeight="1">
      <c r="A70" s="15">
        <v>43954.0</v>
      </c>
      <c r="B70" s="16" t="s">
        <v>16</v>
      </c>
      <c r="C70" s="16">
        <v>36.0</v>
      </c>
      <c r="D70" s="16">
        <v>4751.0</v>
      </c>
      <c r="E70" s="16">
        <v>4370.0</v>
      </c>
    </row>
    <row r="71" ht="14.25" customHeight="1">
      <c r="A71" s="15">
        <v>43954.0</v>
      </c>
      <c r="B71" s="16" t="s">
        <v>11</v>
      </c>
      <c r="C71" s="16">
        <v>31.0</v>
      </c>
      <c r="D71" s="16">
        <v>5155.0</v>
      </c>
      <c r="E71" s="16">
        <v>4762.0</v>
      </c>
    </row>
    <row r="72" ht="14.25" customHeight="1">
      <c r="A72" s="15">
        <v>43954.0</v>
      </c>
      <c r="B72" s="16" t="s">
        <v>17</v>
      </c>
      <c r="C72" s="16">
        <v>20.0</v>
      </c>
      <c r="D72" s="16">
        <v>1716.0</v>
      </c>
      <c r="E72" s="16">
        <v>1561.0</v>
      </c>
    </row>
    <row r="73" ht="14.25" customHeight="1">
      <c r="A73" s="15">
        <v>43954.0</v>
      </c>
      <c r="B73" s="16" t="s">
        <v>10</v>
      </c>
      <c r="C73" s="16">
        <v>20.0</v>
      </c>
      <c r="D73" s="16">
        <v>1520.0</v>
      </c>
      <c r="E73" s="16">
        <v>1373.0</v>
      </c>
    </row>
    <row r="74" ht="14.25" customHeight="1">
      <c r="A74" s="15">
        <v>43954.0</v>
      </c>
      <c r="B74" s="16" t="s">
        <v>20</v>
      </c>
      <c r="C74" s="16">
        <v>19.0</v>
      </c>
      <c r="D74" s="16">
        <v>1314.0</v>
      </c>
      <c r="E74" s="16">
        <v>1192.0</v>
      </c>
    </row>
    <row r="75" ht="14.25" customHeight="1">
      <c r="A75" s="15">
        <v>43954.0</v>
      </c>
      <c r="B75" s="16" t="s">
        <v>22</v>
      </c>
      <c r="C75" s="16">
        <v>54.0</v>
      </c>
      <c r="D75" s="16">
        <v>14823.0</v>
      </c>
      <c r="E75" s="16">
        <v>13751.0</v>
      </c>
    </row>
    <row r="76" ht="14.25" customHeight="1">
      <c r="A76" s="15">
        <v>43954.0</v>
      </c>
      <c r="B76" s="16" t="s">
        <v>21</v>
      </c>
      <c r="C76" s="16">
        <v>59.0</v>
      </c>
      <c r="D76" s="16">
        <v>15277.0</v>
      </c>
      <c r="E76" s="16">
        <v>14163.0</v>
      </c>
    </row>
    <row r="77" ht="14.25" customHeight="1">
      <c r="A77" s="15">
        <v>43954.0</v>
      </c>
      <c r="B77" s="16" t="s">
        <v>13</v>
      </c>
      <c r="C77" s="16">
        <v>19.0</v>
      </c>
      <c r="D77" s="16">
        <v>1402.0</v>
      </c>
      <c r="E77" s="16">
        <v>1234.0</v>
      </c>
    </row>
    <row r="78" ht="14.25" customHeight="1">
      <c r="A78" s="15">
        <v>43954.0</v>
      </c>
      <c r="B78" s="16" t="s">
        <v>23</v>
      </c>
      <c r="C78" s="16">
        <v>15.0</v>
      </c>
      <c r="D78" s="16">
        <v>585.0</v>
      </c>
      <c r="E78" s="16">
        <v>502.0</v>
      </c>
    </row>
    <row r="79" ht="14.25" customHeight="1">
      <c r="A79" s="15">
        <v>43954.0</v>
      </c>
      <c r="B79" s="16" t="s">
        <v>18</v>
      </c>
      <c r="C79" s="16">
        <v>15.0</v>
      </c>
      <c r="D79" s="16">
        <v>784.0</v>
      </c>
      <c r="E79" s="16">
        <v>696.0</v>
      </c>
    </row>
    <row r="80" ht="14.25" customHeight="1">
      <c r="A80" s="15">
        <v>43954.0</v>
      </c>
      <c r="B80" s="16" t="s">
        <v>19</v>
      </c>
      <c r="C80" s="16">
        <v>15.0</v>
      </c>
      <c r="D80" s="16">
        <v>455.0</v>
      </c>
      <c r="E80" s="16">
        <v>384.0</v>
      </c>
    </row>
    <row r="81" ht="14.25" customHeight="1">
      <c r="A81" s="15">
        <v>43954.0</v>
      </c>
      <c r="B81" s="16" t="s">
        <v>15</v>
      </c>
      <c r="C81" s="16">
        <v>125.0</v>
      </c>
      <c r="D81" s="16">
        <v>18861.0</v>
      </c>
      <c r="E81" s="16">
        <v>17420.0</v>
      </c>
    </row>
    <row r="82" ht="14.25" customHeight="1">
      <c r="A82" s="15">
        <v>43954.0</v>
      </c>
      <c r="B82" s="16" t="s">
        <v>14</v>
      </c>
      <c r="C82" s="16">
        <v>129.0</v>
      </c>
      <c r="D82" s="16">
        <v>15778.0</v>
      </c>
      <c r="E82" s="16">
        <v>14624.0</v>
      </c>
    </row>
    <row r="83" ht="14.25" customHeight="1">
      <c r="A83" s="15">
        <v>43954.0</v>
      </c>
      <c r="B83" s="16" t="s">
        <v>12</v>
      </c>
      <c r="C83" s="16">
        <v>10.0</v>
      </c>
      <c r="D83" s="16">
        <v>402.0</v>
      </c>
      <c r="E83" s="16">
        <v>333.0</v>
      </c>
    </row>
    <row r="84" ht="14.25" customHeight="1">
      <c r="A84" s="15">
        <v>43955.0</v>
      </c>
      <c r="B84" s="16" t="s">
        <v>16</v>
      </c>
      <c r="C84" s="16">
        <v>36.0</v>
      </c>
      <c r="D84" s="16">
        <v>4508.0</v>
      </c>
      <c r="E84" s="16">
        <v>4149.0</v>
      </c>
    </row>
    <row r="85" ht="14.25" customHeight="1">
      <c r="A85" s="15">
        <v>43955.0</v>
      </c>
      <c r="B85" s="16" t="s">
        <v>11</v>
      </c>
      <c r="C85" s="16">
        <v>31.0</v>
      </c>
      <c r="D85" s="16">
        <v>4968.0</v>
      </c>
      <c r="E85" s="16">
        <v>4596.0</v>
      </c>
    </row>
    <row r="86" ht="14.25" customHeight="1">
      <c r="A86" s="15">
        <v>43955.0</v>
      </c>
      <c r="B86" s="16" t="s">
        <v>17</v>
      </c>
      <c r="C86" s="16">
        <v>20.0</v>
      </c>
      <c r="D86" s="16">
        <v>1804.0</v>
      </c>
      <c r="E86" s="16">
        <v>1638.0</v>
      </c>
    </row>
    <row r="87" ht="14.25" customHeight="1">
      <c r="A87" s="15">
        <v>43955.0</v>
      </c>
      <c r="B87" s="16" t="s">
        <v>10</v>
      </c>
      <c r="C87" s="16">
        <v>20.0</v>
      </c>
      <c r="D87" s="16">
        <v>1519.0</v>
      </c>
      <c r="E87" s="16">
        <v>1372.0</v>
      </c>
    </row>
    <row r="88" ht="14.25" customHeight="1">
      <c r="A88" s="15">
        <v>43955.0</v>
      </c>
      <c r="B88" s="16" t="s">
        <v>20</v>
      </c>
      <c r="C88" s="16">
        <v>19.0</v>
      </c>
      <c r="D88" s="16">
        <v>1479.0</v>
      </c>
      <c r="E88" s="16">
        <v>1346.0</v>
      </c>
    </row>
    <row r="89" ht="14.25" customHeight="1">
      <c r="A89" s="15">
        <v>43955.0</v>
      </c>
      <c r="B89" s="16" t="s">
        <v>22</v>
      </c>
      <c r="C89" s="16">
        <v>54.0</v>
      </c>
      <c r="D89" s="16">
        <v>13606.0</v>
      </c>
      <c r="E89" s="16">
        <v>12697.0</v>
      </c>
    </row>
    <row r="90" ht="14.25" customHeight="1">
      <c r="A90" s="15">
        <v>43955.0</v>
      </c>
      <c r="B90" s="16" t="s">
        <v>21</v>
      </c>
      <c r="C90" s="16">
        <v>59.0</v>
      </c>
      <c r="D90" s="16">
        <v>14423.0</v>
      </c>
      <c r="E90" s="16">
        <v>13432.0</v>
      </c>
    </row>
    <row r="91" ht="14.25" customHeight="1">
      <c r="A91" s="15">
        <v>43955.0</v>
      </c>
      <c r="B91" s="16" t="s">
        <v>13</v>
      </c>
      <c r="C91" s="16">
        <v>19.0</v>
      </c>
      <c r="D91" s="16">
        <v>1582.0</v>
      </c>
      <c r="E91" s="16">
        <v>1403.0</v>
      </c>
    </row>
    <row r="92" ht="14.25" customHeight="1">
      <c r="A92" s="15">
        <v>43955.0</v>
      </c>
      <c r="B92" s="16" t="s">
        <v>23</v>
      </c>
      <c r="C92" s="16">
        <v>15.0</v>
      </c>
      <c r="D92" s="16">
        <v>622.0</v>
      </c>
      <c r="E92" s="16">
        <v>538.0</v>
      </c>
    </row>
    <row r="93" ht="14.25" customHeight="1">
      <c r="A93" s="15">
        <v>43955.0</v>
      </c>
      <c r="B93" s="16" t="s">
        <v>18</v>
      </c>
      <c r="C93" s="16">
        <v>15.0</v>
      </c>
      <c r="D93" s="16">
        <v>750.0</v>
      </c>
      <c r="E93" s="16">
        <v>647.0</v>
      </c>
    </row>
    <row r="94" ht="14.25" customHeight="1">
      <c r="A94" s="15">
        <v>43955.0</v>
      </c>
      <c r="B94" s="16" t="s">
        <v>19</v>
      </c>
      <c r="C94" s="16">
        <v>15.0</v>
      </c>
      <c r="D94" s="16">
        <v>390.0</v>
      </c>
      <c r="E94" s="16">
        <v>315.0</v>
      </c>
    </row>
    <row r="95" ht="14.25" customHeight="1">
      <c r="A95" s="15">
        <v>43955.0</v>
      </c>
      <c r="B95" s="16" t="s">
        <v>15</v>
      </c>
      <c r="C95" s="16">
        <v>125.0</v>
      </c>
      <c r="D95" s="16">
        <v>20495.0</v>
      </c>
      <c r="E95" s="16">
        <v>18964.0</v>
      </c>
    </row>
    <row r="96" ht="14.25" customHeight="1">
      <c r="A96" s="15">
        <v>43955.0</v>
      </c>
      <c r="B96" s="16" t="s">
        <v>14</v>
      </c>
      <c r="C96" s="16">
        <v>129.0</v>
      </c>
      <c r="D96" s="16">
        <v>16525.0</v>
      </c>
      <c r="E96" s="16">
        <v>15310.0</v>
      </c>
    </row>
    <row r="97" ht="14.25" customHeight="1">
      <c r="A97" s="15">
        <v>43955.0</v>
      </c>
      <c r="B97" s="16" t="s">
        <v>12</v>
      </c>
      <c r="C97" s="16">
        <v>10.0</v>
      </c>
      <c r="D97" s="16">
        <v>462.0</v>
      </c>
      <c r="E97" s="16">
        <v>396.0</v>
      </c>
    </row>
    <row r="98" ht="14.25" customHeight="1">
      <c r="A98" s="15">
        <v>43956.0</v>
      </c>
      <c r="B98" s="16" t="s">
        <v>16</v>
      </c>
      <c r="C98" s="16">
        <v>36.0</v>
      </c>
      <c r="D98" s="16">
        <v>4575.0</v>
      </c>
      <c r="E98" s="16">
        <v>4206.0</v>
      </c>
    </row>
    <row r="99" ht="14.25" customHeight="1">
      <c r="A99" s="15">
        <v>43956.0</v>
      </c>
      <c r="B99" s="16" t="s">
        <v>11</v>
      </c>
      <c r="C99" s="16">
        <v>31.0</v>
      </c>
      <c r="D99" s="16">
        <v>5188.0</v>
      </c>
      <c r="E99" s="16">
        <v>4800.0</v>
      </c>
    </row>
    <row r="100" ht="14.25" customHeight="1">
      <c r="A100" s="15">
        <v>43956.0</v>
      </c>
      <c r="B100" s="16" t="s">
        <v>17</v>
      </c>
      <c r="C100" s="16">
        <v>20.0</v>
      </c>
      <c r="D100" s="16">
        <v>1757.0</v>
      </c>
      <c r="E100" s="16">
        <v>1596.0</v>
      </c>
    </row>
    <row r="101" ht="14.25" customHeight="1">
      <c r="A101" s="15">
        <v>43956.0</v>
      </c>
      <c r="B101" s="16" t="s">
        <v>10</v>
      </c>
      <c r="C101" s="16">
        <v>20.0</v>
      </c>
      <c r="D101" s="16">
        <v>1773.0</v>
      </c>
      <c r="E101" s="16">
        <v>1604.0</v>
      </c>
    </row>
    <row r="102" ht="14.25" customHeight="1">
      <c r="A102" s="15">
        <v>43956.0</v>
      </c>
      <c r="B102" s="16" t="s">
        <v>20</v>
      </c>
      <c r="C102" s="16">
        <v>19.0</v>
      </c>
      <c r="D102" s="16">
        <v>1622.0</v>
      </c>
      <c r="E102" s="16">
        <v>1482.0</v>
      </c>
    </row>
    <row r="103" ht="14.25" customHeight="1">
      <c r="A103" s="15">
        <v>43956.0</v>
      </c>
      <c r="B103" s="16" t="s">
        <v>22</v>
      </c>
      <c r="C103" s="16">
        <v>54.0</v>
      </c>
      <c r="D103" s="16">
        <v>12775.0</v>
      </c>
      <c r="E103" s="16">
        <v>11887.0</v>
      </c>
    </row>
    <row r="104" ht="14.25" customHeight="1">
      <c r="A104" s="15">
        <v>43956.0</v>
      </c>
      <c r="B104" s="16" t="s">
        <v>21</v>
      </c>
      <c r="C104" s="16">
        <v>59.0</v>
      </c>
      <c r="D104" s="16">
        <v>13469.0</v>
      </c>
      <c r="E104" s="16">
        <v>12486.0</v>
      </c>
    </row>
    <row r="105" ht="14.25" customHeight="1">
      <c r="A105" s="15">
        <v>43956.0</v>
      </c>
      <c r="B105" s="16" t="s">
        <v>13</v>
      </c>
      <c r="C105" s="16">
        <v>19.0</v>
      </c>
      <c r="D105" s="16">
        <v>1417.0</v>
      </c>
      <c r="E105" s="16">
        <v>1245.0</v>
      </c>
    </row>
    <row r="106" ht="14.25" customHeight="1">
      <c r="A106" s="15">
        <v>43956.0</v>
      </c>
      <c r="B106" s="16" t="s">
        <v>23</v>
      </c>
      <c r="C106" s="16">
        <v>15.0</v>
      </c>
      <c r="D106" s="16">
        <v>750.0</v>
      </c>
      <c r="E106" s="16">
        <v>658.0</v>
      </c>
    </row>
    <row r="107" ht="14.25" customHeight="1">
      <c r="A107" s="15">
        <v>43956.0</v>
      </c>
      <c r="B107" s="16" t="s">
        <v>18</v>
      </c>
      <c r="C107" s="16">
        <v>15.0</v>
      </c>
      <c r="D107" s="16">
        <v>922.0</v>
      </c>
      <c r="E107" s="16">
        <v>823.0</v>
      </c>
    </row>
    <row r="108" ht="14.25" customHeight="1">
      <c r="A108" s="15">
        <v>43956.0</v>
      </c>
      <c r="B108" s="16" t="s">
        <v>19</v>
      </c>
      <c r="C108" s="16">
        <v>15.0</v>
      </c>
      <c r="D108" s="16">
        <v>455.0</v>
      </c>
      <c r="E108" s="16">
        <v>381.0</v>
      </c>
    </row>
    <row r="109" ht="14.25" customHeight="1">
      <c r="A109" s="15">
        <v>43956.0</v>
      </c>
      <c r="B109" s="16" t="s">
        <v>15</v>
      </c>
      <c r="C109" s="16">
        <v>125.0</v>
      </c>
      <c r="D109" s="16">
        <v>18944.0</v>
      </c>
      <c r="E109" s="16">
        <v>17541.0</v>
      </c>
    </row>
    <row r="110" ht="14.25" customHeight="1">
      <c r="A110" s="15">
        <v>43956.0</v>
      </c>
      <c r="B110" s="16" t="s">
        <v>14</v>
      </c>
      <c r="C110" s="16">
        <v>129.0</v>
      </c>
      <c r="D110" s="16">
        <v>15665.0</v>
      </c>
      <c r="E110" s="16">
        <v>14501.0</v>
      </c>
    </row>
    <row r="111" ht="14.25" customHeight="1">
      <c r="A111" s="15">
        <v>43956.0</v>
      </c>
      <c r="B111" s="16" t="s">
        <v>12</v>
      </c>
      <c r="C111" s="16">
        <v>10.0</v>
      </c>
      <c r="D111" s="16">
        <v>511.0</v>
      </c>
      <c r="E111" s="16">
        <v>437.0</v>
      </c>
    </row>
    <row r="112" ht="14.25" customHeight="1">
      <c r="A112" s="15">
        <v>43957.0</v>
      </c>
      <c r="B112" s="16" t="s">
        <v>16</v>
      </c>
      <c r="C112" s="16">
        <v>36.0</v>
      </c>
      <c r="D112" s="16">
        <v>4384.0</v>
      </c>
      <c r="E112" s="16">
        <v>4025.0</v>
      </c>
    </row>
    <row r="113" ht="14.25" customHeight="1">
      <c r="A113" s="15">
        <v>43957.0</v>
      </c>
      <c r="B113" s="16" t="s">
        <v>11</v>
      </c>
      <c r="C113" s="16">
        <v>31.0</v>
      </c>
      <c r="D113" s="16">
        <v>4709.0</v>
      </c>
      <c r="E113" s="16">
        <v>4348.0</v>
      </c>
    </row>
    <row r="114" ht="14.25" customHeight="1">
      <c r="A114" s="15">
        <v>43957.0</v>
      </c>
      <c r="B114" s="16" t="s">
        <v>17</v>
      </c>
      <c r="C114" s="16">
        <v>20.0</v>
      </c>
      <c r="D114" s="16">
        <v>1747.0</v>
      </c>
      <c r="E114" s="16">
        <v>1570.0</v>
      </c>
    </row>
    <row r="115" ht="14.25" customHeight="1">
      <c r="A115" s="15">
        <v>43957.0</v>
      </c>
      <c r="B115" s="16" t="s">
        <v>10</v>
      </c>
      <c r="C115" s="16">
        <v>20.0</v>
      </c>
      <c r="D115" s="16">
        <v>1784.0</v>
      </c>
      <c r="E115" s="16">
        <v>1632.0</v>
      </c>
    </row>
    <row r="116" ht="14.25" customHeight="1">
      <c r="A116" s="15">
        <v>43957.0</v>
      </c>
      <c r="B116" s="16" t="s">
        <v>20</v>
      </c>
      <c r="C116" s="16">
        <v>19.0</v>
      </c>
      <c r="D116" s="16">
        <v>1509.0</v>
      </c>
      <c r="E116" s="16">
        <v>1374.0</v>
      </c>
    </row>
    <row r="117" ht="14.25" customHeight="1">
      <c r="A117" s="15">
        <v>43957.0</v>
      </c>
      <c r="B117" s="16" t="s">
        <v>22</v>
      </c>
      <c r="C117" s="16">
        <v>54.0</v>
      </c>
      <c r="D117" s="16">
        <v>13406.0</v>
      </c>
      <c r="E117" s="16">
        <v>12518.0</v>
      </c>
    </row>
    <row r="118" ht="14.25" customHeight="1">
      <c r="A118" s="15">
        <v>43957.0</v>
      </c>
      <c r="B118" s="16" t="s">
        <v>21</v>
      </c>
      <c r="C118" s="16">
        <v>59.0</v>
      </c>
      <c r="D118" s="16">
        <v>14103.0</v>
      </c>
      <c r="E118" s="16">
        <v>13118.0</v>
      </c>
    </row>
    <row r="119" ht="14.25" customHeight="1">
      <c r="A119" s="15">
        <v>43957.0</v>
      </c>
      <c r="B119" s="16" t="s">
        <v>13</v>
      </c>
      <c r="C119" s="16">
        <v>19.0</v>
      </c>
      <c r="D119" s="16">
        <v>1499.0</v>
      </c>
      <c r="E119" s="16">
        <v>1323.0</v>
      </c>
    </row>
    <row r="120" ht="14.25" customHeight="1">
      <c r="A120" s="15">
        <v>43957.0</v>
      </c>
      <c r="B120" s="16" t="s">
        <v>23</v>
      </c>
      <c r="C120" s="16">
        <v>15.0</v>
      </c>
      <c r="D120" s="16">
        <v>701.0</v>
      </c>
      <c r="E120" s="16">
        <v>611.0</v>
      </c>
    </row>
    <row r="121" ht="14.25" customHeight="1">
      <c r="A121" s="15">
        <v>43957.0</v>
      </c>
      <c r="B121" s="16" t="s">
        <v>18</v>
      </c>
      <c r="C121" s="16">
        <v>15.0</v>
      </c>
      <c r="D121" s="16">
        <v>839.0</v>
      </c>
      <c r="E121" s="16">
        <v>733.0</v>
      </c>
    </row>
    <row r="122" ht="14.25" customHeight="1">
      <c r="A122" s="15">
        <v>43957.0</v>
      </c>
      <c r="B122" s="16" t="s">
        <v>19</v>
      </c>
      <c r="C122" s="16">
        <v>15.0</v>
      </c>
      <c r="D122" s="16">
        <v>467.0</v>
      </c>
      <c r="E122" s="16">
        <v>389.0</v>
      </c>
    </row>
    <row r="123" ht="14.25" customHeight="1">
      <c r="A123" s="15">
        <v>43957.0</v>
      </c>
      <c r="B123" s="16" t="s">
        <v>15</v>
      </c>
      <c r="C123" s="16">
        <v>125.0</v>
      </c>
      <c r="D123" s="16">
        <v>20218.0</v>
      </c>
      <c r="E123" s="16">
        <v>18647.0</v>
      </c>
    </row>
    <row r="124" ht="14.25" customHeight="1">
      <c r="A124" s="15">
        <v>43957.0</v>
      </c>
      <c r="B124" s="16" t="s">
        <v>14</v>
      </c>
      <c r="C124" s="16">
        <v>129.0</v>
      </c>
      <c r="D124" s="16">
        <v>16376.0</v>
      </c>
      <c r="E124" s="16">
        <v>15197.0</v>
      </c>
    </row>
    <row r="125" ht="14.25" customHeight="1">
      <c r="A125" s="15">
        <v>43957.0</v>
      </c>
      <c r="B125" s="16" t="s">
        <v>12</v>
      </c>
      <c r="C125" s="16">
        <v>10.0</v>
      </c>
      <c r="D125" s="16">
        <v>465.0</v>
      </c>
      <c r="E125" s="16">
        <v>390.0</v>
      </c>
    </row>
    <row r="126" ht="14.25" customHeight="1">
      <c r="A126" s="15">
        <v>43958.0</v>
      </c>
      <c r="B126" s="16" t="s">
        <v>16</v>
      </c>
      <c r="C126" s="16">
        <v>36.0</v>
      </c>
      <c r="D126" s="16">
        <v>4826.0</v>
      </c>
      <c r="E126" s="16">
        <v>4426.0</v>
      </c>
    </row>
    <row r="127" ht="14.25" customHeight="1">
      <c r="A127" s="15">
        <v>43958.0</v>
      </c>
      <c r="B127" s="16" t="s">
        <v>11</v>
      </c>
      <c r="C127" s="16">
        <v>31.0</v>
      </c>
      <c r="D127" s="16">
        <v>4903.0</v>
      </c>
      <c r="E127" s="16">
        <v>4527.0</v>
      </c>
    </row>
    <row r="128" ht="14.25" customHeight="1">
      <c r="A128" s="15">
        <v>43958.0</v>
      </c>
      <c r="B128" s="16" t="s">
        <v>17</v>
      </c>
      <c r="C128" s="16">
        <v>21.0</v>
      </c>
      <c r="D128" s="16">
        <v>1879.0</v>
      </c>
      <c r="E128" s="16">
        <v>1695.0</v>
      </c>
    </row>
    <row r="129" ht="14.25" customHeight="1">
      <c r="A129" s="15">
        <v>43958.0</v>
      </c>
      <c r="B129" s="16" t="s">
        <v>10</v>
      </c>
      <c r="C129" s="16">
        <v>21.0</v>
      </c>
      <c r="D129" s="16">
        <v>1542.0</v>
      </c>
      <c r="E129" s="16">
        <v>1405.0</v>
      </c>
    </row>
    <row r="130" ht="14.25" customHeight="1">
      <c r="A130" s="15">
        <v>43958.0</v>
      </c>
      <c r="B130" s="16" t="s">
        <v>20</v>
      </c>
      <c r="C130" s="16">
        <v>19.0</v>
      </c>
      <c r="D130" s="16">
        <v>1580.0</v>
      </c>
      <c r="E130" s="16">
        <v>1435.0</v>
      </c>
    </row>
    <row r="131" ht="14.25" customHeight="1">
      <c r="A131" s="15">
        <v>43958.0</v>
      </c>
      <c r="B131" s="16" t="s">
        <v>22</v>
      </c>
      <c r="C131" s="16">
        <v>54.0</v>
      </c>
      <c r="D131" s="16">
        <v>12743.0</v>
      </c>
      <c r="E131" s="16">
        <v>11858.0</v>
      </c>
    </row>
    <row r="132" ht="14.25" customHeight="1">
      <c r="A132" s="15">
        <v>43958.0</v>
      </c>
      <c r="B132" s="16" t="s">
        <v>21</v>
      </c>
      <c r="C132" s="16">
        <v>59.0</v>
      </c>
      <c r="D132" s="16">
        <v>13495.0</v>
      </c>
      <c r="E132" s="16">
        <v>12517.0</v>
      </c>
    </row>
    <row r="133" ht="14.25" customHeight="1">
      <c r="A133" s="15">
        <v>43958.0</v>
      </c>
      <c r="B133" s="16" t="s">
        <v>13</v>
      </c>
      <c r="C133" s="16">
        <v>19.0</v>
      </c>
      <c r="D133" s="16">
        <v>1530.0</v>
      </c>
      <c r="E133" s="16">
        <v>1338.0</v>
      </c>
    </row>
    <row r="134" ht="14.25" customHeight="1">
      <c r="A134" s="15">
        <v>43958.0</v>
      </c>
      <c r="B134" s="16" t="s">
        <v>23</v>
      </c>
      <c r="C134" s="16">
        <v>15.0</v>
      </c>
      <c r="D134" s="16">
        <v>676.0</v>
      </c>
      <c r="E134" s="16">
        <v>591.0</v>
      </c>
    </row>
    <row r="135" ht="14.25" customHeight="1">
      <c r="A135" s="15">
        <v>43958.0</v>
      </c>
      <c r="B135" s="16" t="s">
        <v>18</v>
      </c>
      <c r="C135" s="16">
        <v>15.0</v>
      </c>
      <c r="D135" s="16">
        <v>805.0</v>
      </c>
      <c r="E135" s="16">
        <v>703.0</v>
      </c>
    </row>
    <row r="136" ht="14.25" customHeight="1">
      <c r="A136" s="15">
        <v>43958.0</v>
      </c>
      <c r="B136" s="16" t="s">
        <v>19</v>
      </c>
      <c r="C136" s="16">
        <v>15.0</v>
      </c>
      <c r="D136" s="16">
        <v>480.0</v>
      </c>
      <c r="E136" s="16">
        <v>398.0</v>
      </c>
    </row>
    <row r="137" ht="14.25" customHeight="1">
      <c r="A137" s="15">
        <v>43958.0</v>
      </c>
      <c r="B137" s="16" t="s">
        <v>15</v>
      </c>
      <c r="C137" s="16">
        <v>125.0</v>
      </c>
      <c r="D137" s="16">
        <v>18014.0</v>
      </c>
      <c r="E137" s="16">
        <v>16675.0</v>
      </c>
    </row>
    <row r="138" ht="14.25" customHeight="1">
      <c r="A138" s="15">
        <v>43958.0</v>
      </c>
      <c r="B138" s="16" t="s">
        <v>14</v>
      </c>
      <c r="C138" s="16">
        <v>129.0</v>
      </c>
      <c r="D138" s="16">
        <v>14582.0</v>
      </c>
      <c r="E138" s="16">
        <v>13512.0</v>
      </c>
    </row>
    <row r="139" ht="14.25" customHeight="1">
      <c r="A139" s="15">
        <v>43958.0</v>
      </c>
      <c r="B139" s="16" t="s">
        <v>12</v>
      </c>
      <c r="C139" s="16">
        <v>10.0</v>
      </c>
      <c r="D139" s="16">
        <v>563.0</v>
      </c>
      <c r="E139" s="16">
        <v>486.0</v>
      </c>
    </row>
    <row r="140" ht="14.25" customHeight="1">
      <c r="A140" s="15">
        <v>43959.0</v>
      </c>
      <c r="B140" s="16" t="s">
        <v>16</v>
      </c>
      <c r="C140" s="16">
        <v>36.0</v>
      </c>
      <c r="D140" s="16">
        <v>4199.0</v>
      </c>
      <c r="E140" s="16">
        <v>3867.0</v>
      </c>
    </row>
    <row r="141" ht="14.25" customHeight="1">
      <c r="A141" s="15">
        <v>43959.0</v>
      </c>
      <c r="B141" s="16" t="s">
        <v>11</v>
      </c>
      <c r="C141" s="16">
        <v>31.0</v>
      </c>
      <c r="D141" s="16">
        <v>4635.0</v>
      </c>
      <c r="E141" s="16">
        <v>4266.0</v>
      </c>
    </row>
    <row r="142" ht="14.25" customHeight="1">
      <c r="A142" s="15">
        <v>43959.0</v>
      </c>
      <c r="B142" s="16" t="s">
        <v>17</v>
      </c>
      <c r="C142" s="16">
        <v>21.0</v>
      </c>
      <c r="D142" s="16">
        <v>1957.0</v>
      </c>
      <c r="E142" s="16">
        <v>1755.0</v>
      </c>
    </row>
    <row r="143" ht="14.25" customHeight="1">
      <c r="A143" s="15">
        <v>43959.0</v>
      </c>
      <c r="B143" s="16" t="s">
        <v>10</v>
      </c>
      <c r="C143" s="16">
        <v>21.0</v>
      </c>
      <c r="D143" s="16">
        <v>1646.0</v>
      </c>
      <c r="E143" s="16">
        <v>1492.0</v>
      </c>
    </row>
    <row r="144" ht="14.25" customHeight="1">
      <c r="A144" s="15">
        <v>43959.0</v>
      </c>
      <c r="B144" s="16" t="s">
        <v>20</v>
      </c>
      <c r="C144" s="16">
        <v>19.0</v>
      </c>
      <c r="D144" s="16">
        <v>1520.0</v>
      </c>
      <c r="E144" s="16">
        <v>1380.0</v>
      </c>
    </row>
    <row r="145" ht="14.25" customHeight="1">
      <c r="A145" s="15">
        <v>43959.0</v>
      </c>
      <c r="B145" s="16" t="s">
        <v>22</v>
      </c>
      <c r="C145" s="16">
        <v>54.0</v>
      </c>
      <c r="D145" s="16">
        <v>13563.0</v>
      </c>
      <c r="E145" s="16">
        <v>12604.0</v>
      </c>
    </row>
    <row r="146" ht="14.25" customHeight="1">
      <c r="A146" s="15">
        <v>43959.0</v>
      </c>
      <c r="B146" s="16" t="s">
        <v>21</v>
      </c>
      <c r="C146" s="16">
        <v>59.0</v>
      </c>
      <c r="D146" s="16">
        <v>14098.0</v>
      </c>
      <c r="E146" s="16">
        <v>13106.0</v>
      </c>
    </row>
    <row r="147" ht="14.25" customHeight="1">
      <c r="A147" s="15">
        <v>43959.0</v>
      </c>
      <c r="B147" s="16" t="s">
        <v>13</v>
      </c>
      <c r="C147" s="16">
        <v>19.0</v>
      </c>
      <c r="D147" s="16">
        <v>1522.0</v>
      </c>
      <c r="E147" s="16">
        <v>1340.0</v>
      </c>
    </row>
    <row r="148" ht="14.25" customHeight="1">
      <c r="A148" s="15">
        <v>43959.0</v>
      </c>
      <c r="B148" s="16" t="s">
        <v>23</v>
      </c>
      <c r="C148" s="16">
        <v>15.0</v>
      </c>
      <c r="D148" s="16">
        <v>703.0</v>
      </c>
      <c r="E148" s="16">
        <v>609.0</v>
      </c>
    </row>
    <row r="149" ht="14.25" customHeight="1">
      <c r="A149" s="15">
        <v>43959.0</v>
      </c>
      <c r="B149" s="16" t="s">
        <v>18</v>
      </c>
      <c r="C149" s="16">
        <v>15.0</v>
      </c>
      <c r="D149" s="16">
        <v>879.0</v>
      </c>
      <c r="E149" s="16">
        <v>768.0</v>
      </c>
    </row>
    <row r="150" ht="14.25" customHeight="1">
      <c r="A150" s="15">
        <v>43959.0</v>
      </c>
      <c r="B150" s="16" t="s">
        <v>19</v>
      </c>
      <c r="C150" s="16">
        <v>15.0</v>
      </c>
      <c r="D150" s="16">
        <v>492.0</v>
      </c>
      <c r="E150" s="16">
        <v>412.0</v>
      </c>
    </row>
    <row r="151" ht="14.25" customHeight="1">
      <c r="A151" s="15">
        <v>43959.0</v>
      </c>
      <c r="B151" s="16" t="s">
        <v>15</v>
      </c>
      <c r="C151" s="16">
        <v>125.0</v>
      </c>
      <c r="D151" s="16">
        <v>24620.0</v>
      </c>
      <c r="E151" s="16">
        <v>22641.0</v>
      </c>
    </row>
    <row r="152" ht="14.25" customHeight="1">
      <c r="A152" s="15">
        <v>43959.0</v>
      </c>
      <c r="B152" s="16" t="s">
        <v>14</v>
      </c>
      <c r="C152" s="16">
        <v>129.0</v>
      </c>
      <c r="D152" s="16">
        <v>20452.0</v>
      </c>
      <c r="E152" s="16">
        <v>18857.0</v>
      </c>
    </row>
    <row r="153" ht="14.25" customHeight="1">
      <c r="A153" s="15">
        <v>43959.0</v>
      </c>
      <c r="B153" s="16" t="s">
        <v>12</v>
      </c>
      <c r="C153" s="16">
        <v>10.0</v>
      </c>
      <c r="D153" s="16">
        <v>638.0</v>
      </c>
      <c r="E153" s="16">
        <v>547.0</v>
      </c>
    </row>
    <row r="154" ht="14.25" customHeight="1">
      <c r="A154" s="15">
        <v>43960.0</v>
      </c>
      <c r="B154" s="16" t="s">
        <v>16</v>
      </c>
      <c r="C154" s="16">
        <v>36.0</v>
      </c>
      <c r="D154" s="16">
        <v>5413.0</v>
      </c>
      <c r="E154" s="16">
        <v>4959.0</v>
      </c>
    </row>
    <row r="155" ht="14.25" customHeight="1">
      <c r="A155" s="15">
        <v>43960.0</v>
      </c>
      <c r="B155" s="16" t="s">
        <v>11</v>
      </c>
      <c r="C155" s="16">
        <v>31.0</v>
      </c>
      <c r="D155" s="16">
        <v>4556.0</v>
      </c>
      <c r="E155" s="16">
        <v>4220.0</v>
      </c>
    </row>
    <row r="156" ht="14.25" customHeight="1">
      <c r="A156" s="15">
        <v>43960.0</v>
      </c>
      <c r="B156" s="16" t="s">
        <v>17</v>
      </c>
      <c r="C156" s="16">
        <v>21.0</v>
      </c>
      <c r="D156" s="16">
        <v>1891.0</v>
      </c>
      <c r="E156" s="16">
        <v>1709.0</v>
      </c>
    </row>
    <row r="157" ht="14.25" customHeight="1">
      <c r="A157" s="15">
        <v>43960.0</v>
      </c>
      <c r="B157" s="16" t="s">
        <v>10</v>
      </c>
      <c r="C157" s="16">
        <v>21.0</v>
      </c>
      <c r="D157" s="16">
        <v>1735.0</v>
      </c>
      <c r="E157" s="16">
        <v>1568.0</v>
      </c>
    </row>
    <row r="158" ht="14.25" customHeight="1">
      <c r="A158" s="15">
        <v>43960.0</v>
      </c>
      <c r="B158" s="16" t="s">
        <v>20</v>
      </c>
      <c r="C158" s="16">
        <v>19.0</v>
      </c>
      <c r="D158" s="16">
        <v>1542.0</v>
      </c>
      <c r="E158" s="16">
        <v>1412.0</v>
      </c>
    </row>
    <row r="159" ht="14.25" customHeight="1">
      <c r="A159" s="15">
        <v>43960.0</v>
      </c>
      <c r="B159" s="16" t="s">
        <v>22</v>
      </c>
      <c r="C159" s="16">
        <v>54.0</v>
      </c>
      <c r="D159" s="16">
        <v>11288.0</v>
      </c>
      <c r="E159" s="16">
        <v>10492.0</v>
      </c>
    </row>
    <row r="160" ht="14.25" customHeight="1">
      <c r="A160" s="15">
        <v>43960.0</v>
      </c>
      <c r="B160" s="16" t="s">
        <v>21</v>
      </c>
      <c r="C160" s="16">
        <v>59.0</v>
      </c>
      <c r="D160" s="16">
        <v>12016.0</v>
      </c>
      <c r="E160" s="16">
        <v>11137.0</v>
      </c>
    </row>
    <row r="161" ht="14.25" customHeight="1">
      <c r="A161" s="15">
        <v>43960.0</v>
      </c>
      <c r="B161" s="16" t="s">
        <v>13</v>
      </c>
      <c r="C161" s="16">
        <v>19.0</v>
      </c>
      <c r="D161" s="16">
        <v>1851.0</v>
      </c>
      <c r="E161" s="16">
        <v>1635.0</v>
      </c>
    </row>
    <row r="162" ht="14.25" customHeight="1">
      <c r="A162" s="15">
        <v>43960.0</v>
      </c>
      <c r="B162" s="16" t="s">
        <v>23</v>
      </c>
      <c r="C162" s="16">
        <v>15.0</v>
      </c>
      <c r="D162" s="16">
        <v>654.0</v>
      </c>
      <c r="E162" s="16">
        <v>570.0</v>
      </c>
    </row>
    <row r="163" ht="14.25" customHeight="1">
      <c r="A163" s="15">
        <v>43960.0</v>
      </c>
      <c r="B163" s="16" t="s">
        <v>18</v>
      </c>
      <c r="C163" s="16">
        <v>15.0</v>
      </c>
      <c r="D163" s="16">
        <v>849.0</v>
      </c>
      <c r="E163" s="16">
        <v>740.0</v>
      </c>
    </row>
    <row r="164" ht="14.25" customHeight="1">
      <c r="A164" s="15">
        <v>43960.0</v>
      </c>
      <c r="B164" s="16" t="s">
        <v>19</v>
      </c>
      <c r="C164" s="16">
        <v>15.0</v>
      </c>
      <c r="D164" s="16">
        <v>623.0</v>
      </c>
      <c r="E164" s="16">
        <v>535.0</v>
      </c>
    </row>
    <row r="165" ht="14.25" customHeight="1">
      <c r="A165" s="15">
        <v>43960.0</v>
      </c>
      <c r="B165" s="16" t="s">
        <v>15</v>
      </c>
      <c r="C165" s="16">
        <v>125.0</v>
      </c>
      <c r="D165" s="16">
        <v>20132.0</v>
      </c>
      <c r="E165" s="16">
        <v>18617.0</v>
      </c>
    </row>
    <row r="166" ht="14.25" customHeight="1">
      <c r="A166" s="15">
        <v>43960.0</v>
      </c>
      <c r="B166" s="16" t="s">
        <v>14</v>
      </c>
      <c r="C166" s="16">
        <v>129.0</v>
      </c>
      <c r="D166" s="16">
        <v>16420.0</v>
      </c>
      <c r="E166" s="16">
        <v>15169.0</v>
      </c>
    </row>
    <row r="167" ht="14.25" customHeight="1">
      <c r="A167" s="15">
        <v>43960.0</v>
      </c>
      <c r="B167" s="16" t="s">
        <v>12</v>
      </c>
      <c r="C167" s="16">
        <v>10.0</v>
      </c>
      <c r="D167" s="16">
        <v>644.0</v>
      </c>
      <c r="E167" s="16">
        <v>559.0</v>
      </c>
    </row>
    <row r="168" ht="14.25" customHeight="1">
      <c r="A168" s="15">
        <v>43961.0</v>
      </c>
      <c r="B168" s="16" t="s">
        <v>16</v>
      </c>
      <c r="C168" s="16">
        <v>36.0</v>
      </c>
      <c r="D168" s="16">
        <v>5746.0</v>
      </c>
      <c r="E168" s="16">
        <v>5277.0</v>
      </c>
    </row>
    <row r="169" ht="14.25" customHeight="1">
      <c r="A169" s="15">
        <v>43961.0</v>
      </c>
      <c r="B169" s="16" t="s">
        <v>11</v>
      </c>
      <c r="C169" s="16">
        <v>31.0</v>
      </c>
      <c r="D169" s="16">
        <v>5495.0</v>
      </c>
      <c r="E169" s="16">
        <v>5093.0</v>
      </c>
    </row>
    <row r="170" ht="14.25" customHeight="1">
      <c r="A170" s="15">
        <v>43961.0</v>
      </c>
      <c r="B170" s="16" t="s">
        <v>17</v>
      </c>
      <c r="C170" s="16">
        <v>21.0</v>
      </c>
      <c r="D170" s="16">
        <v>2120.0</v>
      </c>
      <c r="E170" s="16">
        <v>1921.0</v>
      </c>
    </row>
    <row r="171" ht="14.25" customHeight="1">
      <c r="A171" s="15">
        <v>43961.0</v>
      </c>
      <c r="B171" s="16" t="s">
        <v>10</v>
      </c>
      <c r="C171" s="16">
        <v>21.0</v>
      </c>
      <c r="D171" s="16">
        <v>2016.0</v>
      </c>
      <c r="E171" s="16">
        <v>1846.0</v>
      </c>
    </row>
    <row r="172" ht="14.25" customHeight="1">
      <c r="A172" s="15">
        <v>43961.0</v>
      </c>
      <c r="B172" s="16" t="s">
        <v>20</v>
      </c>
      <c r="C172" s="16">
        <v>19.0</v>
      </c>
      <c r="D172" s="16">
        <v>1836.0</v>
      </c>
      <c r="E172" s="16">
        <v>1680.0</v>
      </c>
    </row>
    <row r="173" ht="14.25" customHeight="1">
      <c r="A173" s="15">
        <v>43961.0</v>
      </c>
      <c r="B173" s="16" t="s">
        <v>22</v>
      </c>
      <c r="C173" s="16">
        <v>54.0</v>
      </c>
      <c r="D173" s="16">
        <v>13832.0</v>
      </c>
      <c r="E173" s="16">
        <v>12864.0</v>
      </c>
    </row>
    <row r="174" ht="14.25" customHeight="1">
      <c r="A174" s="15">
        <v>43961.0</v>
      </c>
      <c r="B174" s="16" t="s">
        <v>21</v>
      </c>
      <c r="C174" s="16">
        <v>59.0</v>
      </c>
      <c r="D174" s="16">
        <v>14569.0</v>
      </c>
      <c r="E174" s="16">
        <v>13566.0</v>
      </c>
    </row>
    <row r="175" ht="14.25" customHeight="1">
      <c r="A175" s="15">
        <v>43961.0</v>
      </c>
      <c r="B175" s="16" t="s">
        <v>13</v>
      </c>
      <c r="C175" s="16">
        <v>19.0</v>
      </c>
      <c r="D175" s="16">
        <v>1848.0</v>
      </c>
      <c r="E175" s="16">
        <v>1649.0</v>
      </c>
    </row>
    <row r="176" ht="14.25" customHeight="1">
      <c r="A176" s="15">
        <v>43961.0</v>
      </c>
      <c r="B176" s="16" t="s">
        <v>23</v>
      </c>
      <c r="C176" s="16">
        <v>15.0</v>
      </c>
      <c r="D176" s="16">
        <v>792.0</v>
      </c>
      <c r="E176" s="16">
        <v>695.0</v>
      </c>
    </row>
    <row r="177" ht="14.25" customHeight="1">
      <c r="A177" s="15">
        <v>43961.0</v>
      </c>
      <c r="B177" s="16" t="s">
        <v>18</v>
      </c>
      <c r="C177" s="16">
        <v>15.0</v>
      </c>
      <c r="D177" s="16">
        <v>950.0</v>
      </c>
      <c r="E177" s="16">
        <v>848.0</v>
      </c>
    </row>
    <row r="178" ht="14.25" customHeight="1">
      <c r="A178" s="15">
        <v>43961.0</v>
      </c>
      <c r="B178" s="16" t="s">
        <v>19</v>
      </c>
      <c r="C178" s="16">
        <v>15.0</v>
      </c>
      <c r="D178" s="16">
        <v>706.0</v>
      </c>
      <c r="E178" s="16">
        <v>608.0</v>
      </c>
    </row>
    <row r="179" ht="14.25" customHeight="1">
      <c r="A179" s="15">
        <v>43961.0</v>
      </c>
      <c r="B179" s="16" t="s">
        <v>15</v>
      </c>
      <c r="C179" s="16">
        <v>125.0</v>
      </c>
      <c r="D179" s="16">
        <v>20368.0</v>
      </c>
      <c r="E179" s="16">
        <v>18884.0</v>
      </c>
    </row>
    <row r="180" ht="14.25" customHeight="1">
      <c r="A180" s="15">
        <v>43961.0</v>
      </c>
      <c r="B180" s="16" t="s">
        <v>14</v>
      </c>
      <c r="C180" s="16">
        <v>129.0</v>
      </c>
      <c r="D180" s="16">
        <v>16437.0</v>
      </c>
      <c r="E180" s="16">
        <v>15285.0</v>
      </c>
    </row>
    <row r="181" ht="14.25" customHeight="1">
      <c r="A181" s="15">
        <v>43961.0</v>
      </c>
      <c r="B181" s="16" t="s">
        <v>12</v>
      </c>
      <c r="C181" s="16">
        <v>10.0</v>
      </c>
      <c r="D181" s="16">
        <v>642.0</v>
      </c>
      <c r="E181" s="16">
        <v>556.0</v>
      </c>
    </row>
    <row r="182" ht="14.25" customHeight="1">
      <c r="A182" s="15">
        <v>43962.0</v>
      </c>
      <c r="B182" s="16" t="s">
        <v>16</v>
      </c>
      <c r="C182" s="16">
        <v>36.0</v>
      </c>
      <c r="D182" s="16">
        <v>4150.0</v>
      </c>
      <c r="E182" s="16">
        <v>3838.0</v>
      </c>
    </row>
    <row r="183" ht="14.25" customHeight="1">
      <c r="A183" s="15">
        <v>43962.0</v>
      </c>
      <c r="B183" s="16" t="s">
        <v>11</v>
      </c>
      <c r="C183" s="16">
        <v>31.0</v>
      </c>
      <c r="D183" s="16">
        <v>4826.0</v>
      </c>
      <c r="E183" s="16">
        <v>4483.0</v>
      </c>
    </row>
    <row r="184" ht="14.25" customHeight="1">
      <c r="A184" s="15">
        <v>43962.0</v>
      </c>
      <c r="B184" s="16" t="s">
        <v>17</v>
      </c>
      <c r="C184" s="16">
        <v>21.0</v>
      </c>
      <c r="D184" s="16">
        <v>1916.0</v>
      </c>
      <c r="E184" s="16">
        <v>1733.0</v>
      </c>
    </row>
    <row r="185" ht="14.25" customHeight="1">
      <c r="A185" s="15">
        <v>43962.0</v>
      </c>
      <c r="B185" s="16" t="s">
        <v>10</v>
      </c>
      <c r="C185" s="16">
        <v>21.0</v>
      </c>
      <c r="D185" s="16">
        <v>1597.0</v>
      </c>
      <c r="E185" s="16">
        <v>1457.0</v>
      </c>
    </row>
    <row r="186" ht="14.25" customHeight="1">
      <c r="A186" s="15">
        <v>43962.0</v>
      </c>
      <c r="B186" s="16" t="s">
        <v>20</v>
      </c>
      <c r="C186" s="16">
        <v>19.0</v>
      </c>
      <c r="D186" s="16">
        <v>1527.0</v>
      </c>
      <c r="E186" s="16">
        <v>1389.0</v>
      </c>
    </row>
    <row r="187" ht="14.25" customHeight="1">
      <c r="A187" s="15">
        <v>43962.0</v>
      </c>
      <c r="B187" s="16" t="s">
        <v>22</v>
      </c>
      <c r="C187" s="16">
        <v>54.0</v>
      </c>
      <c r="D187" s="16">
        <v>10570.0</v>
      </c>
      <c r="E187" s="16">
        <v>9926.0</v>
      </c>
    </row>
    <row r="188" ht="14.25" customHeight="1">
      <c r="A188" s="15">
        <v>43962.0</v>
      </c>
      <c r="B188" s="16" t="s">
        <v>21</v>
      </c>
      <c r="C188" s="16">
        <v>60.0</v>
      </c>
      <c r="D188" s="16">
        <v>11100.0</v>
      </c>
      <c r="E188" s="16">
        <v>10407.0</v>
      </c>
    </row>
    <row r="189" ht="14.25" customHeight="1">
      <c r="A189" s="15">
        <v>43962.0</v>
      </c>
      <c r="B189" s="16" t="s">
        <v>13</v>
      </c>
      <c r="C189" s="16">
        <v>19.0</v>
      </c>
      <c r="D189" s="16">
        <v>2530.0</v>
      </c>
      <c r="E189" s="16">
        <v>2270.0</v>
      </c>
    </row>
    <row r="190" ht="14.25" customHeight="1">
      <c r="A190" s="15">
        <v>43962.0</v>
      </c>
      <c r="B190" s="16" t="s">
        <v>23</v>
      </c>
      <c r="C190" s="16">
        <v>15.0</v>
      </c>
      <c r="D190" s="16">
        <v>654.0</v>
      </c>
      <c r="E190" s="16">
        <v>564.0</v>
      </c>
    </row>
    <row r="191" ht="14.25" customHeight="1">
      <c r="A191" s="15">
        <v>43962.0</v>
      </c>
      <c r="B191" s="16" t="s">
        <v>18</v>
      </c>
      <c r="C191" s="16">
        <v>15.0</v>
      </c>
      <c r="D191" s="16">
        <v>812.0</v>
      </c>
      <c r="E191" s="16">
        <v>714.0</v>
      </c>
    </row>
    <row r="192" ht="14.25" customHeight="1">
      <c r="A192" s="15">
        <v>43962.0</v>
      </c>
      <c r="B192" s="16" t="s">
        <v>19</v>
      </c>
      <c r="C192" s="16">
        <v>15.0</v>
      </c>
      <c r="D192" s="16">
        <v>684.0</v>
      </c>
      <c r="E192" s="16">
        <v>585.0</v>
      </c>
    </row>
    <row r="193" ht="14.25" customHeight="1">
      <c r="A193" s="15">
        <v>43962.0</v>
      </c>
      <c r="B193" s="16" t="s">
        <v>15</v>
      </c>
      <c r="C193" s="16">
        <v>125.0</v>
      </c>
      <c r="D193" s="16">
        <v>18066.0</v>
      </c>
      <c r="E193" s="16">
        <v>16883.0</v>
      </c>
    </row>
    <row r="194" ht="14.25" customHeight="1">
      <c r="A194" s="15">
        <v>43962.0</v>
      </c>
      <c r="B194" s="16" t="s">
        <v>14</v>
      </c>
      <c r="C194" s="16">
        <v>129.0</v>
      </c>
      <c r="D194" s="16">
        <v>14043.0</v>
      </c>
      <c r="E194" s="16">
        <v>13167.0</v>
      </c>
    </row>
    <row r="195" ht="14.25" customHeight="1">
      <c r="A195" s="15">
        <v>43962.0</v>
      </c>
      <c r="B195" s="16" t="s">
        <v>12</v>
      </c>
      <c r="C195" s="16">
        <v>10.0</v>
      </c>
      <c r="D195" s="16">
        <v>494.0</v>
      </c>
      <c r="E195" s="16">
        <v>421.0</v>
      </c>
    </row>
    <row r="196" ht="14.25" customHeight="1">
      <c r="A196" s="15">
        <v>43963.0</v>
      </c>
      <c r="B196" s="16" t="s">
        <v>16</v>
      </c>
      <c r="C196" s="16">
        <v>36.0</v>
      </c>
      <c r="D196" s="16">
        <v>4418.0</v>
      </c>
      <c r="E196" s="16">
        <v>4088.0</v>
      </c>
    </row>
    <row r="197" ht="14.25" customHeight="1">
      <c r="A197" s="15">
        <v>43963.0</v>
      </c>
      <c r="B197" s="16" t="s">
        <v>11</v>
      </c>
      <c r="C197" s="16">
        <v>31.0</v>
      </c>
      <c r="D197" s="16">
        <v>4800.0</v>
      </c>
      <c r="E197" s="16">
        <v>4470.0</v>
      </c>
    </row>
    <row r="198" ht="14.25" customHeight="1">
      <c r="A198" s="15">
        <v>43963.0</v>
      </c>
      <c r="B198" s="16" t="s">
        <v>17</v>
      </c>
      <c r="C198" s="16">
        <v>21.0</v>
      </c>
      <c r="D198" s="16">
        <v>1926.0</v>
      </c>
      <c r="E198" s="16">
        <v>1745.0</v>
      </c>
    </row>
    <row r="199" ht="14.25" customHeight="1">
      <c r="A199" s="15">
        <v>43963.0</v>
      </c>
      <c r="B199" s="16" t="s">
        <v>10</v>
      </c>
      <c r="C199" s="16">
        <v>21.0</v>
      </c>
      <c r="D199" s="16">
        <v>1656.0</v>
      </c>
      <c r="E199" s="16">
        <v>1516.0</v>
      </c>
    </row>
    <row r="200" ht="14.25" customHeight="1">
      <c r="A200" s="15">
        <v>43963.0</v>
      </c>
      <c r="B200" s="16" t="s">
        <v>20</v>
      </c>
      <c r="C200" s="16">
        <v>19.0</v>
      </c>
      <c r="D200" s="16">
        <v>1598.0</v>
      </c>
      <c r="E200" s="16">
        <v>1454.0</v>
      </c>
    </row>
    <row r="201" ht="14.25" customHeight="1">
      <c r="A201" s="15">
        <v>43963.0</v>
      </c>
      <c r="B201" s="16" t="s">
        <v>22</v>
      </c>
      <c r="C201" s="16">
        <v>54.0</v>
      </c>
      <c r="D201" s="16">
        <v>11614.0</v>
      </c>
      <c r="E201" s="16">
        <v>10862.0</v>
      </c>
    </row>
    <row r="202" ht="14.25" customHeight="1">
      <c r="A202" s="15">
        <v>43963.0</v>
      </c>
      <c r="B202" s="16" t="s">
        <v>21</v>
      </c>
      <c r="C202" s="16">
        <v>60.0</v>
      </c>
      <c r="D202" s="16">
        <v>12000.0</v>
      </c>
      <c r="E202" s="16">
        <v>11194.0</v>
      </c>
    </row>
    <row r="203" ht="14.25" customHeight="1">
      <c r="A203" s="15">
        <v>43963.0</v>
      </c>
      <c r="B203" s="16" t="s">
        <v>13</v>
      </c>
      <c r="C203" s="16">
        <v>19.0</v>
      </c>
      <c r="D203" s="16">
        <v>1649.0</v>
      </c>
      <c r="E203" s="16">
        <v>1460.0</v>
      </c>
    </row>
    <row r="204" ht="14.25" customHeight="1">
      <c r="A204" s="15">
        <v>43963.0</v>
      </c>
      <c r="B204" s="16" t="s">
        <v>23</v>
      </c>
      <c r="C204" s="16">
        <v>15.0</v>
      </c>
      <c r="D204" s="16">
        <v>750.0</v>
      </c>
      <c r="E204" s="16">
        <v>659.0</v>
      </c>
    </row>
    <row r="205" ht="14.25" customHeight="1">
      <c r="A205" s="15">
        <v>43963.0</v>
      </c>
      <c r="B205" s="16" t="s">
        <v>18</v>
      </c>
      <c r="C205" s="16">
        <v>15.0</v>
      </c>
      <c r="D205" s="16">
        <v>845.0</v>
      </c>
      <c r="E205" s="16">
        <v>743.0</v>
      </c>
    </row>
    <row r="206" ht="14.25" customHeight="1">
      <c r="A206" s="15">
        <v>43963.0</v>
      </c>
      <c r="B206" s="16" t="s">
        <v>19</v>
      </c>
      <c r="C206" s="16">
        <v>15.0</v>
      </c>
      <c r="D206" s="16">
        <v>624.0</v>
      </c>
      <c r="E206" s="16">
        <v>538.0</v>
      </c>
    </row>
    <row r="207" ht="14.25" customHeight="1">
      <c r="A207" s="15">
        <v>43963.0</v>
      </c>
      <c r="B207" s="16" t="s">
        <v>15</v>
      </c>
      <c r="C207" s="16">
        <v>125.0</v>
      </c>
      <c r="D207" s="16">
        <v>21106.0</v>
      </c>
      <c r="E207" s="16">
        <v>19651.0</v>
      </c>
    </row>
    <row r="208" ht="14.25" customHeight="1">
      <c r="A208" s="15">
        <v>43963.0</v>
      </c>
      <c r="B208" s="16" t="s">
        <v>14</v>
      </c>
      <c r="C208" s="16">
        <v>129.0</v>
      </c>
      <c r="D208" s="16">
        <v>16387.0</v>
      </c>
      <c r="E208" s="16">
        <v>15322.0</v>
      </c>
    </row>
    <row r="209" ht="14.25" customHeight="1">
      <c r="A209" s="15">
        <v>43963.0</v>
      </c>
      <c r="B209" s="16" t="s">
        <v>12</v>
      </c>
      <c r="C209" s="16">
        <v>10.0</v>
      </c>
      <c r="D209" s="16">
        <v>526.0</v>
      </c>
      <c r="E209" s="16">
        <v>448.0</v>
      </c>
    </row>
    <row r="210" ht="14.25" customHeight="1">
      <c r="A210" s="15">
        <v>43964.0</v>
      </c>
      <c r="B210" s="16" t="s">
        <v>16</v>
      </c>
      <c r="C210" s="16">
        <v>36.0</v>
      </c>
      <c r="D210" s="16">
        <v>4967.0</v>
      </c>
      <c r="E210" s="16">
        <v>4583.0</v>
      </c>
    </row>
    <row r="211" ht="14.25" customHeight="1">
      <c r="A211" s="15">
        <v>43964.0</v>
      </c>
      <c r="B211" s="16" t="s">
        <v>11</v>
      </c>
      <c r="C211" s="16">
        <v>31.0</v>
      </c>
      <c r="D211" s="16">
        <v>5251.0</v>
      </c>
      <c r="E211" s="16">
        <v>4853.0</v>
      </c>
    </row>
    <row r="212" ht="14.25" customHeight="1">
      <c r="A212" s="15">
        <v>43964.0</v>
      </c>
      <c r="B212" s="16" t="s">
        <v>17</v>
      </c>
      <c r="C212" s="16">
        <v>21.0</v>
      </c>
      <c r="D212" s="16">
        <v>2061.0</v>
      </c>
      <c r="E212" s="16">
        <v>1876.0</v>
      </c>
    </row>
    <row r="213" ht="14.25" customHeight="1">
      <c r="A213" s="15">
        <v>43964.0</v>
      </c>
      <c r="B213" s="16" t="s">
        <v>10</v>
      </c>
      <c r="C213" s="16">
        <v>21.0</v>
      </c>
      <c r="D213" s="16">
        <v>1698.0</v>
      </c>
      <c r="E213" s="16">
        <v>1554.0</v>
      </c>
    </row>
    <row r="214" ht="14.25" customHeight="1">
      <c r="A214" s="15">
        <v>43964.0</v>
      </c>
      <c r="B214" s="16" t="s">
        <v>20</v>
      </c>
      <c r="C214" s="16">
        <v>19.0</v>
      </c>
      <c r="D214" s="16">
        <v>1605.0</v>
      </c>
      <c r="E214" s="16">
        <v>1447.0</v>
      </c>
    </row>
    <row r="215" ht="14.25" customHeight="1">
      <c r="A215" s="15">
        <v>43964.0</v>
      </c>
      <c r="B215" s="16" t="s">
        <v>22</v>
      </c>
      <c r="C215" s="16">
        <v>54.0</v>
      </c>
      <c r="D215" s="16">
        <v>11522.0</v>
      </c>
      <c r="E215" s="16">
        <v>10803.0</v>
      </c>
    </row>
    <row r="216" ht="14.25" customHeight="1">
      <c r="A216" s="15">
        <v>43964.0</v>
      </c>
      <c r="B216" s="16" t="s">
        <v>21</v>
      </c>
      <c r="C216" s="16">
        <v>60.0</v>
      </c>
      <c r="D216" s="16">
        <v>12007.0</v>
      </c>
      <c r="E216" s="16">
        <v>11245.0</v>
      </c>
    </row>
    <row r="217" ht="14.25" customHeight="1">
      <c r="A217" s="15">
        <v>43964.0</v>
      </c>
      <c r="B217" s="16" t="s">
        <v>13</v>
      </c>
      <c r="C217" s="16">
        <v>19.0</v>
      </c>
      <c r="D217" s="16">
        <v>1625.0</v>
      </c>
      <c r="E217" s="16">
        <v>1444.0</v>
      </c>
    </row>
    <row r="218" ht="14.25" customHeight="1">
      <c r="A218" s="15">
        <v>43964.0</v>
      </c>
      <c r="B218" s="16" t="s">
        <v>23</v>
      </c>
      <c r="C218" s="16">
        <v>15.0</v>
      </c>
      <c r="D218" s="16">
        <v>854.0</v>
      </c>
      <c r="E218" s="16">
        <v>756.0</v>
      </c>
    </row>
    <row r="219" ht="14.25" customHeight="1">
      <c r="A219" s="15">
        <v>43964.0</v>
      </c>
      <c r="B219" s="16" t="s">
        <v>18</v>
      </c>
      <c r="C219" s="16">
        <v>15.0</v>
      </c>
      <c r="D219" s="16">
        <v>898.0</v>
      </c>
      <c r="E219" s="16">
        <v>795.0</v>
      </c>
    </row>
    <row r="220" ht="14.25" customHeight="1">
      <c r="A220" s="15">
        <v>43964.0</v>
      </c>
      <c r="B220" s="16" t="s">
        <v>19</v>
      </c>
      <c r="C220" s="16">
        <v>15.0</v>
      </c>
      <c r="D220" s="16">
        <v>599.0</v>
      </c>
      <c r="E220" s="16">
        <v>515.0</v>
      </c>
    </row>
    <row r="221" ht="14.25" customHeight="1">
      <c r="A221" s="15">
        <v>43964.0</v>
      </c>
      <c r="B221" s="16" t="s">
        <v>15</v>
      </c>
      <c r="C221" s="16">
        <v>125.0</v>
      </c>
      <c r="D221" s="16">
        <v>19965.0</v>
      </c>
      <c r="E221" s="16">
        <v>18573.0</v>
      </c>
    </row>
    <row r="222" ht="14.25" customHeight="1">
      <c r="A222" s="15">
        <v>43964.0</v>
      </c>
      <c r="B222" s="16" t="s">
        <v>14</v>
      </c>
      <c r="C222" s="16">
        <v>129.0</v>
      </c>
      <c r="D222" s="16">
        <v>15304.0</v>
      </c>
      <c r="E222" s="16">
        <v>14315.0</v>
      </c>
    </row>
    <row r="223" ht="14.25" customHeight="1">
      <c r="A223" s="15">
        <v>43964.0</v>
      </c>
      <c r="B223" s="16" t="s">
        <v>12</v>
      </c>
      <c r="C223" s="16">
        <v>10.0</v>
      </c>
      <c r="D223" s="16">
        <v>612.0</v>
      </c>
      <c r="E223" s="16">
        <v>530.0</v>
      </c>
    </row>
    <row r="224" ht="14.25" customHeight="1">
      <c r="A224" s="15">
        <v>43965.0</v>
      </c>
      <c r="B224" s="16" t="s">
        <v>16</v>
      </c>
      <c r="C224" s="16">
        <v>36.0</v>
      </c>
      <c r="D224" s="16">
        <v>4285.0</v>
      </c>
      <c r="E224" s="16">
        <v>3950.0</v>
      </c>
    </row>
    <row r="225" ht="14.25" customHeight="1">
      <c r="A225" s="15">
        <v>43965.0</v>
      </c>
      <c r="B225" s="16" t="s">
        <v>11</v>
      </c>
      <c r="C225" s="16">
        <v>31.0</v>
      </c>
      <c r="D225" s="16">
        <v>4695.0</v>
      </c>
      <c r="E225" s="16">
        <v>4372.0</v>
      </c>
    </row>
    <row r="226" ht="14.25" customHeight="1">
      <c r="A226" s="15">
        <v>43965.0</v>
      </c>
      <c r="B226" s="16" t="s">
        <v>17</v>
      </c>
      <c r="C226" s="16">
        <v>21.0</v>
      </c>
      <c r="D226" s="16">
        <v>1993.0</v>
      </c>
      <c r="E226" s="16">
        <v>1796.0</v>
      </c>
    </row>
    <row r="227" ht="14.25" customHeight="1">
      <c r="A227" s="15">
        <v>43965.0</v>
      </c>
      <c r="B227" s="16" t="s">
        <v>10</v>
      </c>
      <c r="C227" s="16">
        <v>21.0</v>
      </c>
      <c r="D227" s="16">
        <v>1706.0</v>
      </c>
      <c r="E227" s="16">
        <v>1548.0</v>
      </c>
    </row>
    <row r="228" ht="14.25" customHeight="1">
      <c r="A228" s="15">
        <v>43965.0</v>
      </c>
      <c r="B228" s="16" t="s">
        <v>20</v>
      </c>
      <c r="C228" s="16">
        <v>19.0</v>
      </c>
      <c r="D228" s="16">
        <v>1635.0</v>
      </c>
      <c r="E228" s="16">
        <v>1487.0</v>
      </c>
    </row>
    <row r="229" ht="14.25" customHeight="1">
      <c r="A229" s="15">
        <v>43965.0</v>
      </c>
      <c r="B229" s="16" t="s">
        <v>22</v>
      </c>
      <c r="C229" s="16">
        <v>54.0</v>
      </c>
      <c r="D229" s="16">
        <v>11194.0</v>
      </c>
      <c r="E229" s="16">
        <v>10554.0</v>
      </c>
    </row>
    <row r="230" ht="14.25" customHeight="1">
      <c r="A230" s="15">
        <v>43965.0</v>
      </c>
      <c r="B230" s="16" t="s">
        <v>21</v>
      </c>
      <c r="C230" s="16">
        <v>60.0</v>
      </c>
      <c r="D230" s="16">
        <v>11935.0</v>
      </c>
      <c r="E230" s="16">
        <v>11178.0</v>
      </c>
    </row>
    <row r="231" ht="14.25" customHeight="1">
      <c r="A231" s="15">
        <v>43965.0</v>
      </c>
      <c r="B231" s="16" t="s">
        <v>13</v>
      </c>
      <c r="C231" s="16">
        <v>19.0</v>
      </c>
      <c r="D231" s="16">
        <v>1675.0</v>
      </c>
      <c r="E231" s="16">
        <v>1475.0</v>
      </c>
    </row>
    <row r="232" ht="14.25" customHeight="1">
      <c r="A232" s="15">
        <v>43965.0</v>
      </c>
      <c r="B232" s="16" t="s">
        <v>23</v>
      </c>
      <c r="C232" s="16">
        <v>16.0</v>
      </c>
      <c r="D232" s="16">
        <v>834.0</v>
      </c>
      <c r="E232" s="16">
        <v>735.0</v>
      </c>
    </row>
    <row r="233" ht="14.25" customHeight="1">
      <c r="A233" s="15">
        <v>43965.0</v>
      </c>
      <c r="B233" s="16" t="s">
        <v>18</v>
      </c>
      <c r="C233" s="16">
        <v>15.0</v>
      </c>
      <c r="D233" s="16">
        <v>890.0</v>
      </c>
      <c r="E233" s="16">
        <v>777.0</v>
      </c>
    </row>
    <row r="234" ht="14.25" customHeight="1">
      <c r="A234" s="15">
        <v>43965.0</v>
      </c>
      <c r="B234" s="16" t="s">
        <v>19</v>
      </c>
      <c r="C234" s="16">
        <v>15.0</v>
      </c>
      <c r="D234" s="16">
        <v>638.0</v>
      </c>
      <c r="E234" s="16">
        <v>548.0</v>
      </c>
    </row>
    <row r="235" ht="14.25" customHeight="1">
      <c r="A235" s="15">
        <v>43965.0</v>
      </c>
      <c r="B235" s="16" t="s">
        <v>15</v>
      </c>
      <c r="C235" s="16">
        <v>125.0</v>
      </c>
      <c r="D235" s="16">
        <v>20247.0</v>
      </c>
      <c r="E235" s="16">
        <v>18812.0</v>
      </c>
    </row>
    <row r="236" ht="14.25" customHeight="1">
      <c r="A236" s="15">
        <v>43965.0</v>
      </c>
      <c r="B236" s="16" t="s">
        <v>14</v>
      </c>
      <c r="C236" s="16">
        <v>129.0</v>
      </c>
      <c r="D236" s="16">
        <v>15804.0</v>
      </c>
      <c r="E236" s="16">
        <v>14738.0</v>
      </c>
    </row>
    <row r="237" ht="14.25" customHeight="1">
      <c r="A237" s="15">
        <v>43965.0</v>
      </c>
      <c r="B237" s="16" t="s">
        <v>12</v>
      </c>
      <c r="C237" s="16">
        <v>10.0</v>
      </c>
      <c r="D237" s="16">
        <v>627.0</v>
      </c>
      <c r="E237" s="16">
        <v>545.0</v>
      </c>
    </row>
    <row r="238" ht="14.25" customHeight="1">
      <c r="A238" s="15">
        <v>43966.0</v>
      </c>
      <c r="B238" s="16" t="s">
        <v>16</v>
      </c>
      <c r="C238" s="16">
        <v>36.0</v>
      </c>
      <c r="D238" s="16">
        <v>4862.0</v>
      </c>
      <c r="E238" s="16">
        <v>4476.0</v>
      </c>
    </row>
    <row r="239" ht="14.25" customHeight="1">
      <c r="A239" s="15">
        <v>43966.0</v>
      </c>
      <c r="B239" s="16" t="s">
        <v>11</v>
      </c>
      <c r="C239" s="16">
        <v>31.0</v>
      </c>
      <c r="D239" s="16">
        <v>5184.0</v>
      </c>
      <c r="E239" s="16">
        <v>4778.0</v>
      </c>
    </row>
    <row r="240" ht="14.25" customHeight="1">
      <c r="A240" s="15">
        <v>43966.0</v>
      </c>
      <c r="B240" s="16" t="s">
        <v>17</v>
      </c>
      <c r="C240" s="16">
        <v>21.0</v>
      </c>
      <c r="D240" s="16">
        <v>2255.0</v>
      </c>
      <c r="E240" s="16">
        <v>2045.0</v>
      </c>
    </row>
    <row r="241" ht="14.25" customHeight="1">
      <c r="A241" s="15">
        <v>43966.0</v>
      </c>
      <c r="B241" s="16" t="s">
        <v>10</v>
      </c>
      <c r="C241" s="16">
        <v>21.0</v>
      </c>
      <c r="D241" s="16">
        <v>1926.0</v>
      </c>
      <c r="E241" s="16">
        <v>1742.0</v>
      </c>
    </row>
    <row r="242" ht="14.25" customHeight="1">
      <c r="A242" s="15">
        <v>43966.0</v>
      </c>
      <c r="B242" s="16" t="s">
        <v>20</v>
      </c>
      <c r="C242" s="16">
        <v>19.0</v>
      </c>
      <c r="D242" s="16">
        <v>1780.0</v>
      </c>
      <c r="E242" s="16">
        <v>1615.0</v>
      </c>
    </row>
    <row r="243" ht="14.25" customHeight="1">
      <c r="A243" s="15">
        <v>43966.0</v>
      </c>
      <c r="B243" s="16" t="s">
        <v>22</v>
      </c>
      <c r="C243" s="16">
        <v>54.0</v>
      </c>
      <c r="D243" s="16">
        <v>12791.0</v>
      </c>
      <c r="E243" s="16">
        <v>11950.0</v>
      </c>
    </row>
    <row r="244" ht="14.25" customHeight="1">
      <c r="A244" s="15">
        <v>43966.0</v>
      </c>
      <c r="B244" s="16" t="s">
        <v>21</v>
      </c>
      <c r="C244" s="16">
        <v>60.0</v>
      </c>
      <c r="D244" s="16">
        <v>13544.0</v>
      </c>
      <c r="E244" s="16">
        <v>12643.0</v>
      </c>
    </row>
    <row r="245" ht="14.25" customHeight="1">
      <c r="A245" s="15">
        <v>43966.0</v>
      </c>
      <c r="B245" s="16" t="s">
        <v>13</v>
      </c>
      <c r="C245" s="16">
        <v>19.0</v>
      </c>
      <c r="D245" s="16">
        <v>1940.0</v>
      </c>
      <c r="E245" s="16">
        <v>1715.0</v>
      </c>
    </row>
    <row r="246" ht="14.25" customHeight="1">
      <c r="A246" s="15">
        <v>43966.0</v>
      </c>
      <c r="B246" s="16" t="s">
        <v>23</v>
      </c>
      <c r="C246" s="16">
        <v>16.0</v>
      </c>
      <c r="D246" s="16">
        <v>817.0</v>
      </c>
      <c r="E246" s="16">
        <v>718.0</v>
      </c>
    </row>
    <row r="247" ht="14.25" customHeight="1">
      <c r="A247" s="15">
        <v>43966.0</v>
      </c>
      <c r="B247" s="16" t="s">
        <v>18</v>
      </c>
      <c r="C247" s="16">
        <v>15.0</v>
      </c>
      <c r="D247" s="16">
        <v>980.0</v>
      </c>
      <c r="E247" s="16">
        <v>867.0</v>
      </c>
    </row>
    <row r="248" ht="14.25" customHeight="1">
      <c r="A248" s="15">
        <v>43966.0</v>
      </c>
      <c r="B248" s="16" t="s">
        <v>19</v>
      </c>
      <c r="C248" s="16">
        <v>15.0</v>
      </c>
      <c r="D248" s="16">
        <v>688.0</v>
      </c>
      <c r="E248" s="16">
        <v>598.0</v>
      </c>
    </row>
    <row r="249" ht="14.25" customHeight="1">
      <c r="A249" s="15">
        <v>43966.0</v>
      </c>
      <c r="B249" s="16" t="s">
        <v>15</v>
      </c>
      <c r="C249" s="16">
        <v>125.0</v>
      </c>
      <c r="D249" s="16">
        <v>21862.0</v>
      </c>
      <c r="E249" s="16">
        <v>20235.0</v>
      </c>
    </row>
    <row r="250" ht="14.25" customHeight="1">
      <c r="A250" s="15">
        <v>43966.0</v>
      </c>
      <c r="B250" s="16" t="s">
        <v>14</v>
      </c>
      <c r="C250" s="16">
        <v>129.0</v>
      </c>
      <c r="D250" s="16">
        <v>17808.0</v>
      </c>
      <c r="E250" s="16">
        <v>16486.0</v>
      </c>
    </row>
    <row r="251" ht="14.25" customHeight="1">
      <c r="A251" s="15">
        <v>43966.0</v>
      </c>
      <c r="B251" s="16" t="s">
        <v>12</v>
      </c>
      <c r="C251" s="16">
        <v>10.0</v>
      </c>
      <c r="D251" s="16">
        <v>743.0</v>
      </c>
      <c r="E251" s="16">
        <v>652.0</v>
      </c>
    </row>
    <row r="252" ht="14.25" customHeight="1">
      <c r="A252" s="15">
        <v>43967.0</v>
      </c>
      <c r="B252" s="16" t="s">
        <v>16</v>
      </c>
      <c r="C252" s="16">
        <v>36.0</v>
      </c>
      <c r="D252" s="16">
        <v>5286.0</v>
      </c>
      <c r="E252" s="16">
        <v>4867.0</v>
      </c>
    </row>
    <row r="253" ht="14.25" customHeight="1">
      <c r="A253" s="15">
        <v>43967.0</v>
      </c>
      <c r="B253" s="16" t="s">
        <v>11</v>
      </c>
      <c r="C253" s="16">
        <v>31.0</v>
      </c>
      <c r="D253" s="16">
        <v>5593.0</v>
      </c>
      <c r="E253" s="16">
        <v>5177.0</v>
      </c>
    </row>
    <row r="254" ht="14.25" customHeight="1">
      <c r="A254" s="15">
        <v>43967.0</v>
      </c>
      <c r="B254" s="16" t="s">
        <v>17</v>
      </c>
      <c r="C254" s="16">
        <v>21.0</v>
      </c>
      <c r="D254" s="16">
        <v>2427.0</v>
      </c>
      <c r="E254" s="16">
        <v>2213.0</v>
      </c>
    </row>
    <row r="255" ht="14.25" customHeight="1">
      <c r="A255" s="15">
        <v>43967.0</v>
      </c>
      <c r="B255" s="16" t="s">
        <v>10</v>
      </c>
      <c r="C255" s="16">
        <v>21.0</v>
      </c>
      <c r="D255" s="16">
        <v>2145.0</v>
      </c>
      <c r="E255" s="16">
        <v>1947.0</v>
      </c>
    </row>
    <row r="256" ht="14.25" customHeight="1">
      <c r="A256" s="15">
        <v>43967.0</v>
      </c>
      <c r="B256" s="16" t="s">
        <v>20</v>
      </c>
      <c r="C256" s="16">
        <v>19.0</v>
      </c>
      <c r="D256" s="16">
        <v>2039.0</v>
      </c>
      <c r="E256" s="16">
        <v>1868.0</v>
      </c>
    </row>
    <row r="257" ht="14.25" customHeight="1">
      <c r="A257" s="15">
        <v>43967.0</v>
      </c>
      <c r="B257" s="16" t="s">
        <v>22</v>
      </c>
      <c r="C257" s="16">
        <v>54.0</v>
      </c>
      <c r="D257" s="16">
        <v>13170.0</v>
      </c>
      <c r="E257" s="16">
        <v>12299.0</v>
      </c>
    </row>
    <row r="258" ht="14.25" customHeight="1">
      <c r="A258" s="15">
        <v>43967.0</v>
      </c>
      <c r="B258" s="16" t="s">
        <v>21</v>
      </c>
      <c r="C258" s="16">
        <v>60.0</v>
      </c>
      <c r="D258" s="16">
        <v>14049.0</v>
      </c>
      <c r="E258" s="16">
        <v>13118.0</v>
      </c>
    </row>
    <row r="259" ht="14.25" customHeight="1">
      <c r="A259" s="15">
        <v>43967.0</v>
      </c>
      <c r="B259" s="16" t="s">
        <v>13</v>
      </c>
      <c r="C259" s="16">
        <v>19.0</v>
      </c>
      <c r="D259" s="16">
        <v>2080.0</v>
      </c>
      <c r="E259" s="16">
        <v>1844.0</v>
      </c>
    </row>
    <row r="260" ht="14.25" customHeight="1">
      <c r="A260" s="15">
        <v>43967.0</v>
      </c>
      <c r="B260" s="16" t="s">
        <v>23</v>
      </c>
      <c r="C260" s="16">
        <v>16.0</v>
      </c>
      <c r="D260" s="16">
        <v>920.0</v>
      </c>
      <c r="E260" s="16">
        <v>818.0</v>
      </c>
    </row>
    <row r="261" ht="14.25" customHeight="1">
      <c r="A261" s="15">
        <v>43967.0</v>
      </c>
      <c r="B261" s="16" t="s">
        <v>18</v>
      </c>
      <c r="C261" s="16">
        <v>15.0</v>
      </c>
      <c r="D261" s="16">
        <v>1111.0</v>
      </c>
      <c r="E261" s="16">
        <v>992.0</v>
      </c>
    </row>
    <row r="262" ht="14.25" customHeight="1">
      <c r="A262" s="15">
        <v>43967.0</v>
      </c>
      <c r="B262" s="16" t="s">
        <v>19</v>
      </c>
      <c r="C262" s="16">
        <v>15.0</v>
      </c>
      <c r="D262" s="16">
        <v>747.0</v>
      </c>
      <c r="E262" s="16">
        <v>647.0</v>
      </c>
    </row>
    <row r="263" ht="14.25" customHeight="1">
      <c r="A263" s="15">
        <v>43967.0</v>
      </c>
      <c r="B263" s="16" t="s">
        <v>15</v>
      </c>
      <c r="C263" s="16">
        <v>125.0</v>
      </c>
      <c r="D263" s="16">
        <v>22291.0</v>
      </c>
      <c r="E263" s="16">
        <v>20635.0</v>
      </c>
    </row>
    <row r="264" ht="14.25" customHeight="1">
      <c r="A264" s="15">
        <v>43967.0</v>
      </c>
      <c r="B264" s="16" t="s">
        <v>14</v>
      </c>
      <c r="C264" s="16">
        <v>129.0</v>
      </c>
      <c r="D264" s="16">
        <v>17914.0</v>
      </c>
      <c r="E264" s="16">
        <v>16631.0</v>
      </c>
    </row>
    <row r="265" ht="14.25" customHeight="1">
      <c r="A265" s="15">
        <v>43967.0</v>
      </c>
      <c r="B265" s="16" t="s">
        <v>12</v>
      </c>
      <c r="C265" s="16">
        <v>10.0</v>
      </c>
      <c r="D265" s="16">
        <v>760.0</v>
      </c>
      <c r="E265" s="16">
        <v>672.0</v>
      </c>
    </row>
    <row r="266" ht="14.25" customHeight="1">
      <c r="A266" s="15">
        <v>43968.0</v>
      </c>
      <c r="B266" s="16" t="s">
        <v>16</v>
      </c>
      <c r="C266" s="16">
        <v>36.0</v>
      </c>
      <c r="D266" s="16">
        <v>4918.0</v>
      </c>
      <c r="E266" s="16">
        <v>4554.0</v>
      </c>
    </row>
    <row r="267" ht="14.25" customHeight="1">
      <c r="A267" s="15">
        <v>43968.0</v>
      </c>
      <c r="B267" s="16" t="s">
        <v>11</v>
      </c>
      <c r="C267" s="16">
        <v>31.0</v>
      </c>
      <c r="D267" s="16">
        <v>5206.0</v>
      </c>
      <c r="E267" s="16">
        <v>4843.0</v>
      </c>
    </row>
    <row r="268" ht="14.25" customHeight="1">
      <c r="A268" s="15">
        <v>43968.0</v>
      </c>
      <c r="B268" s="16" t="s">
        <v>17</v>
      </c>
      <c r="C268" s="16">
        <v>21.0</v>
      </c>
      <c r="D268" s="16">
        <v>2054.0</v>
      </c>
      <c r="E268" s="16">
        <v>1883.0</v>
      </c>
    </row>
    <row r="269" ht="14.25" customHeight="1">
      <c r="A269" s="15">
        <v>43968.0</v>
      </c>
      <c r="B269" s="16" t="s">
        <v>10</v>
      </c>
      <c r="C269" s="16">
        <v>21.0</v>
      </c>
      <c r="D269" s="16">
        <v>1874.0</v>
      </c>
      <c r="E269" s="16">
        <v>1705.0</v>
      </c>
    </row>
    <row r="270" ht="14.25" customHeight="1">
      <c r="A270" s="15">
        <v>43968.0</v>
      </c>
      <c r="B270" s="16" t="s">
        <v>20</v>
      </c>
      <c r="C270" s="16">
        <v>19.0</v>
      </c>
      <c r="D270" s="16">
        <v>1790.0</v>
      </c>
      <c r="E270" s="16">
        <v>1633.0</v>
      </c>
    </row>
    <row r="271" ht="14.25" customHeight="1">
      <c r="A271" s="15">
        <v>43968.0</v>
      </c>
      <c r="B271" s="16" t="s">
        <v>22</v>
      </c>
      <c r="C271" s="16">
        <v>54.0</v>
      </c>
      <c r="D271" s="16">
        <v>11128.0</v>
      </c>
      <c r="E271" s="16">
        <v>10467.0</v>
      </c>
    </row>
    <row r="272" ht="14.25" customHeight="1">
      <c r="A272" s="15">
        <v>43968.0</v>
      </c>
      <c r="B272" s="16" t="s">
        <v>21</v>
      </c>
      <c r="C272" s="16">
        <v>60.0</v>
      </c>
      <c r="D272" s="16">
        <v>11698.0</v>
      </c>
      <c r="E272" s="16">
        <v>10989.0</v>
      </c>
    </row>
    <row r="273" ht="14.25" customHeight="1">
      <c r="A273" s="15">
        <v>43968.0</v>
      </c>
      <c r="B273" s="16" t="s">
        <v>13</v>
      </c>
      <c r="C273" s="16">
        <v>19.0</v>
      </c>
      <c r="D273" s="16">
        <v>1871.0</v>
      </c>
      <c r="E273" s="16">
        <v>1660.0</v>
      </c>
    </row>
    <row r="274" ht="14.25" customHeight="1">
      <c r="A274" s="15">
        <v>43968.0</v>
      </c>
      <c r="B274" s="16" t="s">
        <v>23</v>
      </c>
      <c r="C274" s="16">
        <v>16.0</v>
      </c>
      <c r="D274" s="16">
        <v>859.0</v>
      </c>
      <c r="E274" s="16">
        <v>746.0</v>
      </c>
    </row>
    <row r="275" ht="14.25" customHeight="1">
      <c r="A275" s="15">
        <v>43968.0</v>
      </c>
      <c r="B275" s="16" t="s">
        <v>18</v>
      </c>
      <c r="C275" s="16">
        <v>15.0</v>
      </c>
      <c r="D275" s="16">
        <v>971.0</v>
      </c>
      <c r="E275" s="16">
        <v>856.0</v>
      </c>
    </row>
    <row r="276" ht="14.25" customHeight="1">
      <c r="A276" s="15">
        <v>43968.0</v>
      </c>
      <c r="B276" s="16" t="s">
        <v>19</v>
      </c>
      <c r="C276" s="16">
        <v>15.0</v>
      </c>
      <c r="D276" s="16">
        <v>692.0</v>
      </c>
      <c r="E276" s="16">
        <v>591.0</v>
      </c>
    </row>
    <row r="277" ht="14.25" customHeight="1">
      <c r="A277" s="15">
        <v>43968.0</v>
      </c>
      <c r="B277" s="16" t="s">
        <v>15</v>
      </c>
      <c r="C277" s="16">
        <v>125.0</v>
      </c>
      <c r="D277" s="16">
        <v>20079.0</v>
      </c>
      <c r="E277" s="16">
        <v>18721.0</v>
      </c>
    </row>
    <row r="278" ht="14.25" customHeight="1">
      <c r="A278" s="15">
        <v>43968.0</v>
      </c>
      <c r="B278" s="16" t="s">
        <v>14</v>
      </c>
      <c r="C278" s="16">
        <v>129.0</v>
      </c>
      <c r="D278" s="16">
        <v>15744.0</v>
      </c>
      <c r="E278" s="16">
        <v>14685.0</v>
      </c>
    </row>
    <row r="279" ht="14.25" customHeight="1">
      <c r="A279" s="15">
        <v>43968.0</v>
      </c>
      <c r="B279" s="16" t="s">
        <v>12</v>
      </c>
      <c r="C279" s="16">
        <v>10.0</v>
      </c>
      <c r="D279" s="16">
        <v>591.0</v>
      </c>
      <c r="E279" s="16">
        <v>513.0</v>
      </c>
    </row>
    <row r="280" ht="14.25" customHeight="1">
      <c r="A280" s="15">
        <v>43969.0</v>
      </c>
      <c r="B280" s="16" t="s">
        <v>16</v>
      </c>
      <c r="C280" s="16">
        <v>36.0</v>
      </c>
      <c r="D280" s="16">
        <v>4885.0</v>
      </c>
      <c r="E280" s="16">
        <v>4502.0</v>
      </c>
    </row>
    <row r="281" ht="14.25" customHeight="1">
      <c r="A281" s="15">
        <v>43969.0</v>
      </c>
      <c r="B281" s="16" t="s">
        <v>11</v>
      </c>
      <c r="C281" s="16">
        <v>31.0</v>
      </c>
      <c r="D281" s="16">
        <v>5165.0</v>
      </c>
      <c r="E281" s="16">
        <v>4813.0</v>
      </c>
    </row>
    <row r="282" ht="14.25" customHeight="1">
      <c r="A282" s="15">
        <v>43969.0</v>
      </c>
      <c r="B282" s="16" t="s">
        <v>17</v>
      </c>
      <c r="C282" s="16">
        <v>21.0</v>
      </c>
      <c r="D282" s="16">
        <v>2136.0</v>
      </c>
      <c r="E282" s="16">
        <v>1947.0</v>
      </c>
    </row>
    <row r="283" ht="14.25" customHeight="1">
      <c r="A283" s="15">
        <v>43969.0</v>
      </c>
      <c r="B283" s="16" t="s">
        <v>10</v>
      </c>
      <c r="C283" s="16">
        <v>21.0</v>
      </c>
      <c r="D283" s="16">
        <v>1834.0</v>
      </c>
      <c r="E283" s="16">
        <v>1660.0</v>
      </c>
    </row>
    <row r="284" ht="14.25" customHeight="1">
      <c r="A284" s="15">
        <v>43969.0</v>
      </c>
      <c r="B284" s="16" t="s">
        <v>20</v>
      </c>
      <c r="C284" s="16">
        <v>19.0</v>
      </c>
      <c r="D284" s="16">
        <v>1741.0</v>
      </c>
      <c r="E284" s="16">
        <v>1597.0</v>
      </c>
    </row>
    <row r="285" ht="14.25" customHeight="1">
      <c r="A285" s="15">
        <v>43969.0</v>
      </c>
      <c r="B285" s="16" t="s">
        <v>22</v>
      </c>
      <c r="C285" s="16">
        <v>54.0</v>
      </c>
      <c r="D285" s="16">
        <v>12012.0</v>
      </c>
      <c r="E285" s="16">
        <v>11308.0</v>
      </c>
    </row>
    <row r="286" ht="14.25" customHeight="1">
      <c r="A286" s="15">
        <v>43969.0</v>
      </c>
      <c r="B286" s="16" t="s">
        <v>21</v>
      </c>
      <c r="C286" s="16">
        <v>60.0</v>
      </c>
      <c r="D286" s="16">
        <v>12460.0</v>
      </c>
      <c r="E286" s="16">
        <v>11665.0</v>
      </c>
    </row>
    <row r="287" ht="14.25" customHeight="1">
      <c r="A287" s="15">
        <v>43969.0</v>
      </c>
      <c r="B287" s="16" t="s">
        <v>13</v>
      </c>
      <c r="C287" s="16">
        <v>19.0</v>
      </c>
      <c r="D287" s="16">
        <v>1858.0</v>
      </c>
      <c r="E287" s="16">
        <v>1648.0</v>
      </c>
    </row>
    <row r="288" ht="14.25" customHeight="1">
      <c r="A288" s="15">
        <v>43969.0</v>
      </c>
      <c r="B288" s="16" t="s">
        <v>23</v>
      </c>
      <c r="C288" s="16">
        <v>16.0</v>
      </c>
      <c r="D288" s="16">
        <v>864.0</v>
      </c>
      <c r="E288" s="16">
        <v>765.0</v>
      </c>
    </row>
    <row r="289" ht="14.25" customHeight="1">
      <c r="A289" s="15">
        <v>43969.0</v>
      </c>
      <c r="B289" s="16" t="s">
        <v>18</v>
      </c>
      <c r="C289" s="16">
        <v>16.0</v>
      </c>
      <c r="D289" s="16">
        <v>925.0</v>
      </c>
      <c r="E289" s="16">
        <v>816.0</v>
      </c>
    </row>
    <row r="290" ht="14.25" customHeight="1">
      <c r="A290" s="15">
        <v>43969.0</v>
      </c>
      <c r="B290" s="16" t="s">
        <v>19</v>
      </c>
      <c r="C290" s="16">
        <v>15.0</v>
      </c>
      <c r="D290" s="16">
        <v>729.0</v>
      </c>
      <c r="E290" s="16">
        <v>636.0</v>
      </c>
    </row>
    <row r="291" ht="14.25" customHeight="1">
      <c r="A291" s="15">
        <v>43969.0</v>
      </c>
      <c r="B291" s="16" t="s">
        <v>15</v>
      </c>
      <c r="C291" s="16">
        <v>125.0</v>
      </c>
      <c r="D291" s="16">
        <v>20449.0</v>
      </c>
      <c r="E291" s="16">
        <v>19060.0</v>
      </c>
    </row>
    <row r="292" ht="14.25" customHeight="1">
      <c r="A292" s="15">
        <v>43969.0</v>
      </c>
      <c r="B292" s="16" t="s">
        <v>14</v>
      </c>
      <c r="C292" s="16">
        <v>129.0</v>
      </c>
      <c r="D292" s="16">
        <v>16110.0</v>
      </c>
      <c r="E292" s="16">
        <v>14992.0</v>
      </c>
    </row>
    <row r="293" ht="14.25" customHeight="1">
      <c r="A293" s="15">
        <v>43969.0</v>
      </c>
      <c r="B293" s="16" t="s">
        <v>12</v>
      </c>
      <c r="C293" s="16">
        <v>10.0</v>
      </c>
      <c r="D293" s="16">
        <v>645.0</v>
      </c>
      <c r="E293" s="16">
        <v>565.0</v>
      </c>
    </row>
    <row r="294" ht="14.25" customHeight="1">
      <c r="A294" s="15">
        <v>43970.0</v>
      </c>
      <c r="B294" s="16" t="s">
        <v>16</v>
      </c>
      <c r="C294" s="16">
        <v>36.0</v>
      </c>
      <c r="D294" s="16">
        <v>5094.0</v>
      </c>
      <c r="E294" s="16">
        <v>4716.0</v>
      </c>
    </row>
    <row r="295" ht="14.25" customHeight="1">
      <c r="A295" s="15">
        <v>43970.0</v>
      </c>
      <c r="B295" s="16" t="s">
        <v>11</v>
      </c>
      <c r="C295" s="16">
        <v>31.0</v>
      </c>
      <c r="D295" s="16">
        <v>5389.0</v>
      </c>
      <c r="E295" s="16">
        <v>5024.0</v>
      </c>
    </row>
    <row r="296" ht="14.25" customHeight="1">
      <c r="A296" s="15">
        <v>43970.0</v>
      </c>
      <c r="B296" s="16" t="s">
        <v>17</v>
      </c>
      <c r="C296" s="16">
        <v>21.0</v>
      </c>
      <c r="D296" s="16">
        <v>2245.0</v>
      </c>
      <c r="E296" s="16">
        <v>2053.0</v>
      </c>
    </row>
    <row r="297" ht="14.25" customHeight="1">
      <c r="A297" s="15">
        <v>43970.0</v>
      </c>
      <c r="B297" s="16" t="s">
        <v>10</v>
      </c>
      <c r="C297" s="16">
        <v>21.0</v>
      </c>
      <c r="D297" s="16">
        <v>1860.0</v>
      </c>
      <c r="E297" s="16">
        <v>1704.0</v>
      </c>
    </row>
    <row r="298" ht="14.25" customHeight="1">
      <c r="A298" s="15">
        <v>43970.0</v>
      </c>
      <c r="B298" s="16" t="s">
        <v>20</v>
      </c>
      <c r="C298" s="16">
        <v>19.0</v>
      </c>
      <c r="D298" s="16">
        <v>1831.0</v>
      </c>
      <c r="E298" s="16">
        <v>1667.0</v>
      </c>
    </row>
    <row r="299" ht="14.25" customHeight="1">
      <c r="A299" s="15">
        <v>43970.0</v>
      </c>
      <c r="B299" s="16" t="s">
        <v>22</v>
      </c>
      <c r="C299" s="16">
        <v>54.0</v>
      </c>
      <c r="D299" s="16">
        <v>13070.0</v>
      </c>
      <c r="E299" s="16">
        <v>12244.0</v>
      </c>
    </row>
    <row r="300" ht="14.25" customHeight="1">
      <c r="A300" s="15">
        <v>43970.0</v>
      </c>
      <c r="B300" s="16" t="s">
        <v>21</v>
      </c>
      <c r="C300" s="16">
        <v>60.0</v>
      </c>
      <c r="D300" s="16">
        <v>13867.0</v>
      </c>
      <c r="E300" s="16">
        <v>12987.0</v>
      </c>
    </row>
    <row r="301" ht="14.25" customHeight="1">
      <c r="A301" s="15">
        <v>43970.0</v>
      </c>
      <c r="B301" s="16" t="s">
        <v>13</v>
      </c>
      <c r="C301" s="16">
        <v>19.0</v>
      </c>
      <c r="D301" s="16">
        <v>1999.0</v>
      </c>
      <c r="E301" s="16">
        <v>1799.0</v>
      </c>
    </row>
    <row r="302" ht="14.25" customHeight="1">
      <c r="A302" s="15">
        <v>43970.0</v>
      </c>
      <c r="B302" s="16" t="s">
        <v>23</v>
      </c>
      <c r="C302" s="16">
        <v>17.0</v>
      </c>
      <c r="D302" s="16">
        <v>857.0</v>
      </c>
      <c r="E302" s="16">
        <v>757.0</v>
      </c>
    </row>
    <row r="303" ht="14.25" customHeight="1">
      <c r="A303" s="15">
        <v>43970.0</v>
      </c>
      <c r="B303" s="16" t="s">
        <v>18</v>
      </c>
      <c r="C303" s="16">
        <v>16.0</v>
      </c>
      <c r="D303" s="16">
        <v>1012.0</v>
      </c>
      <c r="E303" s="16">
        <v>900.0</v>
      </c>
    </row>
    <row r="304" ht="14.25" customHeight="1">
      <c r="A304" s="15">
        <v>43970.0</v>
      </c>
      <c r="B304" s="16" t="s">
        <v>19</v>
      </c>
      <c r="C304" s="16">
        <v>15.0</v>
      </c>
      <c r="D304" s="16">
        <v>930.0</v>
      </c>
      <c r="E304" s="16">
        <v>827.0</v>
      </c>
    </row>
    <row r="305" ht="14.25" customHeight="1">
      <c r="A305" s="15">
        <v>43970.0</v>
      </c>
      <c r="B305" s="16" t="s">
        <v>15</v>
      </c>
      <c r="C305" s="16">
        <v>125.0</v>
      </c>
      <c r="D305" s="16">
        <v>20771.0</v>
      </c>
      <c r="E305" s="16">
        <v>19338.0</v>
      </c>
    </row>
    <row r="306" ht="14.25" customHeight="1">
      <c r="A306" s="15">
        <v>43970.0</v>
      </c>
      <c r="B306" s="16" t="s">
        <v>14</v>
      </c>
      <c r="C306" s="16">
        <v>129.0</v>
      </c>
      <c r="D306" s="16">
        <v>16191.0</v>
      </c>
      <c r="E306" s="16">
        <v>15102.0</v>
      </c>
    </row>
    <row r="307" ht="14.25" customHeight="1">
      <c r="A307" s="15">
        <v>43970.0</v>
      </c>
      <c r="B307" s="16" t="s">
        <v>12</v>
      </c>
      <c r="C307" s="16">
        <v>10.0</v>
      </c>
      <c r="D307" s="16">
        <v>649.0</v>
      </c>
      <c r="E307" s="16">
        <v>568.0</v>
      </c>
    </row>
    <row r="308" ht="14.25" customHeight="1">
      <c r="A308" s="15">
        <v>43971.0</v>
      </c>
      <c r="B308" s="16" t="s">
        <v>16</v>
      </c>
      <c r="C308" s="16">
        <v>36.0</v>
      </c>
      <c r="D308" s="16">
        <v>5914.0</v>
      </c>
      <c r="E308" s="16">
        <v>5384.0</v>
      </c>
    </row>
    <row r="309" ht="14.25" customHeight="1">
      <c r="A309" s="15">
        <v>43971.0</v>
      </c>
      <c r="B309" s="16" t="s">
        <v>11</v>
      </c>
      <c r="C309" s="16">
        <v>31.0</v>
      </c>
      <c r="D309" s="16">
        <v>5698.0</v>
      </c>
      <c r="E309" s="16">
        <v>5258.0</v>
      </c>
    </row>
    <row r="310" ht="14.25" customHeight="1">
      <c r="A310" s="15">
        <v>43971.0</v>
      </c>
      <c r="B310" s="16" t="s">
        <v>17</v>
      </c>
      <c r="C310" s="16">
        <v>21.0</v>
      </c>
      <c r="D310" s="16">
        <v>2410.0</v>
      </c>
      <c r="E310" s="16">
        <v>2202.0</v>
      </c>
    </row>
    <row r="311" ht="14.25" customHeight="1">
      <c r="A311" s="15">
        <v>43971.0</v>
      </c>
      <c r="B311" s="16" t="s">
        <v>10</v>
      </c>
      <c r="C311" s="16">
        <v>21.0</v>
      </c>
      <c r="D311" s="16">
        <v>1921.0</v>
      </c>
      <c r="E311" s="16">
        <v>1767.0</v>
      </c>
    </row>
    <row r="312" ht="14.25" customHeight="1">
      <c r="A312" s="15">
        <v>43971.0</v>
      </c>
      <c r="B312" s="16" t="s">
        <v>20</v>
      </c>
      <c r="C312" s="16">
        <v>19.0</v>
      </c>
      <c r="D312" s="16">
        <v>1823.0</v>
      </c>
      <c r="E312" s="16">
        <v>1678.0</v>
      </c>
    </row>
    <row r="313" ht="14.25" customHeight="1">
      <c r="A313" s="15">
        <v>43971.0</v>
      </c>
      <c r="B313" s="16" t="s">
        <v>22</v>
      </c>
      <c r="C313" s="16">
        <v>54.0</v>
      </c>
      <c r="D313" s="16">
        <v>13298.0</v>
      </c>
      <c r="E313" s="16">
        <v>12428.0</v>
      </c>
    </row>
    <row r="314" ht="14.25" customHeight="1">
      <c r="A314" s="15">
        <v>43971.0</v>
      </c>
      <c r="B314" s="16" t="s">
        <v>21</v>
      </c>
      <c r="C314" s="16">
        <v>60.0</v>
      </c>
      <c r="D314" s="16">
        <v>13792.0</v>
      </c>
      <c r="E314" s="16">
        <v>12834.0</v>
      </c>
    </row>
    <row r="315" ht="14.25" customHeight="1">
      <c r="A315" s="15">
        <v>43971.0</v>
      </c>
      <c r="B315" s="16" t="s">
        <v>13</v>
      </c>
      <c r="C315" s="16">
        <v>19.0</v>
      </c>
      <c r="D315" s="16">
        <v>1889.0</v>
      </c>
      <c r="E315" s="16">
        <v>1690.0</v>
      </c>
    </row>
    <row r="316" ht="14.25" customHeight="1">
      <c r="A316" s="15">
        <v>43971.0</v>
      </c>
      <c r="B316" s="16" t="s">
        <v>23</v>
      </c>
      <c r="C316" s="16">
        <v>17.0</v>
      </c>
      <c r="D316" s="16">
        <v>890.0</v>
      </c>
      <c r="E316" s="16">
        <v>794.0</v>
      </c>
    </row>
    <row r="317" ht="14.25" customHeight="1">
      <c r="A317" s="15">
        <v>43971.0</v>
      </c>
      <c r="B317" s="16" t="s">
        <v>18</v>
      </c>
      <c r="C317" s="16">
        <v>16.0</v>
      </c>
      <c r="D317" s="16">
        <v>1050.0</v>
      </c>
      <c r="E317" s="16">
        <v>938.0</v>
      </c>
    </row>
    <row r="318" ht="14.25" customHeight="1">
      <c r="A318" s="15">
        <v>43971.0</v>
      </c>
      <c r="B318" s="16" t="s">
        <v>19</v>
      </c>
      <c r="C318" s="16">
        <v>15.0</v>
      </c>
      <c r="D318" s="16">
        <v>760.0</v>
      </c>
      <c r="E318" s="16">
        <v>664.0</v>
      </c>
    </row>
    <row r="319" ht="14.25" customHeight="1">
      <c r="A319" s="15">
        <v>43971.0</v>
      </c>
      <c r="B319" s="16" t="s">
        <v>15</v>
      </c>
      <c r="C319" s="16">
        <v>125.0</v>
      </c>
      <c r="D319" s="16">
        <v>21674.0</v>
      </c>
      <c r="E319" s="16">
        <v>20155.0</v>
      </c>
    </row>
    <row r="320" ht="14.25" customHeight="1">
      <c r="A320" s="15">
        <v>43971.0</v>
      </c>
      <c r="B320" s="16" t="s">
        <v>14</v>
      </c>
      <c r="C320" s="16">
        <v>129.0</v>
      </c>
      <c r="D320" s="16">
        <v>17095.0</v>
      </c>
      <c r="E320" s="16">
        <v>15919.0</v>
      </c>
    </row>
    <row r="321" ht="14.25" customHeight="1">
      <c r="A321" s="15">
        <v>43971.0</v>
      </c>
      <c r="B321" s="16" t="s">
        <v>12</v>
      </c>
      <c r="C321" s="16">
        <v>10.0</v>
      </c>
      <c r="D321" s="16">
        <v>745.0</v>
      </c>
      <c r="E321" s="16">
        <v>654.0</v>
      </c>
    </row>
    <row r="322" ht="14.25" customHeight="1">
      <c r="A322" s="15">
        <v>43972.0</v>
      </c>
      <c r="B322" s="16" t="s">
        <v>16</v>
      </c>
      <c r="C322" s="16">
        <v>36.0</v>
      </c>
      <c r="D322" s="16">
        <v>4816.0</v>
      </c>
      <c r="E322" s="16">
        <v>4452.0</v>
      </c>
    </row>
    <row r="323" ht="14.25" customHeight="1">
      <c r="A323" s="15">
        <v>43972.0</v>
      </c>
      <c r="B323" s="16" t="s">
        <v>11</v>
      </c>
      <c r="C323" s="16">
        <v>31.0</v>
      </c>
      <c r="D323" s="16">
        <v>5207.0</v>
      </c>
      <c r="E323" s="16">
        <v>4868.0</v>
      </c>
    </row>
    <row r="324" ht="14.25" customHeight="1">
      <c r="A324" s="15">
        <v>43972.0</v>
      </c>
      <c r="B324" s="16" t="s">
        <v>17</v>
      </c>
      <c r="C324" s="16">
        <v>21.0</v>
      </c>
      <c r="D324" s="16">
        <v>2335.0</v>
      </c>
      <c r="E324" s="16">
        <v>2126.0</v>
      </c>
    </row>
    <row r="325" ht="14.25" customHeight="1">
      <c r="A325" s="15">
        <v>43972.0</v>
      </c>
      <c r="B325" s="16" t="s">
        <v>10</v>
      </c>
      <c r="C325" s="16">
        <v>21.0</v>
      </c>
      <c r="D325" s="16">
        <v>1787.0</v>
      </c>
      <c r="E325" s="16">
        <v>1626.0</v>
      </c>
    </row>
    <row r="326" ht="14.25" customHeight="1">
      <c r="A326" s="15">
        <v>43972.0</v>
      </c>
      <c r="B326" s="16" t="s">
        <v>20</v>
      </c>
      <c r="C326" s="16">
        <v>19.0</v>
      </c>
      <c r="D326" s="16">
        <v>1650.0</v>
      </c>
      <c r="E326" s="16">
        <v>1505.0</v>
      </c>
    </row>
    <row r="327" ht="14.25" customHeight="1">
      <c r="A327" s="15">
        <v>43972.0</v>
      </c>
      <c r="B327" s="16" t="s">
        <v>22</v>
      </c>
      <c r="C327" s="16">
        <v>54.0</v>
      </c>
      <c r="D327" s="16">
        <v>13240.0</v>
      </c>
      <c r="E327" s="16">
        <v>12360.0</v>
      </c>
    </row>
    <row r="328" ht="14.25" customHeight="1">
      <c r="A328" s="15">
        <v>43972.0</v>
      </c>
      <c r="B328" s="16" t="s">
        <v>21</v>
      </c>
      <c r="C328" s="16">
        <v>60.0</v>
      </c>
      <c r="D328" s="16">
        <v>14005.0</v>
      </c>
      <c r="E328" s="16">
        <v>13002.0</v>
      </c>
    </row>
    <row r="329" ht="14.25" customHeight="1">
      <c r="A329" s="15">
        <v>43972.0</v>
      </c>
      <c r="B329" s="16" t="s">
        <v>13</v>
      </c>
      <c r="C329" s="16">
        <v>19.0</v>
      </c>
      <c r="D329" s="16">
        <v>1949.0</v>
      </c>
      <c r="E329" s="16">
        <v>1724.0</v>
      </c>
    </row>
    <row r="330" ht="14.25" customHeight="1">
      <c r="A330" s="15">
        <v>43972.0</v>
      </c>
      <c r="B330" s="16" t="s">
        <v>23</v>
      </c>
      <c r="C330" s="16">
        <v>18.0</v>
      </c>
      <c r="D330" s="16">
        <v>888.0</v>
      </c>
      <c r="E330" s="16">
        <v>786.0</v>
      </c>
    </row>
    <row r="331" ht="14.25" customHeight="1">
      <c r="A331" s="15">
        <v>43972.0</v>
      </c>
      <c r="B331" s="16" t="s">
        <v>18</v>
      </c>
      <c r="C331" s="16">
        <v>17.0</v>
      </c>
      <c r="D331" s="16">
        <v>1045.0</v>
      </c>
      <c r="E331" s="16">
        <v>930.0</v>
      </c>
    </row>
    <row r="332" ht="14.25" customHeight="1">
      <c r="A332" s="15">
        <v>43972.0</v>
      </c>
      <c r="B332" s="16" t="s">
        <v>19</v>
      </c>
      <c r="C332" s="16">
        <v>15.0</v>
      </c>
      <c r="D332" s="16">
        <v>749.0</v>
      </c>
      <c r="E332" s="16">
        <v>652.0</v>
      </c>
    </row>
    <row r="333" ht="14.25" customHeight="1">
      <c r="A333" s="15">
        <v>43972.0</v>
      </c>
      <c r="B333" s="16" t="s">
        <v>15</v>
      </c>
      <c r="C333" s="16">
        <v>125.0</v>
      </c>
      <c r="D333" s="16">
        <v>20911.0</v>
      </c>
      <c r="E333" s="16">
        <v>19358.0</v>
      </c>
    </row>
    <row r="334" ht="14.25" customHeight="1">
      <c r="A334" s="15">
        <v>43972.0</v>
      </c>
      <c r="B334" s="16" t="s">
        <v>14</v>
      </c>
      <c r="C334" s="16">
        <v>129.0</v>
      </c>
      <c r="D334" s="16">
        <v>16373.0</v>
      </c>
      <c r="E334" s="16">
        <v>15223.0</v>
      </c>
    </row>
    <row r="335" ht="14.25" customHeight="1">
      <c r="A335" s="15">
        <v>43972.0</v>
      </c>
      <c r="B335" s="16" t="s">
        <v>12</v>
      </c>
      <c r="C335" s="16">
        <v>10.0</v>
      </c>
      <c r="D335" s="16">
        <v>677.0</v>
      </c>
      <c r="E335" s="16">
        <v>591.0</v>
      </c>
    </row>
    <row r="336" ht="14.25" customHeight="1">
      <c r="A336" s="15">
        <v>43973.0</v>
      </c>
      <c r="B336" s="16" t="s">
        <v>16</v>
      </c>
      <c r="C336" s="16">
        <v>36.0</v>
      </c>
      <c r="D336" s="16">
        <v>4857.0</v>
      </c>
      <c r="E336" s="16">
        <v>4456.0</v>
      </c>
    </row>
    <row r="337" ht="14.25" customHeight="1">
      <c r="A337" s="15">
        <v>43973.0</v>
      </c>
      <c r="B337" s="16" t="s">
        <v>11</v>
      </c>
      <c r="C337" s="16">
        <v>31.0</v>
      </c>
      <c r="D337" s="16">
        <v>5965.0</v>
      </c>
      <c r="E337" s="16">
        <v>5533.0</v>
      </c>
    </row>
    <row r="338" ht="14.25" customHeight="1">
      <c r="A338" s="15">
        <v>43973.0</v>
      </c>
      <c r="B338" s="16" t="s">
        <v>17</v>
      </c>
      <c r="C338" s="16">
        <v>21.0</v>
      </c>
      <c r="D338" s="16">
        <v>2861.0</v>
      </c>
      <c r="E338" s="16">
        <v>2612.0</v>
      </c>
    </row>
    <row r="339" ht="14.25" customHeight="1">
      <c r="A339" s="15">
        <v>43973.0</v>
      </c>
      <c r="B339" s="16" t="s">
        <v>10</v>
      </c>
      <c r="C339" s="16">
        <v>21.0</v>
      </c>
      <c r="D339" s="16">
        <v>2046.0</v>
      </c>
      <c r="E339" s="16">
        <v>1853.0</v>
      </c>
    </row>
    <row r="340" ht="14.25" customHeight="1">
      <c r="A340" s="15">
        <v>43973.0</v>
      </c>
      <c r="B340" s="16" t="s">
        <v>20</v>
      </c>
      <c r="C340" s="16">
        <v>19.0</v>
      </c>
      <c r="D340" s="16">
        <v>1859.0</v>
      </c>
      <c r="E340" s="16">
        <v>1697.0</v>
      </c>
    </row>
    <row r="341" ht="14.25" customHeight="1">
      <c r="A341" s="15">
        <v>43973.0</v>
      </c>
      <c r="B341" s="16" t="s">
        <v>22</v>
      </c>
      <c r="C341" s="16">
        <v>54.0</v>
      </c>
      <c r="D341" s="16">
        <v>13014.0</v>
      </c>
      <c r="E341" s="16">
        <v>12095.0</v>
      </c>
    </row>
    <row r="342" ht="14.25" customHeight="1">
      <c r="A342" s="15">
        <v>43973.0</v>
      </c>
      <c r="B342" s="16" t="s">
        <v>21</v>
      </c>
      <c r="C342" s="16">
        <v>60.0</v>
      </c>
      <c r="D342" s="16">
        <v>14050.0</v>
      </c>
      <c r="E342" s="16">
        <v>13027.0</v>
      </c>
    </row>
    <row r="343" ht="14.25" customHeight="1">
      <c r="A343" s="15">
        <v>43973.0</v>
      </c>
      <c r="B343" s="16" t="s">
        <v>13</v>
      </c>
      <c r="C343" s="16">
        <v>20.0</v>
      </c>
      <c r="D343" s="16">
        <v>2306.0</v>
      </c>
      <c r="E343" s="16">
        <v>2054.0</v>
      </c>
    </row>
    <row r="344" ht="14.25" customHeight="1">
      <c r="A344" s="15">
        <v>43973.0</v>
      </c>
      <c r="B344" s="16" t="s">
        <v>23</v>
      </c>
      <c r="C344" s="16">
        <v>18.0</v>
      </c>
      <c r="D344" s="16">
        <v>985.0</v>
      </c>
      <c r="E344" s="16">
        <v>861.0</v>
      </c>
    </row>
    <row r="345" ht="14.25" customHeight="1">
      <c r="A345" s="15">
        <v>43973.0</v>
      </c>
      <c r="B345" s="16" t="s">
        <v>18</v>
      </c>
      <c r="C345" s="16">
        <v>17.0</v>
      </c>
      <c r="D345" s="16">
        <v>1268.0</v>
      </c>
      <c r="E345" s="16">
        <v>1129.0</v>
      </c>
    </row>
    <row r="346" ht="14.25" customHeight="1">
      <c r="A346" s="15">
        <v>43973.0</v>
      </c>
      <c r="B346" s="16" t="s">
        <v>19</v>
      </c>
      <c r="C346" s="16">
        <v>15.0</v>
      </c>
      <c r="D346" s="16">
        <v>903.0</v>
      </c>
      <c r="E346" s="16">
        <v>792.0</v>
      </c>
    </row>
    <row r="347" ht="14.25" customHeight="1">
      <c r="A347" s="15">
        <v>43973.0</v>
      </c>
      <c r="B347" s="16" t="s">
        <v>15</v>
      </c>
      <c r="C347" s="16">
        <v>125.0</v>
      </c>
      <c r="D347" s="16">
        <v>21427.0</v>
      </c>
      <c r="E347" s="16">
        <v>19799.0</v>
      </c>
    </row>
    <row r="348" ht="14.25" customHeight="1">
      <c r="A348" s="15">
        <v>43973.0</v>
      </c>
      <c r="B348" s="16" t="s">
        <v>14</v>
      </c>
      <c r="C348" s="16">
        <v>129.0</v>
      </c>
      <c r="D348" s="16">
        <v>17088.0</v>
      </c>
      <c r="E348" s="16">
        <v>15804.0</v>
      </c>
    </row>
    <row r="349" ht="14.25" customHeight="1">
      <c r="A349" s="15">
        <v>43973.0</v>
      </c>
      <c r="B349" s="16" t="s">
        <v>12</v>
      </c>
      <c r="C349" s="16">
        <v>10.0</v>
      </c>
      <c r="D349" s="16">
        <v>965.0</v>
      </c>
      <c r="E349" s="16">
        <v>861.0</v>
      </c>
    </row>
    <row r="350" ht="14.25" customHeight="1">
      <c r="A350" s="15">
        <v>43974.0</v>
      </c>
      <c r="B350" s="16" t="s">
        <v>16</v>
      </c>
      <c r="C350" s="16">
        <v>36.0</v>
      </c>
      <c r="D350" s="16">
        <v>5651.0</v>
      </c>
      <c r="E350" s="16">
        <v>5212.0</v>
      </c>
    </row>
    <row r="351" ht="14.25" customHeight="1">
      <c r="A351" s="15">
        <v>43974.0</v>
      </c>
      <c r="B351" s="16" t="s">
        <v>11</v>
      </c>
      <c r="C351" s="16">
        <v>31.0</v>
      </c>
      <c r="D351" s="16">
        <v>6276.0</v>
      </c>
      <c r="E351" s="16">
        <v>5801.0</v>
      </c>
    </row>
    <row r="352" ht="14.25" customHeight="1">
      <c r="A352" s="15">
        <v>43974.0</v>
      </c>
      <c r="B352" s="16" t="s">
        <v>17</v>
      </c>
      <c r="C352" s="16">
        <v>21.0</v>
      </c>
      <c r="D352" s="16">
        <v>2460.0</v>
      </c>
      <c r="E352" s="16">
        <v>2226.0</v>
      </c>
    </row>
    <row r="353" ht="14.25" customHeight="1">
      <c r="A353" s="15">
        <v>43974.0</v>
      </c>
      <c r="B353" s="16" t="s">
        <v>10</v>
      </c>
      <c r="C353" s="16">
        <v>21.0</v>
      </c>
      <c r="D353" s="16">
        <v>2340.0</v>
      </c>
      <c r="E353" s="16">
        <v>2146.0</v>
      </c>
    </row>
    <row r="354" ht="14.25" customHeight="1">
      <c r="A354" s="15">
        <v>43974.0</v>
      </c>
      <c r="B354" s="16" t="s">
        <v>20</v>
      </c>
      <c r="C354" s="16">
        <v>19.0</v>
      </c>
      <c r="D354" s="16">
        <v>2195.0</v>
      </c>
      <c r="E354" s="16">
        <v>1999.0</v>
      </c>
    </row>
    <row r="355" ht="14.25" customHeight="1">
      <c r="A355" s="15">
        <v>43974.0</v>
      </c>
      <c r="B355" s="16" t="s">
        <v>22</v>
      </c>
      <c r="C355" s="16">
        <v>54.0</v>
      </c>
      <c r="D355" s="16">
        <v>16221.0</v>
      </c>
      <c r="E355" s="16">
        <v>15065.0</v>
      </c>
    </row>
    <row r="356" ht="14.25" customHeight="1">
      <c r="A356" s="15">
        <v>43974.0</v>
      </c>
      <c r="B356" s="16" t="s">
        <v>21</v>
      </c>
      <c r="C356" s="16">
        <v>60.0</v>
      </c>
      <c r="D356" s="16">
        <v>17295.0</v>
      </c>
      <c r="E356" s="16">
        <v>16010.0</v>
      </c>
    </row>
    <row r="357" ht="14.25" customHeight="1">
      <c r="A357" s="15">
        <v>43974.0</v>
      </c>
      <c r="B357" s="16" t="s">
        <v>13</v>
      </c>
      <c r="C357" s="16">
        <v>20.0</v>
      </c>
      <c r="D357" s="16">
        <v>2266.0</v>
      </c>
      <c r="E357" s="16">
        <v>1993.0</v>
      </c>
    </row>
    <row r="358" ht="14.25" customHeight="1">
      <c r="A358" s="15">
        <v>43974.0</v>
      </c>
      <c r="B358" s="16" t="s">
        <v>23</v>
      </c>
      <c r="C358" s="16">
        <v>18.0</v>
      </c>
      <c r="D358" s="16">
        <v>1031.0</v>
      </c>
      <c r="E358" s="16">
        <v>918.0</v>
      </c>
    </row>
    <row r="359" ht="14.25" customHeight="1">
      <c r="A359" s="15">
        <v>43974.0</v>
      </c>
      <c r="B359" s="16" t="s">
        <v>18</v>
      </c>
      <c r="C359" s="16">
        <v>17.0</v>
      </c>
      <c r="D359" s="16">
        <v>1294.0</v>
      </c>
      <c r="E359" s="16">
        <v>1155.0</v>
      </c>
    </row>
    <row r="360" ht="14.25" customHeight="1">
      <c r="A360" s="15">
        <v>43974.0</v>
      </c>
      <c r="B360" s="16" t="s">
        <v>19</v>
      </c>
      <c r="C360" s="16">
        <v>15.0</v>
      </c>
      <c r="D360" s="16">
        <v>840.0</v>
      </c>
      <c r="E360" s="16">
        <v>725.0</v>
      </c>
    </row>
    <row r="361" ht="14.25" customHeight="1">
      <c r="A361" s="15">
        <v>43974.0</v>
      </c>
      <c r="B361" s="16" t="s">
        <v>15</v>
      </c>
      <c r="C361" s="16">
        <v>125.0</v>
      </c>
      <c r="D361" s="16">
        <v>24574.0</v>
      </c>
      <c r="E361" s="16">
        <v>22609.0</v>
      </c>
    </row>
    <row r="362" ht="14.25" customHeight="1">
      <c r="A362" s="15">
        <v>43974.0</v>
      </c>
      <c r="B362" s="16" t="s">
        <v>14</v>
      </c>
      <c r="C362" s="16">
        <v>129.0</v>
      </c>
      <c r="D362" s="16">
        <v>19856.0</v>
      </c>
      <c r="E362" s="16">
        <v>18325.0</v>
      </c>
    </row>
    <row r="363" ht="14.25" customHeight="1">
      <c r="A363" s="15">
        <v>43974.0</v>
      </c>
      <c r="B363" s="16" t="s">
        <v>12</v>
      </c>
      <c r="C363" s="16">
        <v>10.0</v>
      </c>
      <c r="D363" s="16">
        <v>828.0</v>
      </c>
      <c r="E363" s="16">
        <v>734.0</v>
      </c>
    </row>
    <row r="364" ht="14.25" customHeight="1">
      <c r="A364" s="15">
        <v>43975.0</v>
      </c>
      <c r="B364" s="16" t="s">
        <v>16</v>
      </c>
      <c r="C364" s="16">
        <v>36.0</v>
      </c>
      <c r="D364" s="16">
        <v>4915.0</v>
      </c>
      <c r="E364" s="16">
        <v>4562.0</v>
      </c>
    </row>
    <row r="365" ht="14.25" customHeight="1">
      <c r="A365" s="15">
        <v>43975.0</v>
      </c>
      <c r="B365" s="16" t="s">
        <v>11</v>
      </c>
      <c r="C365" s="16">
        <v>31.0</v>
      </c>
      <c r="D365" s="16">
        <v>5035.0</v>
      </c>
      <c r="E365" s="16">
        <v>4683.0</v>
      </c>
    </row>
    <row r="366" ht="14.25" customHeight="1">
      <c r="A366" s="15">
        <v>43975.0</v>
      </c>
      <c r="B366" s="16" t="s">
        <v>17</v>
      </c>
      <c r="C366" s="16">
        <v>21.0</v>
      </c>
      <c r="D366" s="16">
        <v>2254.0</v>
      </c>
      <c r="E366" s="16">
        <v>2061.0</v>
      </c>
    </row>
    <row r="367" ht="14.25" customHeight="1">
      <c r="A367" s="15">
        <v>43975.0</v>
      </c>
      <c r="B367" s="16" t="s">
        <v>10</v>
      </c>
      <c r="C367" s="16">
        <v>20.0</v>
      </c>
      <c r="D367" s="16">
        <v>1999.0</v>
      </c>
      <c r="E367" s="16">
        <v>1829.0</v>
      </c>
    </row>
    <row r="368" ht="14.25" customHeight="1">
      <c r="A368" s="15">
        <v>43975.0</v>
      </c>
      <c r="B368" s="16" t="s">
        <v>20</v>
      </c>
      <c r="C368" s="16">
        <v>19.0</v>
      </c>
      <c r="D368" s="16">
        <v>1868.0</v>
      </c>
      <c r="E368" s="16">
        <v>1706.0</v>
      </c>
    </row>
    <row r="369" ht="14.25" customHeight="1">
      <c r="A369" s="15">
        <v>43975.0</v>
      </c>
      <c r="B369" s="16" t="s">
        <v>22</v>
      </c>
      <c r="C369" s="16">
        <v>54.0</v>
      </c>
      <c r="D369" s="16">
        <v>12211.0</v>
      </c>
      <c r="E369" s="16">
        <v>11427.0</v>
      </c>
    </row>
    <row r="370" ht="14.25" customHeight="1">
      <c r="A370" s="15">
        <v>43975.0</v>
      </c>
      <c r="B370" s="16" t="s">
        <v>21</v>
      </c>
      <c r="C370" s="16">
        <v>60.0</v>
      </c>
      <c r="D370" s="16">
        <v>12822.0</v>
      </c>
      <c r="E370" s="16">
        <v>11916.0</v>
      </c>
    </row>
    <row r="371" ht="14.25" customHeight="1">
      <c r="A371" s="15">
        <v>43975.0</v>
      </c>
      <c r="B371" s="16" t="s">
        <v>13</v>
      </c>
      <c r="C371" s="16">
        <v>20.0</v>
      </c>
      <c r="D371" s="16">
        <v>2015.0</v>
      </c>
      <c r="E371" s="16">
        <v>1803.0</v>
      </c>
    </row>
    <row r="372" ht="14.25" customHeight="1">
      <c r="A372" s="15">
        <v>43975.0</v>
      </c>
      <c r="B372" s="16" t="s">
        <v>23</v>
      </c>
      <c r="C372" s="16">
        <v>18.0</v>
      </c>
      <c r="D372" s="16">
        <v>1006.0</v>
      </c>
      <c r="E372" s="16">
        <v>904.0</v>
      </c>
    </row>
    <row r="373" ht="14.25" customHeight="1">
      <c r="A373" s="15">
        <v>43975.0</v>
      </c>
      <c r="B373" s="16" t="s">
        <v>18</v>
      </c>
      <c r="C373" s="16">
        <v>17.0</v>
      </c>
      <c r="D373" s="16">
        <v>1128.0</v>
      </c>
      <c r="E373" s="16">
        <v>1001.0</v>
      </c>
    </row>
    <row r="374" ht="14.25" customHeight="1">
      <c r="A374" s="15">
        <v>43975.0</v>
      </c>
      <c r="B374" s="16" t="s">
        <v>19</v>
      </c>
      <c r="C374" s="16">
        <v>15.0</v>
      </c>
      <c r="D374" s="16">
        <v>779.0</v>
      </c>
      <c r="E374" s="16">
        <v>673.0</v>
      </c>
    </row>
    <row r="375" ht="14.25" customHeight="1">
      <c r="A375" s="15">
        <v>43975.0</v>
      </c>
      <c r="B375" s="16" t="s">
        <v>15</v>
      </c>
      <c r="C375" s="16">
        <v>125.0</v>
      </c>
      <c r="D375" s="16">
        <v>21004.0</v>
      </c>
      <c r="E375" s="16">
        <v>19556.0</v>
      </c>
    </row>
    <row r="376" ht="14.25" customHeight="1">
      <c r="A376" s="15">
        <v>43975.0</v>
      </c>
      <c r="B376" s="16" t="s">
        <v>14</v>
      </c>
      <c r="C376" s="16">
        <v>129.0</v>
      </c>
      <c r="D376" s="16">
        <v>16432.0</v>
      </c>
      <c r="E376" s="16">
        <v>15345.0</v>
      </c>
    </row>
    <row r="377" ht="14.25" customHeight="1">
      <c r="A377" s="15">
        <v>43975.0</v>
      </c>
      <c r="B377" s="16" t="s">
        <v>12</v>
      </c>
      <c r="C377" s="16">
        <v>10.0</v>
      </c>
      <c r="D377" s="16">
        <v>639.0</v>
      </c>
      <c r="E377" s="16">
        <v>557.0</v>
      </c>
    </row>
    <row r="378" ht="14.25" customHeight="1">
      <c r="A378" s="15">
        <v>43976.0</v>
      </c>
      <c r="B378" s="16" t="s">
        <v>16</v>
      </c>
      <c r="C378" s="16">
        <v>36.0</v>
      </c>
      <c r="D378" s="16">
        <v>4641.0</v>
      </c>
      <c r="E378" s="16">
        <v>4274.0</v>
      </c>
    </row>
    <row r="379" ht="14.25" customHeight="1">
      <c r="A379" s="15">
        <v>43976.0</v>
      </c>
      <c r="B379" s="16" t="s">
        <v>11</v>
      </c>
      <c r="C379" s="16">
        <v>31.0</v>
      </c>
      <c r="D379" s="16">
        <v>5210.0</v>
      </c>
      <c r="E379" s="16">
        <v>4841.0</v>
      </c>
    </row>
    <row r="380" ht="14.25" customHeight="1">
      <c r="A380" s="15">
        <v>43976.0</v>
      </c>
      <c r="B380" s="16" t="s">
        <v>17</v>
      </c>
      <c r="C380" s="16">
        <v>21.0</v>
      </c>
      <c r="D380" s="16">
        <v>2330.0</v>
      </c>
      <c r="E380" s="16">
        <v>2142.0</v>
      </c>
    </row>
    <row r="381" ht="14.25" customHeight="1">
      <c r="A381" s="15">
        <v>43976.0</v>
      </c>
      <c r="B381" s="16" t="s">
        <v>10</v>
      </c>
      <c r="C381" s="16">
        <v>20.0</v>
      </c>
      <c r="D381" s="16">
        <v>2087.0</v>
      </c>
      <c r="E381" s="16">
        <v>1914.0</v>
      </c>
    </row>
    <row r="382" ht="14.25" customHeight="1">
      <c r="A382" s="15">
        <v>43976.0</v>
      </c>
      <c r="B382" s="16" t="s">
        <v>20</v>
      </c>
      <c r="C382" s="16">
        <v>20.0</v>
      </c>
      <c r="D382" s="16">
        <v>1899.0</v>
      </c>
      <c r="E382" s="16">
        <v>1738.0</v>
      </c>
    </row>
    <row r="383" ht="14.25" customHeight="1">
      <c r="A383" s="15">
        <v>43976.0</v>
      </c>
      <c r="B383" s="16" t="s">
        <v>22</v>
      </c>
      <c r="C383" s="16">
        <v>54.0</v>
      </c>
      <c r="D383" s="16">
        <v>12336.0</v>
      </c>
      <c r="E383" s="16">
        <v>11519.0</v>
      </c>
    </row>
    <row r="384" ht="14.25" customHeight="1">
      <c r="A384" s="15">
        <v>43976.0</v>
      </c>
      <c r="B384" s="16" t="s">
        <v>21</v>
      </c>
      <c r="C384" s="16">
        <v>59.0</v>
      </c>
      <c r="D384" s="16">
        <v>12983.0</v>
      </c>
      <c r="E384" s="16">
        <v>12056.0</v>
      </c>
    </row>
    <row r="385" ht="14.25" customHeight="1">
      <c r="A385" s="15">
        <v>43976.0</v>
      </c>
      <c r="B385" s="16" t="s">
        <v>13</v>
      </c>
      <c r="C385" s="16">
        <v>20.0</v>
      </c>
      <c r="D385" s="16">
        <v>2011.0</v>
      </c>
      <c r="E385" s="16">
        <v>1791.0</v>
      </c>
    </row>
    <row r="386" ht="14.25" customHeight="1">
      <c r="A386" s="15">
        <v>43976.0</v>
      </c>
      <c r="B386" s="16" t="s">
        <v>23</v>
      </c>
      <c r="C386" s="16">
        <v>18.0</v>
      </c>
      <c r="D386" s="16">
        <v>989.0</v>
      </c>
      <c r="E386" s="16">
        <v>887.0</v>
      </c>
    </row>
    <row r="387" ht="14.25" customHeight="1">
      <c r="A387" s="15">
        <v>43976.0</v>
      </c>
      <c r="B387" s="16" t="s">
        <v>18</v>
      </c>
      <c r="C387" s="16">
        <v>17.0</v>
      </c>
      <c r="D387" s="16">
        <v>1142.0</v>
      </c>
      <c r="E387" s="16">
        <v>1020.0</v>
      </c>
    </row>
    <row r="388" ht="14.25" customHeight="1">
      <c r="A388" s="15">
        <v>43976.0</v>
      </c>
      <c r="B388" s="16" t="s">
        <v>19</v>
      </c>
      <c r="C388" s="16">
        <v>15.0</v>
      </c>
      <c r="D388" s="16">
        <v>835.0</v>
      </c>
      <c r="E388" s="16">
        <v>736.0</v>
      </c>
    </row>
    <row r="389" ht="14.25" customHeight="1">
      <c r="A389" s="15">
        <v>43976.0</v>
      </c>
      <c r="B389" s="16" t="s">
        <v>15</v>
      </c>
      <c r="C389" s="16">
        <v>124.0</v>
      </c>
      <c r="D389" s="16">
        <v>20358.0</v>
      </c>
      <c r="E389" s="16">
        <v>18890.0</v>
      </c>
    </row>
    <row r="390" ht="14.25" customHeight="1">
      <c r="A390" s="15">
        <v>43976.0</v>
      </c>
      <c r="B390" s="16" t="s">
        <v>14</v>
      </c>
      <c r="C390" s="16">
        <v>129.0</v>
      </c>
      <c r="D390" s="16">
        <v>15822.0</v>
      </c>
      <c r="E390" s="16">
        <v>14753.0</v>
      </c>
    </row>
    <row r="391" ht="14.25" customHeight="1">
      <c r="A391" s="15">
        <v>43976.0</v>
      </c>
      <c r="B391" s="16" t="s">
        <v>12</v>
      </c>
      <c r="C391" s="16">
        <v>10.0</v>
      </c>
      <c r="D391" s="16">
        <v>739.0</v>
      </c>
      <c r="E391" s="16">
        <v>642.0</v>
      </c>
    </row>
    <row r="392" ht="14.25" customHeight="1">
      <c r="A392" s="15">
        <v>43977.0</v>
      </c>
      <c r="B392" s="16" t="s">
        <v>16</v>
      </c>
      <c r="C392" s="16">
        <v>36.0</v>
      </c>
      <c r="D392" s="16">
        <v>4770.0</v>
      </c>
      <c r="E392" s="16">
        <v>4424.0</v>
      </c>
    </row>
    <row r="393" ht="14.25" customHeight="1">
      <c r="A393" s="15">
        <v>43977.0</v>
      </c>
      <c r="B393" s="16" t="s">
        <v>11</v>
      </c>
      <c r="C393" s="16">
        <v>31.0</v>
      </c>
      <c r="D393" s="16">
        <v>5493.0</v>
      </c>
      <c r="E393" s="16">
        <v>5119.0</v>
      </c>
    </row>
    <row r="394" ht="14.25" customHeight="1">
      <c r="A394" s="15">
        <v>43977.0</v>
      </c>
      <c r="B394" s="16" t="s">
        <v>17</v>
      </c>
      <c r="C394" s="16">
        <v>21.0</v>
      </c>
      <c r="D394" s="16">
        <v>2418.0</v>
      </c>
      <c r="E394" s="16">
        <v>2215.0</v>
      </c>
    </row>
    <row r="395" ht="14.25" customHeight="1">
      <c r="A395" s="15">
        <v>43977.0</v>
      </c>
      <c r="B395" s="16" t="s">
        <v>10</v>
      </c>
      <c r="C395" s="16">
        <v>20.0</v>
      </c>
      <c r="D395" s="16">
        <v>2044.0</v>
      </c>
      <c r="E395" s="16">
        <v>1863.0</v>
      </c>
    </row>
    <row r="396" ht="14.25" customHeight="1">
      <c r="A396" s="15">
        <v>43977.0</v>
      </c>
      <c r="B396" s="16" t="s">
        <v>20</v>
      </c>
      <c r="C396" s="16">
        <v>20.0</v>
      </c>
      <c r="D396" s="16">
        <v>1814.0</v>
      </c>
      <c r="E396" s="16">
        <v>1655.0</v>
      </c>
    </row>
    <row r="397" ht="14.25" customHeight="1">
      <c r="A397" s="15">
        <v>43977.0</v>
      </c>
      <c r="B397" s="16" t="s">
        <v>22</v>
      </c>
      <c r="C397" s="16">
        <v>54.0</v>
      </c>
      <c r="D397" s="16">
        <v>14482.0</v>
      </c>
      <c r="E397" s="16">
        <v>13510.0</v>
      </c>
    </row>
    <row r="398" ht="14.25" customHeight="1">
      <c r="A398" s="15">
        <v>43977.0</v>
      </c>
      <c r="B398" s="16" t="s">
        <v>21</v>
      </c>
      <c r="C398" s="16">
        <v>59.0</v>
      </c>
      <c r="D398" s="16">
        <v>15369.0</v>
      </c>
      <c r="E398" s="16">
        <v>14299.0</v>
      </c>
    </row>
    <row r="399" ht="14.25" customHeight="1">
      <c r="A399" s="15">
        <v>43977.0</v>
      </c>
      <c r="B399" s="16" t="s">
        <v>13</v>
      </c>
      <c r="C399" s="16">
        <v>20.0</v>
      </c>
      <c r="D399" s="16">
        <v>2036.0</v>
      </c>
      <c r="E399" s="16">
        <v>1790.0</v>
      </c>
    </row>
    <row r="400" ht="14.25" customHeight="1">
      <c r="A400" s="15">
        <v>43977.0</v>
      </c>
      <c r="B400" s="16" t="s">
        <v>23</v>
      </c>
      <c r="C400" s="16">
        <v>18.0</v>
      </c>
      <c r="D400" s="16">
        <v>914.0</v>
      </c>
      <c r="E400" s="16">
        <v>804.0</v>
      </c>
    </row>
    <row r="401" ht="14.25" customHeight="1">
      <c r="A401" s="15">
        <v>43977.0</v>
      </c>
      <c r="B401" s="16" t="s">
        <v>18</v>
      </c>
      <c r="C401" s="16">
        <v>17.0</v>
      </c>
      <c r="D401" s="16">
        <v>1140.0</v>
      </c>
      <c r="E401" s="16">
        <v>1016.0</v>
      </c>
    </row>
    <row r="402" ht="14.25" customHeight="1">
      <c r="A402" s="15">
        <v>43977.0</v>
      </c>
      <c r="B402" s="16" t="s">
        <v>19</v>
      </c>
      <c r="C402" s="16">
        <v>15.0</v>
      </c>
      <c r="D402" s="16">
        <v>812.0</v>
      </c>
      <c r="E402" s="16">
        <v>711.0</v>
      </c>
    </row>
    <row r="403" ht="14.25" customHeight="1">
      <c r="A403" s="15">
        <v>43977.0</v>
      </c>
      <c r="B403" s="16" t="s">
        <v>15</v>
      </c>
      <c r="C403" s="16">
        <v>124.0</v>
      </c>
      <c r="D403" s="16">
        <v>21153.0</v>
      </c>
      <c r="E403" s="16">
        <v>19673.0</v>
      </c>
    </row>
    <row r="404" ht="14.25" customHeight="1">
      <c r="A404" s="15">
        <v>43977.0</v>
      </c>
      <c r="B404" s="16" t="s">
        <v>14</v>
      </c>
      <c r="C404" s="16">
        <v>129.0</v>
      </c>
      <c r="D404" s="16">
        <v>16459.0</v>
      </c>
      <c r="E404" s="16">
        <v>15355.0</v>
      </c>
    </row>
    <row r="405" ht="14.25" customHeight="1">
      <c r="A405" s="15">
        <v>43977.0</v>
      </c>
      <c r="B405" s="16" t="s">
        <v>12</v>
      </c>
      <c r="C405" s="16">
        <v>10.0</v>
      </c>
      <c r="D405" s="16">
        <v>692.0</v>
      </c>
      <c r="E405" s="16">
        <v>601.0</v>
      </c>
    </row>
    <row r="406" ht="14.25" customHeight="1">
      <c r="A406" s="15">
        <v>43977.0</v>
      </c>
      <c r="B406" s="16" t="s">
        <v>24</v>
      </c>
      <c r="C406" s="16">
        <v>7.0</v>
      </c>
      <c r="D406" s="16">
        <v>577.0</v>
      </c>
      <c r="E406" s="16">
        <v>389.0</v>
      </c>
    </row>
    <row r="407" ht="14.25" customHeight="1">
      <c r="A407" s="15">
        <v>43978.0</v>
      </c>
      <c r="B407" s="16" t="s">
        <v>16</v>
      </c>
      <c r="C407" s="16">
        <v>36.0</v>
      </c>
      <c r="D407" s="16">
        <v>4951.0</v>
      </c>
      <c r="E407" s="16">
        <v>4584.0</v>
      </c>
    </row>
    <row r="408" ht="14.25" customHeight="1">
      <c r="A408" s="15">
        <v>43978.0</v>
      </c>
      <c r="B408" s="16" t="s">
        <v>11</v>
      </c>
      <c r="C408" s="16">
        <v>31.0</v>
      </c>
      <c r="D408" s="16">
        <v>5330.0</v>
      </c>
      <c r="E408" s="16">
        <v>4977.0</v>
      </c>
    </row>
    <row r="409" ht="14.25" customHeight="1">
      <c r="A409" s="15">
        <v>43978.0</v>
      </c>
      <c r="B409" s="16" t="s">
        <v>17</v>
      </c>
      <c r="C409" s="16">
        <v>21.0</v>
      </c>
      <c r="D409" s="16">
        <v>2430.0</v>
      </c>
      <c r="E409" s="16">
        <v>2216.0</v>
      </c>
    </row>
    <row r="410" ht="14.25" customHeight="1">
      <c r="A410" s="15">
        <v>43978.0</v>
      </c>
      <c r="B410" s="16" t="s">
        <v>10</v>
      </c>
      <c r="C410" s="16">
        <v>20.0</v>
      </c>
      <c r="D410" s="16">
        <v>2079.0</v>
      </c>
      <c r="E410" s="16">
        <v>1893.0</v>
      </c>
    </row>
    <row r="411" ht="14.25" customHeight="1">
      <c r="A411" s="15">
        <v>43978.0</v>
      </c>
      <c r="B411" s="16" t="s">
        <v>20</v>
      </c>
      <c r="C411" s="16">
        <v>20.0</v>
      </c>
      <c r="D411" s="16">
        <v>1873.0</v>
      </c>
      <c r="E411" s="16">
        <v>1715.0</v>
      </c>
    </row>
    <row r="412" ht="14.25" customHeight="1">
      <c r="A412" s="15">
        <v>43978.0</v>
      </c>
      <c r="B412" s="16" t="s">
        <v>22</v>
      </c>
      <c r="C412" s="16">
        <v>54.0</v>
      </c>
      <c r="D412" s="16">
        <v>13091.0</v>
      </c>
      <c r="E412" s="16">
        <v>12216.0</v>
      </c>
    </row>
    <row r="413" ht="14.25" customHeight="1">
      <c r="A413" s="15">
        <v>43978.0</v>
      </c>
      <c r="B413" s="16" t="s">
        <v>21</v>
      </c>
      <c r="C413" s="16">
        <v>59.0</v>
      </c>
      <c r="D413" s="16">
        <v>13942.0</v>
      </c>
      <c r="E413" s="16">
        <v>12986.0</v>
      </c>
    </row>
    <row r="414" ht="14.25" customHeight="1">
      <c r="A414" s="15">
        <v>43978.0</v>
      </c>
      <c r="B414" s="16" t="s">
        <v>13</v>
      </c>
      <c r="C414" s="16">
        <v>20.0</v>
      </c>
      <c r="D414" s="16">
        <v>2079.0</v>
      </c>
      <c r="E414" s="16">
        <v>1856.0</v>
      </c>
    </row>
    <row r="415" ht="14.25" customHeight="1">
      <c r="A415" s="15">
        <v>43978.0</v>
      </c>
      <c r="B415" s="16" t="s">
        <v>23</v>
      </c>
      <c r="C415" s="16">
        <v>18.0</v>
      </c>
      <c r="D415" s="16">
        <v>962.0</v>
      </c>
      <c r="E415" s="16">
        <v>859.0</v>
      </c>
    </row>
    <row r="416" ht="14.25" customHeight="1">
      <c r="A416" s="15">
        <v>43978.0</v>
      </c>
      <c r="B416" s="16" t="s">
        <v>18</v>
      </c>
      <c r="C416" s="16">
        <v>17.0</v>
      </c>
      <c r="D416" s="16">
        <v>1203.0</v>
      </c>
      <c r="E416" s="16">
        <v>1077.0</v>
      </c>
    </row>
    <row r="417" ht="14.25" customHeight="1">
      <c r="A417" s="15">
        <v>43978.0</v>
      </c>
      <c r="B417" s="16" t="s">
        <v>19</v>
      </c>
      <c r="C417" s="16">
        <v>15.0</v>
      </c>
      <c r="D417" s="16">
        <v>809.0</v>
      </c>
      <c r="E417" s="16">
        <v>702.0</v>
      </c>
    </row>
    <row r="418" ht="14.25" customHeight="1">
      <c r="A418" s="15">
        <v>43978.0</v>
      </c>
      <c r="B418" s="16" t="s">
        <v>15</v>
      </c>
      <c r="C418" s="16">
        <v>124.0</v>
      </c>
      <c r="D418" s="16">
        <v>21384.0</v>
      </c>
      <c r="E418" s="16">
        <v>19897.0</v>
      </c>
    </row>
    <row r="419" ht="14.25" customHeight="1">
      <c r="A419" s="15">
        <v>43978.0</v>
      </c>
      <c r="B419" s="16" t="s">
        <v>14</v>
      </c>
      <c r="C419" s="16">
        <v>129.0</v>
      </c>
      <c r="D419" s="16">
        <v>17115.0</v>
      </c>
      <c r="E419" s="16">
        <v>15962.0</v>
      </c>
    </row>
    <row r="420" ht="14.25" customHeight="1">
      <c r="A420" s="15">
        <v>43978.0</v>
      </c>
      <c r="B420" s="16" t="s">
        <v>12</v>
      </c>
      <c r="C420" s="16">
        <v>10.0</v>
      </c>
      <c r="D420" s="16">
        <v>757.0</v>
      </c>
      <c r="E420" s="16">
        <v>660.0</v>
      </c>
    </row>
    <row r="421" ht="14.25" customHeight="1">
      <c r="A421" s="15">
        <v>43978.0</v>
      </c>
      <c r="B421" s="16" t="s">
        <v>24</v>
      </c>
      <c r="C421" s="16">
        <v>7.0</v>
      </c>
      <c r="D421" s="16">
        <v>409.0</v>
      </c>
      <c r="E421" s="16">
        <v>329.0</v>
      </c>
    </row>
    <row r="422" ht="14.25" customHeight="1">
      <c r="A422" s="15">
        <v>43979.0</v>
      </c>
      <c r="B422" s="16" t="s">
        <v>16</v>
      </c>
      <c r="C422" s="16">
        <v>37.0</v>
      </c>
      <c r="D422" s="16">
        <v>4840.0</v>
      </c>
      <c r="E422" s="16">
        <v>4475.0</v>
      </c>
    </row>
    <row r="423" ht="14.25" customHeight="1">
      <c r="A423" s="15">
        <v>43979.0</v>
      </c>
      <c r="B423" s="16" t="s">
        <v>11</v>
      </c>
      <c r="C423" s="16">
        <v>31.0</v>
      </c>
      <c r="D423" s="16">
        <v>5355.0</v>
      </c>
      <c r="E423" s="16">
        <v>4969.0</v>
      </c>
    </row>
    <row r="424" ht="14.25" customHeight="1">
      <c r="A424" s="15">
        <v>43979.0</v>
      </c>
      <c r="B424" s="16" t="s">
        <v>17</v>
      </c>
      <c r="C424" s="16">
        <v>22.0</v>
      </c>
      <c r="D424" s="16">
        <v>2454.0</v>
      </c>
      <c r="E424" s="16">
        <v>2239.0</v>
      </c>
    </row>
    <row r="425" ht="14.25" customHeight="1">
      <c r="A425" s="15">
        <v>43979.0</v>
      </c>
      <c r="B425" s="16" t="s">
        <v>10</v>
      </c>
      <c r="C425" s="16">
        <v>20.0</v>
      </c>
      <c r="D425" s="16">
        <v>1886.0</v>
      </c>
      <c r="E425" s="16">
        <v>1736.0</v>
      </c>
    </row>
    <row r="426" ht="14.25" customHeight="1">
      <c r="A426" s="15">
        <v>43979.0</v>
      </c>
      <c r="B426" s="16" t="s">
        <v>20</v>
      </c>
      <c r="C426" s="16">
        <v>20.0</v>
      </c>
      <c r="D426" s="16">
        <v>1875.0</v>
      </c>
      <c r="E426" s="16">
        <v>1701.0</v>
      </c>
    </row>
    <row r="427" ht="14.25" customHeight="1">
      <c r="A427" s="15">
        <v>43979.0</v>
      </c>
      <c r="B427" s="16" t="s">
        <v>22</v>
      </c>
      <c r="C427" s="16">
        <v>54.0</v>
      </c>
      <c r="D427" s="16">
        <v>12409.0</v>
      </c>
      <c r="E427" s="16">
        <v>11582.0</v>
      </c>
    </row>
    <row r="428" ht="14.25" customHeight="1">
      <c r="A428" s="15">
        <v>43979.0</v>
      </c>
      <c r="B428" s="16" t="s">
        <v>21</v>
      </c>
      <c r="C428" s="16">
        <v>60.0</v>
      </c>
      <c r="D428" s="16">
        <v>12854.0</v>
      </c>
      <c r="E428" s="16">
        <v>11954.0</v>
      </c>
    </row>
    <row r="429" ht="14.25" customHeight="1">
      <c r="A429" s="15">
        <v>43979.0</v>
      </c>
      <c r="B429" s="16" t="s">
        <v>13</v>
      </c>
      <c r="C429" s="16">
        <v>20.0</v>
      </c>
      <c r="D429" s="16">
        <v>2088.0</v>
      </c>
      <c r="E429" s="16">
        <v>1848.0</v>
      </c>
    </row>
    <row r="430" ht="14.25" customHeight="1">
      <c r="A430" s="15">
        <v>43979.0</v>
      </c>
      <c r="B430" s="16" t="s">
        <v>23</v>
      </c>
      <c r="C430" s="16">
        <v>18.0</v>
      </c>
      <c r="D430" s="16">
        <v>1020.0</v>
      </c>
      <c r="E430" s="16">
        <v>911.0</v>
      </c>
    </row>
    <row r="431" ht="14.25" customHeight="1">
      <c r="A431" s="15">
        <v>43979.0</v>
      </c>
      <c r="B431" s="16" t="s">
        <v>18</v>
      </c>
      <c r="C431" s="16">
        <v>17.0</v>
      </c>
      <c r="D431" s="16">
        <v>1097.0</v>
      </c>
      <c r="E431" s="16">
        <v>968.0</v>
      </c>
    </row>
    <row r="432" ht="14.25" customHeight="1">
      <c r="A432" s="15">
        <v>43979.0</v>
      </c>
      <c r="B432" s="16" t="s">
        <v>19</v>
      </c>
      <c r="C432" s="16">
        <v>16.0</v>
      </c>
      <c r="D432" s="16">
        <v>876.0</v>
      </c>
      <c r="E432" s="16">
        <v>762.0</v>
      </c>
    </row>
    <row r="433" ht="14.25" customHeight="1">
      <c r="A433" s="15">
        <v>43979.0</v>
      </c>
      <c r="B433" s="16" t="s">
        <v>9</v>
      </c>
      <c r="C433" s="16">
        <v>15.0</v>
      </c>
      <c r="D433" s="16">
        <v>464.0</v>
      </c>
      <c r="E433" s="16">
        <v>390.0</v>
      </c>
    </row>
    <row r="434" ht="14.25" customHeight="1">
      <c r="A434" s="15">
        <v>43979.0</v>
      </c>
      <c r="B434" s="16" t="s">
        <v>15</v>
      </c>
      <c r="C434" s="16">
        <v>124.0</v>
      </c>
      <c r="D434" s="16">
        <v>20868.0</v>
      </c>
      <c r="E434" s="16">
        <v>19342.0</v>
      </c>
    </row>
    <row r="435" ht="14.25" customHeight="1">
      <c r="A435" s="15">
        <v>43979.0</v>
      </c>
      <c r="B435" s="16" t="s">
        <v>14</v>
      </c>
      <c r="C435" s="16">
        <v>129.0</v>
      </c>
      <c r="D435" s="16">
        <v>16453.0</v>
      </c>
      <c r="E435" s="16">
        <v>15289.0</v>
      </c>
    </row>
    <row r="436" ht="14.25" customHeight="1">
      <c r="A436" s="15">
        <v>43979.0</v>
      </c>
      <c r="B436" s="16" t="s">
        <v>12</v>
      </c>
      <c r="C436" s="16">
        <v>10.0</v>
      </c>
      <c r="D436" s="16">
        <v>791.0</v>
      </c>
      <c r="E436" s="16">
        <v>697.0</v>
      </c>
    </row>
    <row r="437" ht="14.25" customHeight="1">
      <c r="A437" s="15">
        <v>43979.0</v>
      </c>
      <c r="B437" s="16" t="s">
        <v>24</v>
      </c>
      <c r="C437" s="16">
        <v>7.0</v>
      </c>
      <c r="D437" s="16">
        <v>420.0</v>
      </c>
      <c r="E437" s="16">
        <v>347.0</v>
      </c>
    </row>
    <row r="438" ht="14.25" customHeight="1">
      <c r="A438" s="15">
        <v>43980.0</v>
      </c>
      <c r="B438" s="16" t="s">
        <v>16</v>
      </c>
      <c r="C438" s="16">
        <v>37.0</v>
      </c>
      <c r="D438" s="16">
        <v>5672.0</v>
      </c>
      <c r="E438" s="16">
        <v>5198.0</v>
      </c>
    </row>
    <row r="439" ht="14.25" customHeight="1">
      <c r="A439" s="15">
        <v>43980.0</v>
      </c>
      <c r="B439" s="16" t="s">
        <v>11</v>
      </c>
      <c r="C439" s="16">
        <v>31.0</v>
      </c>
      <c r="D439" s="16">
        <v>5751.0</v>
      </c>
      <c r="E439" s="16">
        <v>5319.0</v>
      </c>
    </row>
    <row r="440" ht="14.25" customHeight="1">
      <c r="A440" s="15">
        <v>43980.0</v>
      </c>
      <c r="B440" s="16" t="s">
        <v>17</v>
      </c>
      <c r="C440" s="16">
        <v>22.0</v>
      </c>
      <c r="D440" s="16">
        <v>2597.0</v>
      </c>
      <c r="E440" s="16">
        <v>2379.0</v>
      </c>
    </row>
    <row r="441" ht="14.25" customHeight="1">
      <c r="A441" s="15">
        <v>43980.0</v>
      </c>
      <c r="B441" s="16" t="s">
        <v>10</v>
      </c>
      <c r="C441" s="16">
        <v>20.0</v>
      </c>
      <c r="D441" s="16">
        <v>2111.0</v>
      </c>
      <c r="E441" s="16">
        <v>1917.0</v>
      </c>
    </row>
    <row r="442" ht="14.25" customHeight="1">
      <c r="A442" s="15">
        <v>43980.0</v>
      </c>
      <c r="B442" s="16" t="s">
        <v>20</v>
      </c>
      <c r="C442" s="16">
        <v>20.0</v>
      </c>
      <c r="D442" s="16">
        <v>2064.0</v>
      </c>
      <c r="E442" s="16">
        <v>1896.0</v>
      </c>
    </row>
    <row r="443" ht="14.25" customHeight="1">
      <c r="A443" s="15">
        <v>43980.0</v>
      </c>
      <c r="B443" s="16" t="s">
        <v>22</v>
      </c>
      <c r="C443" s="16">
        <v>54.0</v>
      </c>
      <c r="D443" s="16">
        <v>14031.0</v>
      </c>
      <c r="E443" s="16">
        <v>12943.0</v>
      </c>
    </row>
    <row r="444" ht="14.25" customHeight="1">
      <c r="A444" s="15">
        <v>43980.0</v>
      </c>
      <c r="B444" s="16" t="s">
        <v>21</v>
      </c>
      <c r="C444" s="16">
        <v>59.0</v>
      </c>
      <c r="D444" s="16">
        <v>14507.0</v>
      </c>
      <c r="E444" s="16">
        <v>13386.0</v>
      </c>
    </row>
    <row r="445" ht="14.25" customHeight="1">
      <c r="A445" s="15">
        <v>43980.0</v>
      </c>
      <c r="B445" s="16" t="s">
        <v>13</v>
      </c>
      <c r="C445" s="16">
        <v>20.0</v>
      </c>
      <c r="D445" s="16">
        <v>2249.0</v>
      </c>
      <c r="E445" s="16">
        <v>2000.0</v>
      </c>
    </row>
    <row r="446" ht="14.25" customHeight="1">
      <c r="A446" s="15">
        <v>43980.0</v>
      </c>
      <c r="B446" s="16" t="s">
        <v>23</v>
      </c>
      <c r="C446" s="16">
        <v>18.0</v>
      </c>
      <c r="D446" s="16">
        <v>1014.0</v>
      </c>
      <c r="E446" s="16">
        <v>893.0</v>
      </c>
    </row>
    <row r="447" ht="14.25" customHeight="1">
      <c r="A447" s="15">
        <v>43980.0</v>
      </c>
      <c r="B447" s="16" t="s">
        <v>18</v>
      </c>
      <c r="C447" s="16">
        <v>17.0</v>
      </c>
      <c r="D447" s="16">
        <v>1296.0</v>
      </c>
      <c r="E447" s="16">
        <v>1153.0</v>
      </c>
    </row>
    <row r="448" ht="14.25" customHeight="1">
      <c r="A448" s="15">
        <v>43980.0</v>
      </c>
      <c r="B448" s="16" t="s">
        <v>19</v>
      </c>
      <c r="C448" s="16">
        <v>16.0</v>
      </c>
      <c r="D448" s="16">
        <v>981.0</v>
      </c>
      <c r="E448" s="16">
        <v>859.0</v>
      </c>
    </row>
    <row r="449" ht="14.25" customHeight="1">
      <c r="A449" s="15">
        <v>43980.0</v>
      </c>
      <c r="B449" s="16" t="s">
        <v>9</v>
      </c>
      <c r="C449" s="16">
        <v>15.0</v>
      </c>
      <c r="D449" s="16">
        <v>400.0</v>
      </c>
      <c r="E449" s="16">
        <v>329.0</v>
      </c>
    </row>
    <row r="450" ht="14.25" customHeight="1">
      <c r="A450" s="15">
        <v>43980.0</v>
      </c>
      <c r="B450" s="16" t="s">
        <v>15</v>
      </c>
      <c r="C450" s="16">
        <v>124.0</v>
      </c>
      <c r="D450" s="16">
        <v>25828.0</v>
      </c>
      <c r="E450" s="16">
        <v>23974.0</v>
      </c>
    </row>
    <row r="451" ht="14.25" customHeight="1">
      <c r="A451" s="15">
        <v>43980.0</v>
      </c>
      <c r="B451" s="16" t="s">
        <v>14</v>
      </c>
      <c r="C451" s="16">
        <v>129.0</v>
      </c>
      <c r="D451" s="16">
        <v>22403.0</v>
      </c>
      <c r="E451" s="16">
        <v>20676.0</v>
      </c>
    </row>
    <row r="452" ht="14.25" customHeight="1">
      <c r="A452" s="15">
        <v>43980.0</v>
      </c>
      <c r="B452" s="16" t="s">
        <v>12</v>
      </c>
      <c r="C452" s="16">
        <v>10.0</v>
      </c>
      <c r="D452" s="16">
        <v>873.0</v>
      </c>
      <c r="E452" s="16">
        <v>770.0</v>
      </c>
    </row>
    <row r="453" ht="14.25" customHeight="1">
      <c r="A453" s="15">
        <v>43980.0</v>
      </c>
      <c r="B453" s="16" t="s">
        <v>24</v>
      </c>
      <c r="C453" s="16">
        <v>7.0</v>
      </c>
      <c r="D453" s="16">
        <v>491.0</v>
      </c>
      <c r="E453" s="16">
        <v>411.0</v>
      </c>
    </row>
    <row r="454" ht="14.25" customHeight="1">
      <c r="A454" s="15">
        <v>43981.0</v>
      </c>
      <c r="B454" s="16" t="s">
        <v>16</v>
      </c>
      <c r="C454" s="16">
        <v>37.0</v>
      </c>
      <c r="D454" s="16">
        <v>6645.0</v>
      </c>
      <c r="E454" s="16">
        <v>6122.0</v>
      </c>
    </row>
    <row r="455" ht="14.25" customHeight="1">
      <c r="A455" s="15">
        <v>43981.0</v>
      </c>
      <c r="B455" s="16" t="s">
        <v>11</v>
      </c>
      <c r="C455" s="16">
        <v>31.0</v>
      </c>
      <c r="D455" s="16">
        <v>6735.0</v>
      </c>
      <c r="E455" s="16">
        <v>6264.0</v>
      </c>
    </row>
    <row r="456" ht="14.25" customHeight="1">
      <c r="A456" s="15">
        <v>43981.0</v>
      </c>
      <c r="B456" s="16" t="s">
        <v>17</v>
      </c>
      <c r="C456" s="16">
        <v>22.0</v>
      </c>
      <c r="D456" s="16">
        <v>2793.0</v>
      </c>
      <c r="E456" s="16">
        <v>2539.0</v>
      </c>
    </row>
    <row r="457" ht="14.25" customHeight="1">
      <c r="A457" s="15">
        <v>43981.0</v>
      </c>
      <c r="B457" s="16" t="s">
        <v>10</v>
      </c>
      <c r="C457" s="16">
        <v>20.0</v>
      </c>
      <c r="D457" s="16">
        <v>2597.0</v>
      </c>
      <c r="E457" s="16">
        <v>2376.0</v>
      </c>
    </row>
    <row r="458" ht="14.25" customHeight="1">
      <c r="A458" s="15">
        <v>43981.0</v>
      </c>
      <c r="B458" s="16" t="s">
        <v>20</v>
      </c>
      <c r="C458" s="16">
        <v>20.0</v>
      </c>
      <c r="D458" s="16">
        <v>2174.0</v>
      </c>
      <c r="E458" s="16">
        <v>1957.0</v>
      </c>
    </row>
    <row r="459" ht="14.25" customHeight="1">
      <c r="A459" s="15">
        <v>43981.0</v>
      </c>
      <c r="B459" s="16" t="s">
        <v>22</v>
      </c>
      <c r="C459" s="16">
        <v>54.0</v>
      </c>
      <c r="D459" s="16">
        <v>14590.0</v>
      </c>
      <c r="E459" s="16">
        <v>13551.0</v>
      </c>
    </row>
    <row r="460" ht="14.25" customHeight="1">
      <c r="A460" s="15">
        <v>43981.0</v>
      </c>
      <c r="B460" s="16" t="s">
        <v>21</v>
      </c>
      <c r="C460" s="16">
        <v>59.0</v>
      </c>
      <c r="D460" s="16">
        <v>15030.0</v>
      </c>
      <c r="E460" s="16">
        <v>13956.0</v>
      </c>
    </row>
    <row r="461" ht="14.25" customHeight="1">
      <c r="A461" s="15">
        <v>43981.0</v>
      </c>
      <c r="B461" s="16" t="s">
        <v>13</v>
      </c>
      <c r="C461" s="16">
        <v>20.0</v>
      </c>
      <c r="D461" s="16">
        <v>2451.0</v>
      </c>
      <c r="E461" s="16">
        <v>2178.0</v>
      </c>
    </row>
    <row r="462" ht="14.25" customHeight="1">
      <c r="A462" s="15">
        <v>43981.0</v>
      </c>
      <c r="B462" s="16" t="s">
        <v>23</v>
      </c>
      <c r="C462" s="16">
        <v>18.0</v>
      </c>
      <c r="D462" s="16">
        <v>1216.0</v>
      </c>
      <c r="E462" s="16">
        <v>1101.0</v>
      </c>
    </row>
    <row r="463" ht="14.25" customHeight="1">
      <c r="A463" s="15">
        <v>43981.0</v>
      </c>
      <c r="B463" s="16" t="s">
        <v>18</v>
      </c>
      <c r="C463" s="16">
        <v>17.0</v>
      </c>
      <c r="D463" s="16">
        <v>1697.0</v>
      </c>
      <c r="E463" s="16">
        <v>1499.0</v>
      </c>
    </row>
    <row r="464" ht="14.25" customHeight="1">
      <c r="A464" s="15">
        <v>43981.0</v>
      </c>
      <c r="B464" s="16" t="s">
        <v>19</v>
      </c>
      <c r="C464" s="16">
        <v>16.0</v>
      </c>
      <c r="D464" s="16">
        <v>1048.0</v>
      </c>
      <c r="E464" s="16">
        <v>918.0</v>
      </c>
    </row>
    <row r="465" ht="14.25" customHeight="1">
      <c r="A465" s="15">
        <v>43981.0</v>
      </c>
      <c r="B465" s="16" t="s">
        <v>9</v>
      </c>
      <c r="C465" s="16">
        <v>15.0</v>
      </c>
      <c r="D465" s="16">
        <v>490.0</v>
      </c>
      <c r="E465" s="16">
        <v>409.0</v>
      </c>
    </row>
    <row r="466" ht="14.25" customHeight="1">
      <c r="A466" s="15">
        <v>43981.0</v>
      </c>
      <c r="B466" s="16" t="s">
        <v>15</v>
      </c>
      <c r="C466" s="16">
        <v>124.0</v>
      </c>
      <c r="D466" s="16">
        <v>24325.0</v>
      </c>
      <c r="E466" s="16">
        <v>22469.0</v>
      </c>
    </row>
    <row r="467" ht="14.25" customHeight="1">
      <c r="A467" s="15">
        <v>43981.0</v>
      </c>
      <c r="B467" s="16" t="s">
        <v>14</v>
      </c>
      <c r="C467" s="16">
        <v>129.0</v>
      </c>
      <c r="D467" s="16">
        <v>20243.0</v>
      </c>
      <c r="E467" s="16">
        <v>18711.0</v>
      </c>
    </row>
    <row r="468" ht="14.25" customHeight="1">
      <c r="A468" s="15">
        <v>43981.0</v>
      </c>
      <c r="B468" s="16" t="s">
        <v>12</v>
      </c>
      <c r="C468" s="16">
        <v>10.0</v>
      </c>
      <c r="D468" s="16">
        <v>865.0</v>
      </c>
      <c r="E468" s="16">
        <v>763.0</v>
      </c>
    </row>
    <row r="469" ht="14.25" customHeight="1">
      <c r="A469" s="15">
        <v>43981.0</v>
      </c>
      <c r="B469" s="16" t="s">
        <v>24</v>
      </c>
      <c r="C469" s="16">
        <v>7.0</v>
      </c>
      <c r="D469" s="16">
        <v>532.0</v>
      </c>
      <c r="E469" s="16">
        <v>449.0</v>
      </c>
    </row>
    <row r="470" ht="14.25" customHeight="1">
      <c r="A470" s="15">
        <v>43982.0</v>
      </c>
      <c r="B470" s="16" t="s">
        <v>16</v>
      </c>
      <c r="C470" s="16">
        <v>37.0</v>
      </c>
      <c r="D470" s="16">
        <v>5215.0</v>
      </c>
      <c r="E470" s="16">
        <v>4848.0</v>
      </c>
    </row>
    <row r="471" ht="14.25" customHeight="1">
      <c r="A471" s="15">
        <v>43982.0</v>
      </c>
      <c r="B471" s="16" t="s">
        <v>11</v>
      </c>
      <c r="C471" s="16">
        <v>31.0</v>
      </c>
      <c r="D471" s="16">
        <v>5760.0</v>
      </c>
      <c r="E471" s="16">
        <v>5367.0</v>
      </c>
    </row>
    <row r="472" ht="14.25" customHeight="1">
      <c r="A472" s="15">
        <v>43982.0</v>
      </c>
      <c r="B472" s="16" t="s">
        <v>17</v>
      </c>
      <c r="C472" s="16">
        <v>23.0</v>
      </c>
      <c r="D472" s="16">
        <v>2522.0</v>
      </c>
      <c r="E472" s="16">
        <v>2295.0</v>
      </c>
    </row>
    <row r="473" ht="14.25" customHeight="1">
      <c r="A473" s="15">
        <v>43982.0</v>
      </c>
      <c r="B473" s="16" t="s">
        <v>10</v>
      </c>
      <c r="C473" s="16">
        <v>21.0</v>
      </c>
      <c r="D473" s="16">
        <v>2271.0</v>
      </c>
      <c r="E473" s="16">
        <v>2085.0</v>
      </c>
    </row>
    <row r="474" ht="14.25" customHeight="1">
      <c r="A474" s="15">
        <v>43982.0</v>
      </c>
      <c r="B474" s="16" t="s">
        <v>20</v>
      </c>
      <c r="C474" s="16">
        <v>21.0</v>
      </c>
      <c r="D474" s="16">
        <v>2056.0</v>
      </c>
      <c r="E474" s="16">
        <v>1879.0</v>
      </c>
    </row>
    <row r="475" ht="14.25" customHeight="1">
      <c r="A475" s="15">
        <v>43982.0</v>
      </c>
      <c r="B475" s="16" t="s">
        <v>22</v>
      </c>
      <c r="C475" s="16">
        <v>54.0</v>
      </c>
      <c r="D475" s="16">
        <v>13106.0</v>
      </c>
      <c r="E475" s="16">
        <v>12164.0</v>
      </c>
    </row>
    <row r="476" ht="14.25" customHeight="1">
      <c r="A476" s="15">
        <v>43982.0</v>
      </c>
      <c r="B476" s="16" t="s">
        <v>21</v>
      </c>
      <c r="C476" s="16">
        <v>59.0</v>
      </c>
      <c r="D476" s="16">
        <v>13684.0</v>
      </c>
      <c r="E476" s="16">
        <v>12690.0</v>
      </c>
    </row>
    <row r="477" ht="14.25" customHeight="1">
      <c r="A477" s="15">
        <v>43982.0</v>
      </c>
      <c r="B477" s="16" t="s">
        <v>13</v>
      </c>
      <c r="C477" s="16">
        <v>20.0</v>
      </c>
      <c r="D477" s="16">
        <v>2060.0</v>
      </c>
      <c r="E477" s="16">
        <v>1826.0</v>
      </c>
    </row>
    <row r="478" ht="14.25" customHeight="1">
      <c r="A478" s="15">
        <v>43982.0</v>
      </c>
      <c r="B478" s="16" t="s">
        <v>23</v>
      </c>
      <c r="C478" s="16">
        <v>18.0</v>
      </c>
      <c r="D478" s="16">
        <v>1029.0</v>
      </c>
      <c r="E478" s="16">
        <v>925.0</v>
      </c>
    </row>
    <row r="479" ht="14.25" customHeight="1">
      <c r="A479" s="15">
        <v>43982.0</v>
      </c>
      <c r="B479" s="16" t="s">
        <v>18</v>
      </c>
      <c r="C479" s="16">
        <v>17.0</v>
      </c>
      <c r="D479" s="16">
        <v>1186.0</v>
      </c>
      <c r="E479" s="16">
        <v>1054.0</v>
      </c>
    </row>
    <row r="480" ht="14.25" customHeight="1">
      <c r="A480" s="15">
        <v>43982.0</v>
      </c>
      <c r="B480" s="16" t="s">
        <v>19</v>
      </c>
      <c r="C480" s="16">
        <v>16.0</v>
      </c>
      <c r="D480" s="16">
        <v>917.0</v>
      </c>
      <c r="E480" s="16">
        <v>802.0</v>
      </c>
    </row>
    <row r="481" ht="14.25" customHeight="1">
      <c r="A481" s="15">
        <v>43982.0</v>
      </c>
      <c r="B481" s="16" t="s">
        <v>9</v>
      </c>
      <c r="C481" s="16">
        <v>15.0</v>
      </c>
      <c r="D481" s="16">
        <v>441.0</v>
      </c>
      <c r="E481" s="16">
        <v>368.0</v>
      </c>
    </row>
    <row r="482" ht="14.25" customHeight="1">
      <c r="A482" s="15">
        <v>43982.0</v>
      </c>
      <c r="B482" s="16" t="s">
        <v>15</v>
      </c>
      <c r="C482" s="16">
        <v>124.0</v>
      </c>
      <c r="D482" s="16">
        <v>21392.0</v>
      </c>
      <c r="E482" s="16">
        <v>19869.0</v>
      </c>
    </row>
    <row r="483" ht="14.25" customHeight="1">
      <c r="A483" s="15">
        <v>43982.0</v>
      </c>
      <c r="B483" s="16" t="s">
        <v>14</v>
      </c>
      <c r="C483" s="16">
        <v>129.0</v>
      </c>
      <c r="D483" s="16">
        <v>17235.0</v>
      </c>
      <c r="E483" s="16">
        <v>16052.0</v>
      </c>
    </row>
    <row r="484" ht="14.25" customHeight="1">
      <c r="A484" s="15">
        <v>43982.0</v>
      </c>
      <c r="B484" s="16" t="s">
        <v>12</v>
      </c>
      <c r="C484" s="16">
        <v>10.0</v>
      </c>
      <c r="D484" s="16">
        <v>749.0</v>
      </c>
      <c r="E484" s="16">
        <v>655.0</v>
      </c>
    </row>
    <row r="485" ht="14.25" customHeight="1">
      <c r="A485" s="15">
        <v>43982.0</v>
      </c>
      <c r="B485" s="16" t="s">
        <v>25</v>
      </c>
      <c r="C485" s="16">
        <v>9.0</v>
      </c>
      <c r="D485" s="16">
        <v>345.0</v>
      </c>
      <c r="E485" s="16">
        <v>255.0</v>
      </c>
    </row>
    <row r="486" ht="14.25" customHeight="1">
      <c r="A486" s="15">
        <v>43982.0</v>
      </c>
      <c r="B486" s="16" t="s">
        <v>24</v>
      </c>
      <c r="C486" s="16">
        <v>7.0</v>
      </c>
      <c r="D486" s="16">
        <v>530.0</v>
      </c>
      <c r="E486" s="16">
        <v>447.0</v>
      </c>
    </row>
    <row r="487" ht="14.25" customHeight="1">
      <c r="A487" s="15">
        <v>43982.0</v>
      </c>
      <c r="B487" s="16" t="s">
        <v>26</v>
      </c>
      <c r="C487" s="16">
        <v>6.0</v>
      </c>
      <c r="D487" s="16">
        <v>261.0</v>
      </c>
      <c r="E487" s="16">
        <v>188.0</v>
      </c>
    </row>
    <row r="488" ht="14.25" customHeight="1">
      <c r="A488" s="15">
        <v>43983.0</v>
      </c>
      <c r="B488" s="16" t="s">
        <v>16</v>
      </c>
      <c r="C488" s="16">
        <v>37.0</v>
      </c>
      <c r="D488" s="16">
        <v>4722.0</v>
      </c>
      <c r="E488" s="16">
        <v>4352.0</v>
      </c>
    </row>
    <row r="489" ht="14.25" customHeight="1">
      <c r="A489" s="15">
        <v>43983.0</v>
      </c>
      <c r="B489" s="16" t="s">
        <v>11</v>
      </c>
      <c r="C489" s="16">
        <v>31.0</v>
      </c>
      <c r="D489" s="16">
        <v>5468.0</v>
      </c>
      <c r="E489" s="16">
        <v>5081.0</v>
      </c>
    </row>
    <row r="490" ht="14.25" customHeight="1">
      <c r="A490" s="15">
        <v>43983.0</v>
      </c>
      <c r="B490" s="16" t="s">
        <v>17</v>
      </c>
      <c r="C490" s="16">
        <v>23.0</v>
      </c>
      <c r="D490" s="16">
        <v>2531.0</v>
      </c>
      <c r="E490" s="16">
        <v>2296.0</v>
      </c>
    </row>
    <row r="491" ht="14.25" customHeight="1">
      <c r="A491" s="15">
        <v>43983.0</v>
      </c>
      <c r="B491" s="16" t="s">
        <v>10</v>
      </c>
      <c r="C491" s="16">
        <v>21.0</v>
      </c>
      <c r="D491" s="16">
        <v>2025.0</v>
      </c>
      <c r="E491" s="16">
        <v>1849.0</v>
      </c>
    </row>
    <row r="492" ht="14.25" customHeight="1">
      <c r="A492" s="15">
        <v>43983.0</v>
      </c>
      <c r="B492" s="16" t="s">
        <v>20</v>
      </c>
      <c r="C492" s="16">
        <v>21.0</v>
      </c>
      <c r="D492" s="16">
        <v>1879.0</v>
      </c>
      <c r="E492" s="16">
        <v>1720.0</v>
      </c>
    </row>
    <row r="493" ht="14.25" customHeight="1">
      <c r="A493" s="15">
        <v>43983.0</v>
      </c>
      <c r="B493" s="16" t="s">
        <v>22</v>
      </c>
      <c r="C493" s="16">
        <v>54.0</v>
      </c>
      <c r="D493" s="16">
        <v>11864.0</v>
      </c>
      <c r="E493" s="16">
        <v>11071.0</v>
      </c>
    </row>
    <row r="494" ht="14.25" customHeight="1">
      <c r="A494" s="15">
        <v>43983.0</v>
      </c>
      <c r="B494" s="16" t="s">
        <v>21</v>
      </c>
      <c r="C494" s="16">
        <v>59.0</v>
      </c>
      <c r="D494" s="16">
        <v>12299.0</v>
      </c>
      <c r="E494" s="16">
        <v>11448.0</v>
      </c>
    </row>
    <row r="495" ht="14.25" customHeight="1">
      <c r="A495" s="15">
        <v>43983.0</v>
      </c>
      <c r="B495" s="16" t="s">
        <v>13</v>
      </c>
      <c r="C495" s="16">
        <v>20.0</v>
      </c>
      <c r="D495" s="16">
        <v>2136.0</v>
      </c>
      <c r="E495" s="16">
        <v>1899.0</v>
      </c>
    </row>
    <row r="496" ht="14.25" customHeight="1">
      <c r="A496" s="15">
        <v>43983.0</v>
      </c>
      <c r="B496" s="16" t="s">
        <v>23</v>
      </c>
      <c r="C496" s="16">
        <v>18.0</v>
      </c>
      <c r="D496" s="16">
        <v>923.0</v>
      </c>
      <c r="E496" s="16">
        <v>824.0</v>
      </c>
    </row>
    <row r="497" ht="14.25" customHeight="1">
      <c r="A497" s="15">
        <v>43983.0</v>
      </c>
      <c r="B497" s="16" t="s">
        <v>18</v>
      </c>
      <c r="C497" s="16">
        <v>17.0</v>
      </c>
      <c r="D497" s="16">
        <v>1185.0</v>
      </c>
      <c r="E497" s="16">
        <v>1042.0</v>
      </c>
    </row>
    <row r="498" ht="14.25" customHeight="1">
      <c r="A498" s="15">
        <v>43983.0</v>
      </c>
      <c r="B498" s="16" t="s">
        <v>19</v>
      </c>
      <c r="C498" s="16">
        <v>16.0</v>
      </c>
      <c r="D498" s="16">
        <v>1019.0</v>
      </c>
      <c r="E498" s="16">
        <v>895.0</v>
      </c>
    </row>
    <row r="499" ht="14.25" customHeight="1">
      <c r="A499" s="15">
        <v>43983.0</v>
      </c>
      <c r="B499" s="16" t="s">
        <v>9</v>
      </c>
      <c r="C499" s="16">
        <v>15.0</v>
      </c>
      <c r="D499" s="16">
        <v>453.0</v>
      </c>
      <c r="E499" s="16">
        <v>370.0</v>
      </c>
    </row>
    <row r="500" ht="14.25" customHeight="1">
      <c r="A500" s="15">
        <v>43983.0</v>
      </c>
      <c r="B500" s="16" t="s">
        <v>15</v>
      </c>
      <c r="C500" s="16">
        <v>123.0</v>
      </c>
      <c r="D500" s="16">
        <v>20325.0</v>
      </c>
      <c r="E500" s="16">
        <v>18935.0</v>
      </c>
    </row>
    <row r="501" ht="14.25" customHeight="1">
      <c r="A501" s="15">
        <v>43983.0</v>
      </c>
      <c r="B501" s="16" t="s">
        <v>14</v>
      </c>
      <c r="C501" s="16">
        <v>128.0</v>
      </c>
      <c r="D501" s="16">
        <v>16285.0</v>
      </c>
      <c r="E501" s="16">
        <v>15130.0</v>
      </c>
    </row>
    <row r="502" ht="14.25" customHeight="1">
      <c r="A502" s="15">
        <v>43983.0</v>
      </c>
      <c r="B502" s="16" t="s">
        <v>12</v>
      </c>
      <c r="C502" s="16">
        <v>10.0</v>
      </c>
      <c r="D502" s="16">
        <v>719.0</v>
      </c>
      <c r="E502" s="16">
        <v>627.0</v>
      </c>
    </row>
    <row r="503" ht="14.25" customHeight="1">
      <c r="A503" s="15">
        <v>43983.0</v>
      </c>
      <c r="B503" s="16" t="s">
        <v>25</v>
      </c>
      <c r="C503" s="16">
        <v>9.0</v>
      </c>
      <c r="D503" s="16">
        <v>294.0</v>
      </c>
      <c r="E503" s="16">
        <v>224.0</v>
      </c>
    </row>
    <row r="504" ht="14.25" customHeight="1">
      <c r="A504" s="15">
        <v>43983.0</v>
      </c>
      <c r="B504" s="16" t="s">
        <v>24</v>
      </c>
      <c r="C504" s="16">
        <v>7.0</v>
      </c>
      <c r="D504" s="16">
        <v>500.0</v>
      </c>
      <c r="E504" s="16">
        <v>418.0</v>
      </c>
    </row>
    <row r="505" ht="14.25" customHeight="1">
      <c r="A505" s="15">
        <v>43983.0</v>
      </c>
      <c r="B505" s="16" t="s">
        <v>26</v>
      </c>
      <c r="C505" s="16">
        <v>6.0</v>
      </c>
      <c r="D505" s="16">
        <v>237.0</v>
      </c>
      <c r="E505" s="16">
        <v>175.0</v>
      </c>
    </row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7" t="s">
        <v>27</v>
      </c>
      <c r="H1" s="17" t="s">
        <v>28</v>
      </c>
      <c r="I1" s="17" t="s">
        <v>29</v>
      </c>
    </row>
    <row r="2">
      <c r="A2" s="6">
        <f>IFERROR(__xludf.DUMMYFUNCTION("QUERY({'Лист1'!A:E; 'Лист2'!A:E}, ""SELECT * WHERE Col1 IS NOT NULL"", 0)
"),43982.0)</f>
        <v>43982</v>
      </c>
      <c r="B2" s="7" t="str">
        <f>IFERROR(__xludf.DUMMYFUNCTION("""COMPUTED_VALUE"""),"Самара")</f>
        <v>Самара</v>
      </c>
      <c r="C2" s="7">
        <f>IFERROR(__xludf.DUMMYFUNCTION("""COMPUTED_VALUE"""),7944.0)</f>
        <v>7944</v>
      </c>
      <c r="D2" s="7">
        <f>IFERROR(__xludf.DUMMYFUNCTION("""COMPUTED_VALUE"""),623971.5)</f>
        <v>623971.5</v>
      </c>
      <c r="E2" s="7">
        <f>IFERROR(__xludf.DUMMYFUNCTION("""COMPUTED_VALUE"""),565363.016)</f>
        <v>565363.016</v>
      </c>
      <c r="F2" s="8">
        <v>64235.45692307692</v>
      </c>
      <c r="G2" s="18">
        <f t="shared" ref="G2:G1009" si="1">WEEKNUM(A2, 2)
</f>
        <v>22</v>
      </c>
      <c r="H2" s="19">
        <f t="shared" ref="H2:H505" si="2">(D2 - E2) /E2  * 100</f>
        <v>10.36652245</v>
      </c>
      <c r="I2" s="19">
        <f t="shared" ref="I2:I505" si="3">F2/D2</f>
        <v>0.1029461392</v>
      </c>
    </row>
    <row r="3">
      <c r="A3" s="9">
        <f>IFERROR(__xludf.DUMMYFUNCTION("""COMPUTED_VALUE"""),43981.0)</f>
        <v>43981</v>
      </c>
      <c r="B3" s="10" t="str">
        <f>IFERROR(__xludf.DUMMYFUNCTION("""COMPUTED_VALUE"""),"Самара")</f>
        <v>Самара</v>
      </c>
      <c r="C3" s="10">
        <f>IFERROR(__xludf.DUMMYFUNCTION("""COMPUTED_VALUE"""),10029.0)</f>
        <v>10029</v>
      </c>
      <c r="D3" s="10">
        <f>IFERROR(__xludf.DUMMYFUNCTION("""COMPUTED_VALUE"""),787101.0)</f>
        <v>787101</v>
      </c>
      <c r="E3" s="10">
        <f>IFERROR(__xludf.DUMMYFUNCTION("""COMPUTED_VALUE"""),707654.6309999999)</f>
        <v>707654.631</v>
      </c>
      <c r="F3" s="11">
        <v>112379.26539999999</v>
      </c>
      <c r="G3" s="18">
        <f t="shared" si="1"/>
        <v>22</v>
      </c>
      <c r="H3" s="19">
        <f t="shared" si="2"/>
        <v>11.22671506</v>
      </c>
      <c r="I3" s="19">
        <f t="shared" si="3"/>
        <v>0.142776169</v>
      </c>
    </row>
    <row r="4">
      <c r="A4" s="6">
        <f>IFERROR(__xludf.DUMMYFUNCTION("""COMPUTED_VALUE"""),43979.0)</f>
        <v>43979</v>
      </c>
      <c r="B4" s="7" t="str">
        <f>IFERROR(__xludf.DUMMYFUNCTION("""COMPUTED_VALUE"""),"Самара")</f>
        <v>Самара</v>
      </c>
      <c r="C4" s="7">
        <f>IFERROR(__xludf.DUMMYFUNCTION("""COMPUTED_VALUE"""),8536.5)</f>
        <v>8536.5</v>
      </c>
      <c r="D4" s="7">
        <f>IFERROR(__xludf.DUMMYFUNCTION("""COMPUTED_VALUE"""),643944.0)</f>
        <v>643944</v>
      </c>
      <c r="E4" s="7">
        <f>IFERROR(__xludf.DUMMYFUNCTION("""COMPUTED_VALUE"""),640961.693)</f>
        <v>640961.693</v>
      </c>
      <c r="F4" s="8">
        <v>61475.592307692306</v>
      </c>
      <c r="G4" s="18">
        <f t="shared" si="1"/>
        <v>22</v>
      </c>
      <c r="H4" s="19">
        <f t="shared" si="2"/>
        <v>0.4652863085</v>
      </c>
      <c r="I4" s="19">
        <f t="shared" si="3"/>
        <v>0.09546729577</v>
      </c>
    </row>
    <row r="5">
      <c r="A5" s="9">
        <f>IFERROR(__xludf.DUMMYFUNCTION("""COMPUTED_VALUE"""),43967.0)</f>
        <v>43967</v>
      </c>
      <c r="B5" s="10" t="str">
        <f>IFERROR(__xludf.DUMMYFUNCTION("""COMPUTED_VALUE"""),"Кемерово")</f>
        <v>Кемерово</v>
      </c>
      <c r="C5" s="10">
        <f>IFERROR(__xludf.DUMMYFUNCTION("""COMPUTED_VALUE"""),38947.5)</f>
        <v>38947.5</v>
      </c>
      <c r="D5" s="10">
        <f>IFERROR(__xludf.DUMMYFUNCTION("""COMPUTED_VALUE"""),3395892.0)</f>
        <v>3395892</v>
      </c>
      <c r="E5" s="10">
        <f>IFERROR(__xludf.DUMMYFUNCTION("""COMPUTED_VALUE"""),2740255.211)</f>
        <v>2740255.211</v>
      </c>
      <c r="F5" s="11">
        <v>294361.0811230769</v>
      </c>
      <c r="G5" s="18">
        <f t="shared" si="1"/>
        <v>20</v>
      </c>
      <c r="H5" s="19">
        <f t="shared" si="2"/>
        <v>23.92612142</v>
      </c>
      <c r="I5" s="19">
        <f t="shared" si="3"/>
        <v>0.08668152024</v>
      </c>
    </row>
    <row r="6">
      <c r="A6" s="6">
        <f>IFERROR(__xludf.DUMMYFUNCTION("""COMPUTED_VALUE"""),43970.0)</f>
        <v>43970</v>
      </c>
      <c r="B6" s="7" t="str">
        <f>IFERROR(__xludf.DUMMYFUNCTION("""COMPUTED_VALUE"""),"Кемерово")</f>
        <v>Кемерово</v>
      </c>
      <c r="C6" s="7">
        <f>IFERROR(__xludf.DUMMYFUNCTION("""COMPUTED_VALUE"""),31842.0)</f>
        <v>31842</v>
      </c>
      <c r="D6" s="7">
        <f>IFERROR(__xludf.DUMMYFUNCTION("""COMPUTED_VALUE"""),2771116.5)</f>
        <v>2771116.5</v>
      </c>
      <c r="E6" s="7">
        <f>IFERROR(__xludf.DUMMYFUNCTION("""COMPUTED_VALUE"""),2269371.4459999995)</f>
        <v>2269371.446</v>
      </c>
      <c r="F6" s="8">
        <v>328803.8461538461</v>
      </c>
      <c r="G6" s="18">
        <f t="shared" si="1"/>
        <v>21</v>
      </c>
      <c r="H6" s="19">
        <f t="shared" si="2"/>
        <v>22.10942836</v>
      </c>
      <c r="I6" s="19">
        <f t="shared" si="3"/>
        <v>0.1186539238</v>
      </c>
    </row>
    <row r="7">
      <c r="A7" s="9">
        <f>IFERROR(__xludf.DUMMYFUNCTION("""COMPUTED_VALUE"""),43968.0)</f>
        <v>43968</v>
      </c>
      <c r="B7" s="10" t="str">
        <f>IFERROR(__xludf.DUMMYFUNCTION("""COMPUTED_VALUE"""),"Кемерово")</f>
        <v>Кемерово</v>
      </c>
      <c r="C7" s="10">
        <f>IFERROR(__xludf.DUMMYFUNCTION("""COMPUTED_VALUE"""),32023.5)</f>
        <v>32023.5</v>
      </c>
      <c r="D7" s="10">
        <f>IFERROR(__xludf.DUMMYFUNCTION("""COMPUTED_VALUE"""),2882458.5)</f>
        <v>2882458.5</v>
      </c>
      <c r="E7" s="10">
        <f>IFERROR(__xludf.DUMMYFUNCTION("""COMPUTED_VALUE"""),2290967.039)</f>
        <v>2290967.039</v>
      </c>
      <c r="F7" s="11">
        <v>246817.75113846152</v>
      </c>
      <c r="G7" s="18">
        <f t="shared" si="1"/>
        <v>20</v>
      </c>
      <c r="H7" s="19">
        <f t="shared" si="2"/>
        <v>25.81841864</v>
      </c>
      <c r="I7" s="19">
        <f t="shared" si="3"/>
        <v>0.08562751246</v>
      </c>
    </row>
    <row r="8">
      <c r="A8" s="6">
        <f>IFERROR(__xludf.DUMMYFUNCTION("""COMPUTED_VALUE"""),43960.0)</f>
        <v>43960</v>
      </c>
      <c r="B8" s="7" t="str">
        <f>IFERROR(__xludf.DUMMYFUNCTION("""COMPUTED_VALUE"""),"Кемерово")</f>
        <v>Кемерово</v>
      </c>
      <c r="C8" s="7">
        <f>IFERROR(__xludf.DUMMYFUNCTION("""COMPUTED_VALUE"""),31147.5)</f>
        <v>31147.5</v>
      </c>
      <c r="D8" s="7">
        <f>IFERROR(__xludf.DUMMYFUNCTION("""COMPUTED_VALUE"""),2831019.0)</f>
        <v>2831019</v>
      </c>
      <c r="E8" s="7">
        <f>IFERROR(__xludf.DUMMYFUNCTION("""COMPUTED_VALUE"""),2261296.276)</f>
        <v>2261296.276</v>
      </c>
      <c r="F8" s="8">
        <v>225845.0</v>
      </c>
      <c r="G8" s="18">
        <f t="shared" si="1"/>
        <v>19</v>
      </c>
      <c r="H8" s="19">
        <f t="shared" si="2"/>
        <v>25.19451918</v>
      </c>
      <c r="I8" s="19">
        <f t="shared" si="3"/>
        <v>0.07977516223</v>
      </c>
    </row>
    <row r="9">
      <c r="A9" s="9">
        <f>IFERROR(__xludf.DUMMYFUNCTION("""COMPUTED_VALUE"""),43955.0)</f>
        <v>43955</v>
      </c>
      <c r="B9" s="10" t="str">
        <f>IFERROR(__xludf.DUMMYFUNCTION("""COMPUTED_VALUE"""),"Кемерово")</f>
        <v>Кемерово</v>
      </c>
      <c r="C9" s="10">
        <f>IFERROR(__xludf.DUMMYFUNCTION("""COMPUTED_VALUE"""),25566.0)</f>
        <v>25566</v>
      </c>
      <c r="D9" s="10">
        <f>IFERROR(__xludf.DUMMYFUNCTION("""COMPUTED_VALUE"""),2372310.0)</f>
        <v>2372310</v>
      </c>
      <c r="E9" s="10">
        <f>IFERROR(__xludf.DUMMYFUNCTION("""COMPUTED_VALUE"""),1875929.923)</f>
        <v>1875929.923</v>
      </c>
      <c r="F9" s="11">
        <v>280340.1657</v>
      </c>
      <c r="G9" s="18">
        <f t="shared" si="1"/>
        <v>19</v>
      </c>
      <c r="H9" s="19">
        <f t="shared" si="2"/>
        <v>26.46048079</v>
      </c>
      <c r="I9" s="19">
        <f t="shared" si="3"/>
        <v>0.1181718096</v>
      </c>
    </row>
    <row r="10">
      <c r="A10" s="6">
        <f>IFERROR(__xludf.DUMMYFUNCTION("""COMPUTED_VALUE"""),43950.0)</f>
        <v>43950</v>
      </c>
      <c r="B10" s="7" t="str">
        <f>IFERROR(__xludf.DUMMYFUNCTION("""COMPUTED_VALUE"""),"Кемерово")</f>
        <v>Кемерово</v>
      </c>
      <c r="C10" s="7">
        <f>IFERROR(__xludf.DUMMYFUNCTION("""COMPUTED_VALUE"""),29319.0)</f>
        <v>29319</v>
      </c>
      <c r="D10" s="7">
        <f>IFERROR(__xludf.DUMMYFUNCTION("""COMPUTED_VALUE"""),2623480.5)</f>
        <v>2623480.5</v>
      </c>
      <c r="E10" s="7">
        <f>IFERROR(__xludf.DUMMYFUNCTION("""COMPUTED_VALUE"""),2115481.9889999996)</f>
        <v>2115481.989</v>
      </c>
      <c r="F10" s="8">
        <v>139204.6</v>
      </c>
      <c r="G10" s="18">
        <f t="shared" si="1"/>
        <v>18</v>
      </c>
      <c r="H10" s="19">
        <f t="shared" si="2"/>
        <v>24.0133697</v>
      </c>
      <c r="I10" s="19">
        <f t="shared" si="3"/>
        <v>0.05306103857</v>
      </c>
    </row>
    <row r="11">
      <c r="A11" s="9">
        <f>IFERROR(__xludf.DUMMYFUNCTION("""COMPUTED_VALUE"""),43953.0)</f>
        <v>43953</v>
      </c>
      <c r="B11" s="10" t="str">
        <f>IFERROR(__xludf.DUMMYFUNCTION("""COMPUTED_VALUE"""),"Кемерово")</f>
        <v>Кемерово</v>
      </c>
      <c r="C11" s="10">
        <f>IFERROR(__xludf.DUMMYFUNCTION("""COMPUTED_VALUE"""),29031.0)</f>
        <v>29031</v>
      </c>
      <c r="D11" s="10">
        <f>IFERROR(__xludf.DUMMYFUNCTION("""COMPUTED_VALUE"""),2711247.0)</f>
        <v>2711247</v>
      </c>
      <c r="E11" s="10">
        <f>IFERROR(__xludf.DUMMYFUNCTION("""COMPUTED_VALUE"""),2165434.925)</f>
        <v>2165434.925</v>
      </c>
      <c r="F11" s="11">
        <v>185484.16923076924</v>
      </c>
      <c r="G11" s="18">
        <f t="shared" si="1"/>
        <v>18</v>
      </c>
      <c r="H11" s="19">
        <f t="shared" si="2"/>
        <v>25.20565586</v>
      </c>
      <c r="I11" s="19">
        <f t="shared" si="3"/>
        <v>0.06841286287</v>
      </c>
    </row>
    <row r="12">
      <c r="A12" s="6">
        <f>IFERROR(__xludf.DUMMYFUNCTION("""COMPUTED_VALUE"""),43977.0)</f>
        <v>43977</v>
      </c>
      <c r="B12" s="7" t="str">
        <f>IFERROR(__xludf.DUMMYFUNCTION("""COMPUTED_VALUE"""),"Кемерово")</f>
        <v>Кемерово</v>
      </c>
      <c r="C12" s="7">
        <f>IFERROR(__xludf.DUMMYFUNCTION("""COMPUTED_VALUE"""),33423.0)</f>
        <v>33423</v>
      </c>
      <c r="D12" s="7">
        <f>IFERROR(__xludf.DUMMYFUNCTION("""COMPUTED_VALUE"""),2970330.0)</f>
        <v>2970330</v>
      </c>
      <c r="E12" s="7">
        <f>IFERROR(__xludf.DUMMYFUNCTION("""COMPUTED_VALUE"""),2395998.377)</f>
        <v>2395998.377</v>
      </c>
      <c r="F12" s="8">
        <v>259067.63954615386</v>
      </c>
      <c r="G12" s="18">
        <f t="shared" si="1"/>
        <v>22</v>
      </c>
      <c r="H12" s="19">
        <f t="shared" si="2"/>
        <v>23.97045125</v>
      </c>
      <c r="I12" s="19">
        <f t="shared" si="3"/>
        <v>0.08721847052</v>
      </c>
    </row>
    <row r="13">
      <c r="A13" s="9">
        <f>IFERROR(__xludf.DUMMYFUNCTION("""COMPUTED_VALUE"""),43952.0)</f>
        <v>43952</v>
      </c>
      <c r="B13" s="10" t="str">
        <f>IFERROR(__xludf.DUMMYFUNCTION("""COMPUTED_VALUE"""),"Кемерово")</f>
        <v>Кемерово</v>
      </c>
      <c r="C13" s="10">
        <f>IFERROR(__xludf.DUMMYFUNCTION("""COMPUTED_VALUE"""),32487.0)</f>
        <v>32487</v>
      </c>
      <c r="D13" s="10">
        <f>IFERROR(__xludf.DUMMYFUNCTION("""COMPUTED_VALUE"""),3031254.0)</f>
        <v>3031254</v>
      </c>
      <c r="E13" s="10">
        <f>IFERROR(__xludf.DUMMYFUNCTION("""COMPUTED_VALUE"""),2397503.37)</f>
        <v>2397503.37</v>
      </c>
      <c r="F13" s="11">
        <v>232079.8475076923</v>
      </c>
      <c r="G13" s="18">
        <f t="shared" si="1"/>
        <v>18</v>
      </c>
      <c r="H13" s="19">
        <f t="shared" si="2"/>
        <v>26.43377431</v>
      </c>
      <c r="I13" s="19">
        <f t="shared" si="3"/>
        <v>0.07656232289</v>
      </c>
    </row>
    <row r="14">
      <c r="A14" s="6">
        <f>IFERROR(__xludf.DUMMYFUNCTION("""COMPUTED_VALUE"""),43963.0)</f>
        <v>43963</v>
      </c>
      <c r="B14" s="7" t="str">
        <f>IFERROR(__xludf.DUMMYFUNCTION("""COMPUTED_VALUE"""),"Кемерово")</f>
        <v>Кемерово</v>
      </c>
      <c r="C14" s="7">
        <f>IFERROR(__xludf.DUMMYFUNCTION("""COMPUTED_VALUE"""),28219.5)</f>
        <v>28219.5</v>
      </c>
      <c r="D14" s="7">
        <f>IFERROR(__xludf.DUMMYFUNCTION("""COMPUTED_VALUE"""),2595778.5)</f>
        <v>2595778.5</v>
      </c>
      <c r="E14" s="7">
        <f>IFERROR(__xludf.DUMMYFUNCTION("""COMPUTED_VALUE"""),2050101.9780000001)</f>
        <v>2050101.978</v>
      </c>
      <c r="F14" s="8">
        <v>309760.3357307692</v>
      </c>
      <c r="G14" s="18">
        <f t="shared" si="1"/>
        <v>20</v>
      </c>
      <c r="H14" s="19">
        <f t="shared" si="2"/>
        <v>26.61704285</v>
      </c>
      <c r="I14" s="19">
        <f t="shared" si="3"/>
        <v>0.1193323451</v>
      </c>
    </row>
    <row r="15">
      <c r="A15" s="9">
        <f>IFERROR(__xludf.DUMMYFUNCTION("""COMPUTED_VALUE"""),43972.0)</f>
        <v>43972</v>
      </c>
      <c r="B15" s="10" t="str">
        <f>IFERROR(__xludf.DUMMYFUNCTION("""COMPUTED_VALUE"""),"Кемерово")</f>
        <v>Кемерово</v>
      </c>
      <c r="C15" s="10">
        <f>IFERROR(__xludf.DUMMYFUNCTION("""COMPUTED_VALUE"""),31272.0)</f>
        <v>31272</v>
      </c>
      <c r="D15" s="10">
        <f>IFERROR(__xludf.DUMMYFUNCTION("""COMPUTED_VALUE"""),2744382.0)</f>
        <v>2744382</v>
      </c>
      <c r="E15" s="10">
        <f>IFERROR(__xludf.DUMMYFUNCTION("""COMPUTED_VALUE"""),2257728.2139999997)</f>
        <v>2257728.214</v>
      </c>
      <c r="F15" s="11">
        <v>301623.7923076923</v>
      </c>
      <c r="G15" s="18">
        <f t="shared" si="1"/>
        <v>21</v>
      </c>
      <c r="H15" s="19">
        <f t="shared" si="2"/>
        <v>21.55502079</v>
      </c>
      <c r="I15" s="19">
        <f t="shared" si="3"/>
        <v>0.1099059068</v>
      </c>
    </row>
    <row r="16">
      <c r="A16" s="6">
        <f>IFERROR(__xludf.DUMMYFUNCTION("""COMPUTED_VALUE"""),43971.0)</f>
        <v>43971</v>
      </c>
      <c r="B16" s="7" t="str">
        <f>IFERROR(__xludf.DUMMYFUNCTION("""COMPUTED_VALUE"""),"Кемерово")</f>
        <v>Кемерово</v>
      </c>
      <c r="C16" s="7">
        <f>IFERROR(__xludf.DUMMYFUNCTION("""COMPUTED_VALUE"""),34077.0)</f>
        <v>34077</v>
      </c>
      <c r="D16" s="7">
        <f>IFERROR(__xludf.DUMMYFUNCTION("""COMPUTED_VALUE"""),2929330.5)</f>
        <v>2929330.5</v>
      </c>
      <c r="E16" s="7">
        <f>IFERROR(__xludf.DUMMYFUNCTION("""COMPUTED_VALUE"""),2389543.528)</f>
        <v>2389543.528</v>
      </c>
      <c r="F16" s="8">
        <v>459604.9079615384</v>
      </c>
      <c r="G16" s="18">
        <f t="shared" si="1"/>
        <v>21</v>
      </c>
      <c r="H16" s="19">
        <f t="shared" si="2"/>
        <v>22.58954339</v>
      </c>
      <c r="I16" s="19">
        <f t="shared" si="3"/>
        <v>0.1568975942</v>
      </c>
    </row>
    <row r="17">
      <c r="A17" s="9">
        <f>IFERROR(__xludf.DUMMYFUNCTION("""COMPUTED_VALUE"""),43956.0)</f>
        <v>43956</v>
      </c>
      <c r="B17" s="10" t="str">
        <f>IFERROR(__xludf.DUMMYFUNCTION("""COMPUTED_VALUE"""),"Кемерово")</f>
        <v>Кемерово</v>
      </c>
      <c r="C17" s="10">
        <f>IFERROR(__xludf.DUMMYFUNCTION("""COMPUTED_VALUE"""),31566.0)</f>
        <v>31566</v>
      </c>
      <c r="D17" s="10">
        <f>IFERROR(__xludf.DUMMYFUNCTION("""COMPUTED_VALUE"""),2906763.0)</f>
        <v>2906763</v>
      </c>
      <c r="E17" s="10">
        <f>IFERROR(__xludf.DUMMYFUNCTION("""COMPUTED_VALUE"""),2323003.267)</f>
        <v>2323003.267</v>
      </c>
      <c r="F17" s="11">
        <v>287619.52953846153</v>
      </c>
      <c r="G17" s="18">
        <f t="shared" si="1"/>
        <v>19</v>
      </c>
      <c r="H17" s="19">
        <f t="shared" si="2"/>
        <v>25.12952699</v>
      </c>
      <c r="I17" s="19">
        <f t="shared" si="3"/>
        <v>0.09894839364</v>
      </c>
    </row>
    <row r="18">
      <c r="A18" s="6">
        <f>IFERROR(__xludf.DUMMYFUNCTION("""COMPUTED_VALUE"""),43949.0)</f>
        <v>43949</v>
      </c>
      <c r="B18" s="7" t="str">
        <f>IFERROR(__xludf.DUMMYFUNCTION("""COMPUTED_VALUE"""),"Кемерово")</f>
        <v>Кемерово</v>
      </c>
      <c r="C18" s="7">
        <f>IFERROR(__xludf.DUMMYFUNCTION("""COMPUTED_VALUE"""),26940.0)</f>
        <v>26940</v>
      </c>
      <c r="D18" s="7">
        <f>IFERROR(__xludf.DUMMYFUNCTION("""COMPUTED_VALUE"""),2411587.5)</f>
        <v>2411587.5</v>
      </c>
      <c r="E18" s="7">
        <f>IFERROR(__xludf.DUMMYFUNCTION("""COMPUTED_VALUE"""),1931011.4870000002)</f>
        <v>1931011.487</v>
      </c>
      <c r="F18" s="8">
        <v>149032.79178461537</v>
      </c>
      <c r="G18" s="18">
        <f t="shared" si="1"/>
        <v>18</v>
      </c>
      <c r="H18" s="19">
        <f t="shared" si="2"/>
        <v>24.88726847</v>
      </c>
      <c r="I18" s="19">
        <f t="shared" si="3"/>
        <v>0.06179862509</v>
      </c>
    </row>
    <row r="19">
      <c r="A19" s="9">
        <f>IFERROR(__xludf.DUMMYFUNCTION("""COMPUTED_VALUE"""),43964.0)</f>
        <v>43964</v>
      </c>
      <c r="B19" s="10" t="str">
        <f>IFERROR(__xludf.DUMMYFUNCTION("""COMPUTED_VALUE"""),"Кемерово")</f>
        <v>Кемерово</v>
      </c>
      <c r="C19" s="10">
        <f>IFERROR(__xludf.DUMMYFUNCTION("""COMPUTED_VALUE"""),29241.0)</f>
        <v>29241</v>
      </c>
      <c r="D19" s="10">
        <f>IFERROR(__xludf.DUMMYFUNCTION("""COMPUTED_VALUE"""),2629782.0)</f>
        <v>2629782</v>
      </c>
      <c r="E19" s="10">
        <f>IFERROR(__xludf.DUMMYFUNCTION("""COMPUTED_VALUE"""),2071714.724)</f>
        <v>2071714.724</v>
      </c>
      <c r="F19" s="11">
        <v>361201.8010384615</v>
      </c>
      <c r="G19" s="18">
        <f t="shared" si="1"/>
        <v>20</v>
      </c>
      <c r="H19" s="19">
        <f t="shared" si="2"/>
        <v>26.93745763</v>
      </c>
      <c r="I19" s="19">
        <f t="shared" si="3"/>
        <v>0.1373504728</v>
      </c>
    </row>
    <row r="20">
      <c r="A20" s="6">
        <f>IFERROR(__xludf.DUMMYFUNCTION("""COMPUTED_VALUE"""),43954.0)</f>
        <v>43954</v>
      </c>
      <c r="B20" s="7" t="str">
        <f>IFERROR(__xludf.DUMMYFUNCTION("""COMPUTED_VALUE"""),"Кемерово")</f>
        <v>Кемерово</v>
      </c>
      <c r="C20" s="7">
        <f>IFERROR(__xludf.DUMMYFUNCTION("""COMPUTED_VALUE"""),26082.0)</f>
        <v>26082</v>
      </c>
      <c r="D20" s="7">
        <f>IFERROR(__xludf.DUMMYFUNCTION("""COMPUTED_VALUE"""),2434914.0)</f>
        <v>2434914</v>
      </c>
      <c r="E20" s="7">
        <f>IFERROR(__xludf.DUMMYFUNCTION("""COMPUTED_VALUE"""),1925475.1139999998)</f>
        <v>1925475.114</v>
      </c>
      <c r="F20" s="8">
        <v>247646.60936153846</v>
      </c>
      <c r="G20" s="18">
        <f t="shared" si="1"/>
        <v>18</v>
      </c>
      <c r="H20" s="19">
        <f t="shared" si="2"/>
        <v>26.45782759</v>
      </c>
      <c r="I20" s="19">
        <f t="shared" si="3"/>
        <v>0.1017065118</v>
      </c>
    </row>
    <row r="21">
      <c r="A21" s="9">
        <f>IFERROR(__xludf.DUMMYFUNCTION("""COMPUTED_VALUE"""),43957.0)</f>
        <v>43957</v>
      </c>
      <c r="B21" s="10" t="str">
        <f>IFERROR(__xludf.DUMMYFUNCTION("""COMPUTED_VALUE"""),"Кемерово")</f>
        <v>Кемерово</v>
      </c>
      <c r="C21" s="10">
        <f>IFERROR(__xludf.DUMMYFUNCTION("""COMPUTED_VALUE"""),32511.0)</f>
        <v>32511</v>
      </c>
      <c r="D21" s="10">
        <f>IFERROR(__xludf.DUMMYFUNCTION("""COMPUTED_VALUE"""),2938623.0)</f>
        <v>2938623</v>
      </c>
      <c r="E21" s="10">
        <f>IFERROR(__xludf.DUMMYFUNCTION("""COMPUTED_VALUE"""),2406562.0579999997)</f>
        <v>2406562.058</v>
      </c>
      <c r="F21" s="11">
        <v>306098.4769230769</v>
      </c>
      <c r="G21" s="18">
        <f t="shared" si="1"/>
        <v>19</v>
      </c>
      <c r="H21" s="19">
        <f t="shared" si="2"/>
        <v>22.10875636</v>
      </c>
      <c r="I21" s="19">
        <f t="shared" si="3"/>
        <v>0.1041639152</v>
      </c>
    </row>
    <row r="22">
      <c r="A22" s="6">
        <f>IFERROR(__xludf.DUMMYFUNCTION("""COMPUTED_VALUE"""),43974.0)</f>
        <v>43974</v>
      </c>
      <c r="B22" s="7" t="str">
        <f>IFERROR(__xludf.DUMMYFUNCTION("""COMPUTED_VALUE"""),"Кемерово")</f>
        <v>Кемерово</v>
      </c>
      <c r="C22" s="7">
        <f>IFERROR(__xludf.DUMMYFUNCTION("""COMPUTED_VALUE"""),42703.5)</f>
        <v>42703.5</v>
      </c>
      <c r="D22" s="7">
        <f>IFERROR(__xludf.DUMMYFUNCTION("""COMPUTED_VALUE"""),3628726.5)</f>
        <v>3628726.5</v>
      </c>
      <c r="E22" s="7">
        <f>IFERROR(__xludf.DUMMYFUNCTION("""COMPUTED_VALUE"""),3056063.735)</f>
        <v>3056063.735</v>
      </c>
      <c r="F22" s="8">
        <v>223670.01693846151</v>
      </c>
      <c r="G22" s="18">
        <f t="shared" si="1"/>
        <v>21</v>
      </c>
      <c r="H22" s="19">
        <f t="shared" si="2"/>
        <v>18.73857402</v>
      </c>
      <c r="I22" s="19">
        <f t="shared" si="3"/>
        <v>0.06163870905</v>
      </c>
    </row>
    <row r="23">
      <c r="A23" s="9">
        <f>IFERROR(__xludf.DUMMYFUNCTION("""COMPUTED_VALUE"""),43976.0)</f>
        <v>43976</v>
      </c>
      <c r="B23" s="10" t="str">
        <f>IFERROR(__xludf.DUMMYFUNCTION("""COMPUTED_VALUE"""),"Кемерово")</f>
        <v>Кемерово</v>
      </c>
      <c r="C23" s="10">
        <f>IFERROR(__xludf.DUMMYFUNCTION("""COMPUTED_VALUE"""),35592.0)</f>
        <v>35592</v>
      </c>
      <c r="D23" s="10">
        <f>IFERROR(__xludf.DUMMYFUNCTION("""COMPUTED_VALUE"""),3176580.0)</f>
        <v>3176580</v>
      </c>
      <c r="E23" s="10">
        <f>IFERROR(__xludf.DUMMYFUNCTION("""COMPUTED_VALUE"""),2540760.0409999997)</f>
        <v>2540760.041</v>
      </c>
      <c r="F23" s="11">
        <v>351098.05384615384</v>
      </c>
      <c r="G23" s="18">
        <f t="shared" si="1"/>
        <v>22</v>
      </c>
      <c r="H23" s="19">
        <f t="shared" si="2"/>
        <v>25.02479371</v>
      </c>
      <c r="I23" s="19">
        <f t="shared" si="3"/>
        <v>0.1105270618</v>
      </c>
    </row>
    <row r="24">
      <c r="A24" s="6">
        <f>IFERROR(__xludf.DUMMYFUNCTION("""COMPUTED_VALUE"""),43951.0)</f>
        <v>43951</v>
      </c>
      <c r="B24" s="7" t="str">
        <f>IFERROR(__xludf.DUMMYFUNCTION("""COMPUTED_VALUE"""),"Кемерово")</f>
        <v>Кемерово</v>
      </c>
      <c r="C24" s="7">
        <f>IFERROR(__xludf.DUMMYFUNCTION("""COMPUTED_VALUE"""),30445.5)</f>
        <v>30445.5</v>
      </c>
      <c r="D24" s="7">
        <f>IFERROR(__xludf.DUMMYFUNCTION("""COMPUTED_VALUE"""),2817196.5)</f>
        <v>2817196.5</v>
      </c>
      <c r="E24" s="7">
        <f>IFERROR(__xludf.DUMMYFUNCTION("""COMPUTED_VALUE"""),2244503.1999999997)</f>
        <v>2244503.2</v>
      </c>
      <c r="F24" s="8">
        <v>203231.46096923074</v>
      </c>
      <c r="G24" s="18">
        <f t="shared" si="1"/>
        <v>18</v>
      </c>
      <c r="H24" s="19">
        <f t="shared" si="2"/>
        <v>25.51537017</v>
      </c>
      <c r="I24" s="19">
        <f t="shared" si="3"/>
        <v>0.07213961148</v>
      </c>
    </row>
    <row r="25">
      <c r="A25" s="9">
        <f>IFERROR(__xludf.DUMMYFUNCTION("""COMPUTED_VALUE"""),43961.0)</f>
        <v>43961</v>
      </c>
      <c r="B25" s="10" t="str">
        <f>IFERROR(__xludf.DUMMYFUNCTION("""COMPUTED_VALUE"""),"Кемерово")</f>
        <v>Кемерово</v>
      </c>
      <c r="C25" s="10">
        <f>IFERROR(__xludf.DUMMYFUNCTION("""COMPUTED_VALUE"""),36619.5)</f>
        <v>36619.5</v>
      </c>
      <c r="D25" s="10">
        <f>IFERROR(__xludf.DUMMYFUNCTION("""COMPUTED_VALUE"""),3312967.5)</f>
        <v>3312967.5</v>
      </c>
      <c r="E25" s="10">
        <f>IFERROR(__xludf.DUMMYFUNCTION("""COMPUTED_VALUE"""),2647972.343)</f>
        <v>2647972.343</v>
      </c>
      <c r="F25" s="11">
        <v>371661.6538461539</v>
      </c>
      <c r="G25" s="18">
        <f t="shared" si="1"/>
        <v>19</v>
      </c>
      <c r="H25" s="19">
        <f t="shared" si="2"/>
        <v>25.11337245</v>
      </c>
      <c r="I25" s="19">
        <f t="shared" si="3"/>
        <v>0.1121839118</v>
      </c>
    </row>
    <row r="26">
      <c r="A26" s="6">
        <f>IFERROR(__xludf.DUMMYFUNCTION("""COMPUTED_VALUE"""),43959.0)</f>
        <v>43959</v>
      </c>
      <c r="B26" s="7" t="str">
        <f>IFERROR(__xludf.DUMMYFUNCTION("""COMPUTED_VALUE"""),"Кемерово")</f>
        <v>Кемерово</v>
      </c>
      <c r="C26" s="7">
        <f>IFERROR(__xludf.DUMMYFUNCTION("""COMPUTED_VALUE"""),29409.0)</f>
        <v>29409</v>
      </c>
      <c r="D26" s="7">
        <f>IFERROR(__xludf.DUMMYFUNCTION("""COMPUTED_VALUE"""),2645160.0)</f>
        <v>2645160</v>
      </c>
      <c r="E26" s="7">
        <f>IFERROR(__xludf.DUMMYFUNCTION("""COMPUTED_VALUE"""),2133443.3049999997)</f>
        <v>2133443.305</v>
      </c>
      <c r="F26" s="8">
        <v>355537.44449230767</v>
      </c>
      <c r="G26" s="18">
        <f t="shared" si="1"/>
        <v>19</v>
      </c>
      <c r="H26" s="19">
        <f t="shared" si="2"/>
        <v>23.98548365</v>
      </c>
      <c r="I26" s="19">
        <f t="shared" si="3"/>
        <v>0.1344105629</v>
      </c>
    </row>
    <row r="27">
      <c r="A27" s="9">
        <f>IFERROR(__xludf.DUMMYFUNCTION("""COMPUTED_VALUE"""),43958.0)</f>
        <v>43958</v>
      </c>
      <c r="B27" s="10" t="str">
        <f>IFERROR(__xludf.DUMMYFUNCTION("""COMPUTED_VALUE"""),"Кемерово")</f>
        <v>Кемерово</v>
      </c>
      <c r="C27" s="10">
        <f>IFERROR(__xludf.DUMMYFUNCTION("""COMPUTED_VALUE"""),27018.0)</f>
        <v>27018</v>
      </c>
      <c r="D27" s="10">
        <f>IFERROR(__xludf.DUMMYFUNCTION("""COMPUTED_VALUE"""),2472213.0)</f>
        <v>2472213</v>
      </c>
      <c r="E27" s="10">
        <f>IFERROR(__xludf.DUMMYFUNCTION("""COMPUTED_VALUE"""),2000889.9870000002)</f>
        <v>2000889.987</v>
      </c>
      <c r="F27" s="11">
        <v>283287.8692307692</v>
      </c>
      <c r="G27" s="18">
        <f t="shared" si="1"/>
        <v>19</v>
      </c>
      <c r="H27" s="19">
        <f t="shared" si="2"/>
        <v>23.55566853</v>
      </c>
      <c r="I27" s="19">
        <f t="shared" si="3"/>
        <v>0.1145887791</v>
      </c>
    </row>
    <row r="28">
      <c r="A28" s="6">
        <f>IFERROR(__xludf.DUMMYFUNCTION("""COMPUTED_VALUE"""),43975.0)</f>
        <v>43975</v>
      </c>
      <c r="B28" s="7" t="str">
        <f>IFERROR(__xludf.DUMMYFUNCTION("""COMPUTED_VALUE"""),"Кемерово")</f>
        <v>Кемерово</v>
      </c>
      <c r="C28" s="7">
        <f>IFERROR(__xludf.DUMMYFUNCTION("""COMPUTED_VALUE"""),34303.5)</f>
        <v>34303.5</v>
      </c>
      <c r="D28" s="7">
        <f>IFERROR(__xludf.DUMMYFUNCTION("""COMPUTED_VALUE"""),2924746.5)</f>
        <v>2924746.5</v>
      </c>
      <c r="E28" s="7">
        <f>IFERROR(__xludf.DUMMYFUNCTION("""COMPUTED_VALUE"""),2399312.935)</f>
        <v>2399312.935</v>
      </c>
      <c r="F28" s="8">
        <v>282325.24615384615</v>
      </c>
      <c r="G28" s="18">
        <f t="shared" si="1"/>
        <v>21</v>
      </c>
      <c r="H28" s="19">
        <f t="shared" si="2"/>
        <v>21.89933449</v>
      </c>
      <c r="I28" s="19">
        <f t="shared" si="3"/>
        <v>0.09652981759</v>
      </c>
    </row>
    <row r="29">
      <c r="A29" s="9">
        <f>IFERROR(__xludf.DUMMYFUNCTION("""COMPUTED_VALUE"""),43982.0)</f>
        <v>43982</v>
      </c>
      <c r="B29" s="10" t="str">
        <f>IFERROR(__xludf.DUMMYFUNCTION("""COMPUTED_VALUE"""),"Кемерово")</f>
        <v>Кемерово</v>
      </c>
      <c r="C29" s="10">
        <f>IFERROR(__xludf.DUMMYFUNCTION("""COMPUTED_VALUE"""),36999.0)</f>
        <v>36999</v>
      </c>
      <c r="D29" s="10">
        <f>IFERROR(__xludf.DUMMYFUNCTION("""COMPUTED_VALUE"""),3473895.0)</f>
        <v>3473895</v>
      </c>
      <c r="E29" s="10">
        <f>IFERROR(__xludf.DUMMYFUNCTION("""COMPUTED_VALUE"""),2757933.63)</f>
        <v>2757933.63</v>
      </c>
      <c r="F29" s="11">
        <v>112971.77692307692</v>
      </c>
      <c r="G29" s="18">
        <f t="shared" si="1"/>
        <v>22</v>
      </c>
      <c r="H29" s="19">
        <f t="shared" si="2"/>
        <v>25.96006525</v>
      </c>
      <c r="I29" s="19">
        <f t="shared" si="3"/>
        <v>0.03252020482</v>
      </c>
    </row>
    <row r="30">
      <c r="A30" s="6">
        <f>IFERROR(__xludf.DUMMYFUNCTION("""COMPUTED_VALUE"""),43981.0)</f>
        <v>43981</v>
      </c>
      <c r="B30" s="7" t="str">
        <f>IFERROR(__xludf.DUMMYFUNCTION("""COMPUTED_VALUE"""),"Кемерово")</f>
        <v>Кемерово</v>
      </c>
      <c r="C30" s="7">
        <f>IFERROR(__xludf.DUMMYFUNCTION("""COMPUTED_VALUE"""),44001.0)</f>
        <v>44001</v>
      </c>
      <c r="D30" s="7">
        <f>IFERROR(__xludf.DUMMYFUNCTION("""COMPUTED_VALUE"""),3921784.5)</f>
        <v>3921784.5</v>
      </c>
      <c r="E30" s="7">
        <f>IFERROR(__xludf.DUMMYFUNCTION("""COMPUTED_VALUE"""),3132604.841)</f>
        <v>3132604.841</v>
      </c>
      <c r="F30" s="8">
        <v>242715.2625384615</v>
      </c>
      <c r="G30" s="18">
        <f t="shared" si="1"/>
        <v>22</v>
      </c>
      <c r="H30" s="19">
        <f t="shared" si="2"/>
        <v>25.19244204</v>
      </c>
      <c r="I30" s="19">
        <f t="shared" si="3"/>
        <v>0.06188898511</v>
      </c>
    </row>
    <row r="31">
      <c r="A31" s="9">
        <f>IFERROR(__xludf.DUMMYFUNCTION("""COMPUTED_VALUE"""),43979.0)</f>
        <v>43979</v>
      </c>
      <c r="B31" s="10" t="str">
        <f>IFERROR(__xludf.DUMMYFUNCTION("""COMPUTED_VALUE"""),"Кемерово")</f>
        <v>Кемерово</v>
      </c>
      <c r="C31" s="10">
        <f>IFERROR(__xludf.DUMMYFUNCTION("""COMPUTED_VALUE"""),30982.5)</f>
        <v>30982.5</v>
      </c>
      <c r="D31" s="10">
        <f>IFERROR(__xludf.DUMMYFUNCTION("""COMPUTED_VALUE"""),2827773.0)</f>
        <v>2827773</v>
      </c>
      <c r="E31" s="10">
        <f>IFERROR(__xludf.DUMMYFUNCTION("""COMPUTED_VALUE"""),2232253.034)</f>
        <v>2232253.034</v>
      </c>
      <c r="F31" s="11">
        <v>343211.5426230769</v>
      </c>
      <c r="G31" s="18">
        <f t="shared" si="1"/>
        <v>22</v>
      </c>
      <c r="H31" s="19">
        <f t="shared" si="2"/>
        <v>26.67797767</v>
      </c>
      <c r="I31" s="19">
        <f t="shared" si="3"/>
        <v>0.121371674</v>
      </c>
    </row>
    <row r="32">
      <c r="A32" s="6">
        <f>IFERROR(__xludf.DUMMYFUNCTION("""COMPUTED_VALUE"""),43967.0)</f>
        <v>43967</v>
      </c>
      <c r="B32" s="7" t="str">
        <f>IFERROR(__xludf.DUMMYFUNCTION("""COMPUTED_VALUE"""),"Екатеринбург")</f>
        <v>Екатеринбург</v>
      </c>
      <c r="C32" s="7">
        <f>IFERROR(__xludf.DUMMYFUNCTION("""COMPUTED_VALUE"""),88063.5)</f>
        <v>88063.5</v>
      </c>
      <c r="D32" s="7">
        <f>IFERROR(__xludf.DUMMYFUNCTION("""COMPUTED_VALUE"""),7583758.5)</f>
        <v>7583758.5</v>
      </c>
      <c r="E32" s="7">
        <f>IFERROR(__xludf.DUMMYFUNCTION("""COMPUTED_VALUE"""),5779076.7979999995)</f>
        <v>5779076.798</v>
      </c>
      <c r="F32" s="8">
        <v>152384.93586153846</v>
      </c>
      <c r="G32" s="18">
        <f t="shared" si="1"/>
        <v>20</v>
      </c>
      <c r="H32" s="19">
        <f t="shared" si="2"/>
        <v>31.22785464</v>
      </c>
      <c r="I32" s="19">
        <f t="shared" si="3"/>
        <v>0.02009359025</v>
      </c>
    </row>
    <row r="33">
      <c r="A33" s="9">
        <f>IFERROR(__xludf.DUMMYFUNCTION("""COMPUTED_VALUE"""),43970.0)</f>
        <v>43970</v>
      </c>
      <c r="B33" s="10" t="str">
        <f>IFERROR(__xludf.DUMMYFUNCTION("""COMPUTED_VALUE"""),"Екатеринбург")</f>
        <v>Екатеринбург</v>
      </c>
      <c r="C33" s="10">
        <f>IFERROR(__xludf.DUMMYFUNCTION("""COMPUTED_VALUE"""),84024.0)</f>
        <v>84024</v>
      </c>
      <c r="D33" s="10">
        <f>IFERROR(__xludf.DUMMYFUNCTION("""COMPUTED_VALUE"""),6815511.0)</f>
        <v>6815511</v>
      </c>
      <c r="E33" s="10">
        <f>IFERROR(__xludf.DUMMYFUNCTION("""COMPUTED_VALUE"""),5426339.5819999995)</f>
        <v>5426339.582</v>
      </c>
      <c r="F33" s="11">
        <v>195070.2500307692</v>
      </c>
      <c r="G33" s="18">
        <f t="shared" si="1"/>
        <v>21</v>
      </c>
      <c r="H33" s="19">
        <f t="shared" si="2"/>
        <v>25.60052494</v>
      </c>
      <c r="I33" s="19">
        <f t="shared" si="3"/>
        <v>0.02862151496</v>
      </c>
    </row>
    <row r="34">
      <c r="A34" s="6">
        <f>IFERROR(__xludf.DUMMYFUNCTION("""COMPUTED_VALUE"""),43968.0)</f>
        <v>43968</v>
      </c>
      <c r="B34" s="7" t="str">
        <f>IFERROR(__xludf.DUMMYFUNCTION("""COMPUTED_VALUE"""),"Екатеринбург")</f>
        <v>Екатеринбург</v>
      </c>
      <c r="C34" s="7">
        <f>IFERROR(__xludf.DUMMYFUNCTION("""COMPUTED_VALUE"""),78057.0)</f>
        <v>78057</v>
      </c>
      <c r="D34" s="7">
        <f>IFERROR(__xludf.DUMMYFUNCTION("""COMPUTED_VALUE"""),6774946.5)</f>
        <v>6774946.5</v>
      </c>
      <c r="E34" s="7">
        <f>IFERROR(__xludf.DUMMYFUNCTION("""COMPUTED_VALUE"""),5115462.401)</f>
        <v>5115462.401</v>
      </c>
      <c r="F34" s="8">
        <v>61149.51538461538</v>
      </c>
      <c r="G34" s="18">
        <f t="shared" si="1"/>
        <v>20</v>
      </c>
      <c r="H34" s="19">
        <f t="shared" si="2"/>
        <v>32.44054924</v>
      </c>
      <c r="I34" s="19">
        <f t="shared" si="3"/>
        <v>0.009025830002</v>
      </c>
    </row>
    <row r="35">
      <c r="A35" s="9">
        <f>IFERROR(__xludf.DUMMYFUNCTION("""COMPUTED_VALUE"""),43960.0)</f>
        <v>43960</v>
      </c>
      <c r="B35" s="10" t="str">
        <f>IFERROR(__xludf.DUMMYFUNCTION("""COMPUTED_VALUE"""),"Екатеринбург")</f>
        <v>Екатеринбург</v>
      </c>
      <c r="C35" s="10">
        <f>IFERROR(__xludf.DUMMYFUNCTION("""COMPUTED_VALUE"""),69720.0)</f>
        <v>69720</v>
      </c>
      <c r="D35" s="10">
        <f>IFERROR(__xludf.DUMMYFUNCTION("""COMPUTED_VALUE"""),6264933.0)</f>
        <v>6264933</v>
      </c>
      <c r="E35" s="10">
        <f>IFERROR(__xludf.DUMMYFUNCTION("""COMPUTED_VALUE"""),4726931.9569999995)</f>
        <v>4726931.957</v>
      </c>
      <c r="F35" s="11">
        <v>294634.3553076923</v>
      </c>
      <c r="G35" s="18">
        <f t="shared" si="1"/>
        <v>19</v>
      </c>
      <c r="H35" s="19">
        <f t="shared" si="2"/>
        <v>32.53698291</v>
      </c>
      <c r="I35" s="19">
        <f t="shared" si="3"/>
        <v>0.04702913109</v>
      </c>
    </row>
    <row r="36">
      <c r="A36" s="6">
        <f>IFERROR(__xludf.DUMMYFUNCTION("""COMPUTED_VALUE"""),43955.0)</f>
        <v>43955</v>
      </c>
      <c r="B36" s="7" t="str">
        <f>IFERROR(__xludf.DUMMYFUNCTION("""COMPUTED_VALUE"""),"Екатеринбург")</f>
        <v>Екатеринбург</v>
      </c>
      <c r="C36" s="7">
        <f>IFERROR(__xludf.DUMMYFUNCTION("""COMPUTED_VALUE"""),72928.5)</f>
        <v>72928.5</v>
      </c>
      <c r="D36" s="7">
        <f>IFERROR(__xludf.DUMMYFUNCTION("""COMPUTED_VALUE"""),6642249.0)</f>
        <v>6642249</v>
      </c>
      <c r="E36" s="7">
        <f>IFERROR(__xludf.DUMMYFUNCTION("""COMPUTED_VALUE"""),4993791.956)</f>
        <v>4993791.956</v>
      </c>
      <c r="F36" s="8">
        <v>215294.37692307692</v>
      </c>
      <c r="G36" s="18">
        <f t="shared" si="1"/>
        <v>19</v>
      </c>
      <c r="H36" s="19">
        <f t="shared" si="2"/>
        <v>33.01012654</v>
      </c>
      <c r="I36" s="19">
        <f t="shared" si="3"/>
        <v>0.03241287355</v>
      </c>
    </row>
    <row r="37">
      <c r="A37" s="9">
        <f>IFERROR(__xludf.DUMMYFUNCTION("""COMPUTED_VALUE"""),43950.0)</f>
        <v>43950</v>
      </c>
      <c r="B37" s="10" t="str">
        <f>IFERROR(__xludf.DUMMYFUNCTION("""COMPUTED_VALUE"""),"Екатеринбург")</f>
        <v>Екатеринбург</v>
      </c>
      <c r="C37" s="10">
        <f>IFERROR(__xludf.DUMMYFUNCTION("""COMPUTED_VALUE"""),79527.0)</f>
        <v>79527</v>
      </c>
      <c r="D37" s="10">
        <f>IFERROR(__xludf.DUMMYFUNCTION("""COMPUTED_VALUE"""),7180498.5)</f>
        <v>7180498.5</v>
      </c>
      <c r="E37" s="10">
        <f>IFERROR(__xludf.DUMMYFUNCTION("""COMPUTED_VALUE"""),5432087.979)</f>
        <v>5432087.979</v>
      </c>
      <c r="F37" s="11">
        <v>172769.1923076923</v>
      </c>
      <c r="G37" s="18">
        <f t="shared" si="1"/>
        <v>18</v>
      </c>
      <c r="H37" s="19">
        <f t="shared" si="2"/>
        <v>32.18671214</v>
      </c>
      <c r="I37" s="19">
        <f t="shared" si="3"/>
        <v>0.02406089108</v>
      </c>
    </row>
    <row r="38">
      <c r="A38" s="6">
        <f>IFERROR(__xludf.DUMMYFUNCTION("""COMPUTED_VALUE"""),43953.0)</f>
        <v>43953</v>
      </c>
      <c r="B38" s="7" t="str">
        <f>IFERROR(__xludf.DUMMYFUNCTION("""COMPUTED_VALUE"""),"Екатеринбург")</f>
        <v>Екатеринбург</v>
      </c>
      <c r="C38" s="7">
        <f>IFERROR(__xludf.DUMMYFUNCTION("""COMPUTED_VALUE"""),60463.5)</f>
        <v>60463.5</v>
      </c>
      <c r="D38" s="7">
        <f>IFERROR(__xludf.DUMMYFUNCTION("""COMPUTED_VALUE"""),5554192.5)</f>
        <v>5554192.5</v>
      </c>
      <c r="E38" s="7">
        <f>IFERROR(__xludf.DUMMYFUNCTION("""COMPUTED_VALUE"""),4218316.029)</f>
        <v>4218316.029</v>
      </c>
      <c r="F38" s="8">
        <v>244262.12107692307</v>
      </c>
      <c r="G38" s="18">
        <f t="shared" si="1"/>
        <v>18</v>
      </c>
      <c r="H38" s="19">
        <f t="shared" si="2"/>
        <v>31.6684777</v>
      </c>
      <c r="I38" s="19">
        <f t="shared" si="3"/>
        <v>0.04397797179</v>
      </c>
    </row>
    <row r="39">
      <c r="A39" s="9">
        <f>IFERROR(__xludf.DUMMYFUNCTION("""COMPUTED_VALUE"""),43977.0)</f>
        <v>43977</v>
      </c>
      <c r="B39" s="10" t="str">
        <f>IFERROR(__xludf.DUMMYFUNCTION("""COMPUTED_VALUE"""),"Екатеринбург")</f>
        <v>Екатеринбург</v>
      </c>
      <c r="C39" s="10">
        <f>IFERROR(__xludf.DUMMYFUNCTION("""COMPUTED_VALUE"""),79975.5)</f>
        <v>79975.5</v>
      </c>
      <c r="D39" s="10">
        <f>IFERROR(__xludf.DUMMYFUNCTION("""COMPUTED_VALUE"""),6676459.5)</f>
        <v>6676459.5</v>
      </c>
      <c r="E39" s="10">
        <f>IFERROR(__xludf.DUMMYFUNCTION("""COMPUTED_VALUE"""),5083946.169)</f>
        <v>5083946.169</v>
      </c>
      <c r="F39" s="11">
        <v>141931.13193076922</v>
      </c>
      <c r="G39" s="18">
        <f t="shared" si="1"/>
        <v>22</v>
      </c>
      <c r="H39" s="19">
        <f t="shared" si="2"/>
        <v>31.32435471</v>
      </c>
      <c r="I39" s="19">
        <f t="shared" si="3"/>
        <v>0.02125844273</v>
      </c>
    </row>
    <row r="40">
      <c r="A40" s="6">
        <f>IFERROR(__xludf.DUMMYFUNCTION("""COMPUTED_VALUE"""),43952.0)</f>
        <v>43952</v>
      </c>
      <c r="B40" s="7" t="str">
        <f>IFERROR(__xludf.DUMMYFUNCTION("""COMPUTED_VALUE"""),"Екатеринбург")</f>
        <v>Екатеринбург</v>
      </c>
      <c r="C40" s="7">
        <f>IFERROR(__xludf.DUMMYFUNCTION("""COMPUTED_VALUE"""),97534.5)</f>
        <v>97534.5</v>
      </c>
      <c r="D40" s="7">
        <f>IFERROR(__xludf.DUMMYFUNCTION("""COMPUTED_VALUE"""),8893024.5)</f>
        <v>8893024.5</v>
      </c>
      <c r="E40" s="7">
        <f>IFERROR(__xludf.DUMMYFUNCTION("""COMPUTED_VALUE"""),6855177.24)</f>
        <v>6855177.24</v>
      </c>
      <c r="F40" s="8">
        <v>185180.3800769231</v>
      </c>
      <c r="G40" s="18">
        <f t="shared" si="1"/>
        <v>18</v>
      </c>
      <c r="H40" s="19">
        <f t="shared" si="2"/>
        <v>29.72712723</v>
      </c>
      <c r="I40" s="19">
        <f t="shared" si="3"/>
        <v>0.02082310468</v>
      </c>
    </row>
    <row r="41">
      <c r="A41" s="9">
        <f>IFERROR(__xludf.DUMMYFUNCTION("""COMPUTED_VALUE"""),43963.0)</f>
        <v>43963</v>
      </c>
      <c r="B41" s="10" t="str">
        <f>IFERROR(__xludf.DUMMYFUNCTION("""COMPUTED_VALUE"""),"Екатеринбург")</f>
        <v>Екатеринбург</v>
      </c>
      <c r="C41" s="10">
        <f>IFERROR(__xludf.DUMMYFUNCTION("""COMPUTED_VALUE"""),71520.0)</f>
        <v>71520</v>
      </c>
      <c r="D41" s="10">
        <f>IFERROR(__xludf.DUMMYFUNCTION("""COMPUTED_VALUE"""),6398361.0)</f>
        <v>6398361</v>
      </c>
      <c r="E41" s="10">
        <f>IFERROR(__xludf.DUMMYFUNCTION("""COMPUTED_VALUE"""),4793096.143999999)</f>
        <v>4793096.144</v>
      </c>
      <c r="F41" s="11">
        <v>181432.06769230767</v>
      </c>
      <c r="G41" s="18">
        <f t="shared" si="1"/>
        <v>20</v>
      </c>
      <c r="H41" s="19">
        <f t="shared" si="2"/>
        <v>33.49118832</v>
      </c>
      <c r="I41" s="19">
        <f t="shared" si="3"/>
        <v>0.02835602238</v>
      </c>
    </row>
    <row r="42">
      <c r="A42" s="6">
        <f>IFERROR(__xludf.DUMMYFUNCTION("""COMPUTED_VALUE"""),43972.0)</f>
        <v>43972</v>
      </c>
      <c r="B42" s="7" t="str">
        <f>IFERROR(__xludf.DUMMYFUNCTION("""COMPUTED_VALUE"""),"Екатеринбург")</f>
        <v>Екатеринбург</v>
      </c>
      <c r="C42" s="7">
        <f>IFERROR(__xludf.DUMMYFUNCTION("""COMPUTED_VALUE"""),79485.0)</f>
        <v>79485</v>
      </c>
      <c r="D42" s="7">
        <f>IFERROR(__xludf.DUMMYFUNCTION("""COMPUTED_VALUE"""),6633847.5)</f>
        <v>6633847.5</v>
      </c>
      <c r="E42" s="7">
        <f>IFERROR(__xludf.DUMMYFUNCTION("""COMPUTED_VALUE"""),5212858.58)</f>
        <v>5212858.58</v>
      </c>
      <c r="F42" s="8">
        <v>120955.33846153846</v>
      </c>
      <c r="G42" s="18">
        <f t="shared" si="1"/>
        <v>21</v>
      </c>
      <c r="H42" s="19">
        <f t="shared" si="2"/>
        <v>27.25930309</v>
      </c>
      <c r="I42" s="19">
        <f t="shared" si="3"/>
        <v>0.01823305984</v>
      </c>
    </row>
    <row r="43">
      <c r="A43" s="9">
        <f>IFERROR(__xludf.DUMMYFUNCTION("""COMPUTED_VALUE"""),43971.0)</f>
        <v>43971</v>
      </c>
      <c r="B43" s="10" t="str">
        <f>IFERROR(__xludf.DUMMYFUNCTION("""COMPUTED_VALUE"""),"Екатеринбург")</f>
        <v>Екатеринбург</v>
      </c>
      <c r="C43" s="10">
        <f>IFERROR(__xludf.DUMMYFUNCTION("""COMPUTED_VALUE"""),93313.5)</f>
        <v>93313.5</v>
      </c>
      <c r="D43" s="10">
        <f>IFERROR(__xludf.DUMMYFUNCTION("""COMPUTED_VALUE"""),7247575.5)</f>
        <v>7247575.5</v>
      </c>
      <c r="E43" s="10">
        <f>IFERROR(__xludf.DUMMYFUNCTION("""COMPUTED_VALUE"""),5922822.677999999)</f>
        <v>5922822.678</v>
      </c>
      <c r="F43" s="11">
        <v>714758.2</v>
      </c>
      <c r="G43" s="18">
        <f t="shared" si="1"/>
        <v>21</v>
      </c>
      <c r="H43" s="19">
        <f t="shared" si="2"/>
        <v>22.36691682</v>
      </c>
      <c r="I43" s="19">
        <f t="shared" si="3"/>
        <v>0.09862031793</v>
      </c>
    </row>
    <row r="44">
      <c r="A44" s="6">
        <f>IFERROR(__xludf.DUMMYFUNCTION("""COMPUTED_VALUE"""),43956.0)</f>
        <v>43956</v>
      </c>
      <c r="B44" s="7" t="str">
        <f>IFERROR(__xludf.DUMMYFUNCTION("""COMPUTED_VALUE"""),"Екатеринбург")</f>
        <v>Екатеринбург</v>
      </c>
      <c r="C44" s="7">
        <f>IFERROR(__xludf.DUMMYFUNCTION("""COMPUTED_VALUE"""),76585.5)</f>
        <v>76585.5</v>
      </c>
      <c r="D44" s="7">
        <f>IFERROR(__xludf.DUMMYFUNCTION("""COMPUTED_VALUE"""),6921316.5)</f>
        <v>6921316.5</v>
      </c>
      <c r="E44" s="7">
        <f>IFERROR(__xludf.DUMMYFUNCTION("""COMPUTED_VALUE"""),5290094.272)</f>
        <v>5290094.272</v>
      </c>
      <c r="F44" s="8">
        <v>386033.17544615385</v>
      </c>
      <c r="G44" s="18">
        <f t="shared" si="1"/>
        <v>19</v>
      </c>
      <c r="H44" s="19">
        <f t="shared" si="2"/>
        <v>30.83540943</v>
      </c>
      <c r="I44" s="19">
        <f t="shared" si="3"/>
        <v>0.0557745301</v>
      </c>
    </row>
    <row r="45">
      <c r="A45" s="9">
        <f>IFERROR(__xludf.DUMMYFUNCTION("""COMPUTED_VALUE"""),43949.0)</f>
        <v>43949</v>
      </c>
      <c r="B45" s="10" t="str">
        <f>IFERROR(__xludf.DUMMYFUNCTION("""COMPUTED_VALUE"""),"Екатеринбург")</f>
        <v>Екатеринбург</v>
      </c>
      <c r="C45" s="10">
        <f>IFERROR(__xludf.DUMMYFUNCTION("""COMPUTED_VALUE"""),81826.5)</f>
        <v>81826.5</v>
      </c>
      <c r="D45" s="10">
        <f>IFERROR(__xludf.DUMMYFUNCTION("""COMPUTED_VALUE"""),7163644.5)</f>
        <v>7163644.5</v>
      </c>
      <c r="E45" s="10">
        <f>IFERROR(__xludf.DUMMYFUNCTION("""COMPUTED_VALUE"""),5366333.713)</f>
        <v>5366333.713</v>
      </c>
      <c r="F45" s="11">
        <v>145122.77781538462</v>
      </c>
      <c r="G45" s="18">
        <f t="shared" si="1"/>
        <v>18</v>
      </c>
      <c r="H45" s="19">
        <f t="shared" si="2"/>
        <v>33.49234101</v>
      </c>
      <c r="I45" s="19">
        <f t="shared" si="3"/>
        <v>0.02025823278</v>
      </c>
    </row>
    <row r="46">
      <c r="A46" s="6">
        <f>IFERROR(__xludf.DUMMYFUNCTION("""COMPUTED_VALUE"""),43964.0)</f>
        <v>43964</v>
      </c>
      <c r="B46" s="7" t="str">
        <f>IFERROR(__xludf.DUMMYFUNCTION("""COMPUTED_VALUE"""),"Екатеринбург")</f>
        <v>Екатеринбург</v>
      </c>
      <c r="C46" s="7">
        <f>IFERROR(__xludf.DUMMYFUNCTION("""COMPUTED_VALUE"""),78846.0)</f>
        <v>78846</v>
      </c>
      <c r="D46" s="7">
        <f>IFERROR(__xludf.DUMMYFUNCTION("""COMPUTED_VALUE"""),6993952.5)</f>
        <v>6993952.5</v>
      </c>
      <c r="E46" s="7">
        <f>IFERROR(__xludf.DUMMYFUNCTION("""COMPUTED_VALUE"""),5288518.779999999)</f>
        <v>5288518.78</v>
      </c>
      <c r="F46" s="8">
        <v>227969.01538461537</v>
      </c>
      <c r="G46" s="18">
        <f t="shared" si="1"/>
        <v>20</v>
      </c>
      <c r="H46" s="19">
        <f t="shared" si="2"/>
        <v>32.2478522</v>
      </c>
      <c r="I46" s="19">
        <f t="shared" si="3"/>
        <v>0.03259516209</v>
      </c>
    </row>
    <row r="47">
      <c r="A47" s="9">
        <f>IFERROR(__xludf.DUMMYFUNCTION("""COMPUTED_VALUE"""),43954.0)</f>
        <v>43954</v>
      </c>
      <c r="B47" s="10" t="str">
        <f>IFERROR(__xludf.DUMMYFUNCTION("""COMPUTED_VALUE"""),"Екатеринбург")</f>
        <v>Екатеринбург</v>
      </c>
      <c r="C47" s="10">
        <f>IFERROR(__xludf.DUMMYFUNCTION("""COMPUTED_VALUE"""),77263.5)</f>
        <v>77263.5</v>
      </c>
      <c r="D47" s="10">
        <f>IFERROR(__xludf.DUMMYFUNCTION("""COMPUTED_VALUE"""),7013670.0)</f>
        <v>7013670</v>
      </c>
      <c r="E47" s="10">
        <f>IFERROR(__xludf.DUMMYFUNCTION("""COMPUTED_VALUE"""),5282661.8549999995)</f>
        <v>5282661.855</v>
      </c>
      <c r="F47" s="11">
        <v>161473.0769230769</v>
      </c>
      <c r="G47" s="18">
        <f t="shared" si="1"/>
        <v>18</v>
      </c>
      <c r="H47" s="19">
        <f t="shared" si="2"/>
        <v>32.76772568</v>
      </c>
      <c r="I47" s="19">
        <f t="shared" si="3"/>
        <v>0.02302262252</v>
      </c>
    </row>
    <row r="48">
      <c r="A48" s="6">
        <f>IFERROR(__xludf.DUMMYFUNCTION("""COMPUTED_VALUE"""),43957.0)</f>
        <v>43957</v>
      </c>
      <c r="B48" s="7" t="str">
        <f>IFERROR(__xludf.DUMMYFUNCTION("""COMPUTED_VALUE"""),"Екатеринбург")</f>
        <v>Екатеринбург</v>
      </c>
      <c r="C48" s="7">
        <f>IFERROR(__xludf.DUMMYFUNCTION("""COMPUTED_VALUE"""),68994.0)</f>
        <v>68994</v>
      </c>
      <c r="D48" s="7">
        <f>IFERROR(__xludf.DUMMYFUNCTION("""COMPUTED_VALUE"""),6168657.0)</f>
        <v>6168657</v>
      </c>
      <c r="E48" s="7">
        <f>IFERROR(__xludf.DUMMYFUNCTION("""COMPUTED_VALUE"""),4695811.349)</f>
        <v>4695811.349</v>
      </c>
      <c r="F48" s="8">
        <v>157384.1788307692</v>
      </c>
      <c r="G48" s="18">
        <f t="shared" si="1"/>
        <v>19</v>
      </c>
      <c r="H48" s="19">
        <f t="shared" si="2"/>
        <v>31.36509416</v>
      </c>
      <c r="I48" s="19">
        <f t="shared" si="3"/>
        <v>0.02551352407</v>
      </c>
    </row>
    <row r="49">
      <c r="A49" s="9">
        <f>IFERROR(__xludf.DUMMYFUNCTION("""COMPUTED_VALUE"""),43974.0)</f>
        <v>43974</v>
      </c>
      <c r="B49" s="10" t="str">
        <f>IFERROR(__xludf.DUMMYFUNCTION("""COMPUTED_VALUE"""),"Екатеринбург")</f>
        <v>Екатеринбург</v>
      </c>
      <c r="C49" s="10">
        <f>IFERROR(__xludf.DUMMYFUNCTION("""COMPUTED_VALUE"""),102889.5)</f>
        <v>102889.5</v>
      </c>
      <c r="D49" s="10">
        <f>IFERROR(__xludf.DUMMYFUNCTION("""COMPUTED_VALUE"""),8089143.0)</f>
        <v>8089143</v>
      </c>
      <c r="E49" s="10">
        <f>IFERROR(__xludf.DUMMYFUNCTION("""COMPUTED_VALUE"""),6673236.372)</f>
        <v>6673236.372</v>
      </c>
      <c r="F49" s="11">
        <v>127223.84583076923</v>
      </c>
      <c r="G49" s="18">
        <f t="shared" si="1"/>
        <v>21</v>
      </c>
      <c r="H49" s="19">
        <f t="shared" si="2"/>
        <v>21.21769032</v>
      </c>
      <c r="I49" s="19">
        <f t="shared" si="3"/>
        <v>0.01572772861</v>
      </c>
    </row>
    <row r="50">
      <c r="A50" s="6">
        <f>IFERROR(__xludf.DUMMYFUNCTION("""COMPUTED_VALUE"""),43976.0)</f>
        <v>43976</v>
      </c>
      <c r="B50" s="7" t="str">
        <f>IFERROR(__xludf.DUMMYFUNCTION("""COMPUTED_VALUE"""),"Екатеринбург")</f>
        <v>Екатеринбург</v>
      </c>
      <c r="C50" s="7">
        <f>IFERROR(__xludf.DUMMYFUNCTION("""COMPUTED_VALUE"""),76999.5)</f>
        <v>76999.5</v>
      </c>
      <c r="D50" s="7">
        <f>IFERROR(__xludf.DUMMYFUNCTION("""COMPUTED_VALUE"""),6645603.0)</f>
        <v>6645603</v>
      </c>
      <c r="E50" s="7">
        <f>IFERROR(__xludf.DUMMYFUNCTION("""COMPUTED_VALUE"""),5032216.188999999)</f>
        <v>5032216.189</v>
      </c>
      <c r="F50" s="8">
        <v>100883.95384615385</v>
      </c>
      <c r="G50" s="18">
        <f t="shared" si="1"/>
        <v>22</v>
      </c>
      <c r="H50" s="19">
        <f t="shared" si="2"/>
        <v>32.06115855</v>
      </c>
      <c r="I50" s="19">
        <f t="shared" si="3"/>
        <v>0.01518055681</v>
      </c>
    </row>
    <row r="51">
      <c r="A51" s="9">
        <f>IFERROR(__xludf.DUMMYFUNCTION("""COMPUTED_VALUE"""),43951.0)</f>
        <v>43951</v>
      </c>
      <c r="B51" s="10" t="str">
        <f>IFERROR(__xludf.DUMMYFUNCTION("""COMPUTED_VALUE"""),"Екатеринбург")</f>
        <v>Екатеринбург</v>
      </c>
      <c r="C51" s="10">
        <f>IFERROR(__xludf.DUMMYFUNCTION("""COMPUTED_VALUE"""),77565.0)</f>
        <v>77565</v>
      </c>
      <c r="D51" s="10">
        <f>IFERROR(__xludf.DUMMYFUNCTION("""COMPUTED_VALUE"""),7023727.5)</f>
        <v>7023727.5</v>
      </c>
      <c r="E51" s="10">
        <f>IFERROR(__xludf.DUMMYFUNCTION("""COMPUTED_VALUE"""),5349682.484999999)</f>
        <v>5349682.485</v>
      </c>
      <c r="F51" s="11">
        <v>31578.20769230769</v>
      </c>
      <c r="G51" s="18">
        <f t="shared" si="1"/>
        <v>18</v>
      </c>
      <c r="H51" s="19">
        <f t="shared" si="2"/>
        <v>31.29241819</v>
      </c>
      <c r="I51" s="19">
        <f t="shared" si="3"/>
        <v>0.004495932921</v>
      </c>
    </row>
    <row r="52">
      <c r="A52" s="6">
        <f>IFERROR(__xludf.DUMMYFUNCTION("""COMPUTED_VALUE"""),43961.0)</f>
        <v>43961</v>
      </c>
      <c r="B52" s="7" t="str">
        <f>IFERROR(__xludf.DUMMYFUNCTION("""COMPUTED_VALUE"""),"Екатеринбург")</f>
        <v>Екатеринбург</v>
      </c>
      <c r="C52" s="7">
        <f>IFERROR(__xludf.DUMMYFUNCTION("""COMPUTED_VALUE"""),84132.0)</f>
        <v>84132</v>
      </c>
      <c r="D52" s="7">
        <f>IFERROR(__xludf.DUMMYFUNCTION("""COMPUTED_VALUE"""),7483194.0)</f>
        <v>7483194</v>
      </c>
      <c r="E52" s="7">
        <f>IFERROR(__xludf.DUMMYFUNCTION("""COMPUTED_VALUE"""),5637882.125)</f>
        <v>5637882.125</v>
      </c>
      <c r="F52" s="8">
        <v>126673.26923076922</v>
      </c>
      <c r="G52" s="18">
        <f t="shared" si="1"/>
        <v>19</v>
      </c>
      <c r="H52" s="19">
        <f t="shared" si="2"/>
        <v>32.73058631</v>
      </c>
      <c r="I52" s="19">
        <f t="shared" si="3"/>
        <v>0.01692770082</v>
      </c>
    </row>
    <row r="53">
      <c r="A53" s="9">
        <f>IFERROR(__xludf.DUMMYFUNCTION("""COMPUTED_VALUE"""),43959.0)</f>
        <v>43959</v>
      </c>
      <c r="B53" s="10" t="str">
        <f>IFERROR(__xludf.DUMMYFUNCTION("""COMPUTED_VALUE"""),"Екатеринбург")</f>
        <v>Екатеринбург</v>
      </c>
      <c r="C53" s="10">
        <f>IFERROR(__xludf.DUMMYFUNCTION("""COMPUTED_VALUE"""),69544.5)</f>
        <v>69544.5</v>
      </c>
      <c r="D53" s="10">
        <f>IFERROR(__xludf.DUMMYFUNCTION("""COMPUTED_VALUE"""),6293776.5)</f>
        <v>6293776.5</v>
      </c>
      <c r="E53" s="10">
        <f>IFERROR(__xludf.DUMMYFUNCTION("""COMPUTED_VALUE"""),4773839.938)</f>
        <v>4773839.938</v>
      </c>
      <c r="F53" s="11">
        <v>201777.4038153846</v>
      </c>
      <c r="G53" s="18">
        <f t="shared" si="1"/>
        <v>19</v>
      </c>
      <c r="H53" s="19">
        <f t="shared" si="2"/>
        <v>31.83886728</v>
      </c>
      <c r="I53" s="19">
        <f t="shared" si="3"/>
        <v>0.03205982987</v>
      </c>
    </row>
    <row r="54">
      <c r="A54" s="6">
        <f>IFERROR(__xludf.DUMMYFUNCTION("""COMPUTED_VALUE"""),43958.0)</f>
        <v>43958</v>
      </c>
      <c r="B54" s="7" t="str">
        <f>IFERROR(__xludf.DUMMYFUNCTION("""COMPUTED_VALUE"""),"Екатеринбург")</f>
        <v>Екатеринбург</v>
      </c>
      <c r="C54" s="7">
        <f>IFERROR(__xludf.DUMMYFUNCTION("""COMPUTED_VALUE"""),73204.5)</f>
        <v>73204.5</v>
      </c>
      <c r="D54" s="7">
        <f>IFERROR(__xludf.DUMMYFUNCTION("""COMPUTED_VALUE"""),6591883.5)</f>
        <v>6591883.5</v>
      </c>
      <c r="E54" s="7">
        <f>IFERROR(__xludf.DUMMYFUNCTION("""COMPUTED_VALUE"""),5001227.671)</f>
        <v>5001227.671</v>
      </c>
      <c r="F54" s="8">
        <v>184167.76355384616</v>
      </c>
      <c r="G54" s="18">
        <f t="shared" si="1"/>
        <v>19</v>
      </c>
      <c r="H54" s="19">
        <f t="shared" si="2"/>
        <v>31.80530729</v>
      </c>
      <c r="I54" s="19">
        <f t="shared" si="3"/>
        <v>0.02793856468</v>
      </c>
    </row>
    <row r="55">
      <c r="A55" s="9">
        <f>IFERROR(__xludf.DUMMYFUNCTION("""COMPUTED_VALUE"""),43975.0)</f>
        <v>43975</v>
      </c>
      <c r="B55" s="10" t="str">
        <f>IFERROR(__xludf.DUMMYFUNCTION("""COMPUTED_VALUE"""),"Екатеринбург")</f>
        <v>Екатеринбург</v>
      </c>
      <c r="C55" s="10">
        <f>IFERROR(__xludf.DUMMYFUNCTION("""COMPUTED_VALUE"""),76663.5)</f>
        <v>76663.5</v>
      </c>
      <c r="D55" s="10">
        <f>IFERROR(__xludf.DUMMYFUNCTION("""COMPUTED_VALUE"""),6451032.0)</f>
        <v>6451032</v>
      </c>
      <c r="E55" s="10">
        <f>IFERROR(__xludf.DUMMYFUNCTION("""COMPUTED_VALUE"""),5048965.796)</f>
        <v>5048965.796</v>
      </c>
      <c r="F55" s="11">
        <v>94608.14615384614</v>
      </c>
      <c r="G55" s="18">
        <f t="shared" si="1"/>
        <v>21</v>
      </c>
      <c r="H55" s="19">
        <f t="shared" si="2"/>
        <v>27.76937418</v>
      </c>
      <c r="I55" s="19">
        <f t="shared" si="3"/>
        <v>0.01466558314</v>
      </c>
    </row>
    <row r="56">
      <c r="A56" s="6">
        <f>IFERROR(__xludf.DUMMYFUNCTION("""COMPUTED_VALUE"""),43967.0)</f>
        <v>43967</v>
      </c>
      <c r="B56" s="7" t="str">
        <f>IFERROR(__xludf.DUMMYFUNCTION("""COMPUTED_VALUE"""),"Тольятти")</f>
        <v>Тольятти</v>
      </c>
      <c r="C56" s="7">
        <f>IFERROR(__xludf.DUMMYFUNCTION("""COMPUTED_VALUE"""),14265.0)</f>
        <v>14265</v>
      </c>
      <c r="D56" s="7">
        <f>IFERROR(__xludf.DUMMYFUNCTION("""COMPUTED_VALUE"""),1130506.5)</f>
        <v>1130506.5</v>
      </c>
      <c r="E56" s="7">
        <f>IFERROR(__xludf.DUMMYFUNCTION("""COMPUTED_VALUE"""),1024403.9859999999)</f>
        <v>1024403.986</v>
      </c>
      <c r="F56" s="8">
        <v>72626.81390769231</v>
      </c>
      <c r="G56" s="18">
        <f t="shared" si="1"/>
        <v>20</v>
      </c>
      <c r="H56" s="19">
        <f t="shared" si="2"/>
        <v>10.35748742</v>
      </c>
      <c r="I56" s="19">
        <f t="shared" si="3"/>
        <v>0.06424272121</v>
      </c>
    </row>
    <row r="57">
      <c r="A57" s="9">
        <f>IFERROR(__xludf.DUMMYFUNCTION("""COMPUTED_VALUE"""),43970.0)</f>
        <v>43970</v>
      </c>
      <c r="B57" s="10" t="str">
        <f>IFERROR(__xludf.DUMMYFUNCTION("""COMPUTED_VALUE"""),"Тольятти")</f>
        <v>Тольятти</v>
      </c>
      <c r="C57" s="10">
        <f>IFERROR(__xludf.DUMMYFUNCTION("""COMPUTED_VALUE"""),11526.0)</f>
        <v>11526</v>
      </c>
      <c r="D57" s="10">
        <f>IFERROR(__xludf.DUMMYFUNCTION("""COMPUTED_VALUE"""),938764.5)</f>
        <v>938764.5</v>
      </c>
      <c r="E57" s="10">
        <f>IFERROR(__xludf.DUMMYFUNCTION("""COMPUTED_VALUE"""),820018.375)</f>
        <v>820018.375</v>
      </c>
      <c r="F57" s="11">
        <v>77816.21538461538</v>
      </c>
      <c r="G57" s="18">
        <f t="shared" si="1"/>
        <v>21</v>
      </c>
      <c r="H57" s="19">
        <f t="shared" si="2"/>
        <v>14.48091026</v>
      </c>
      <c r="I57" s="19">
        <f t="shared" si="3"/>
        <v>0.08289215813</v>
      </c>
    </row>
    <row r="58">
      <c r="A58" s="6">
        <f>IFERROR(__xludf.DUMMYFUNCTION("""COMPUTED_VALUE"""),43968.0)</f>
        <v>43968</v>
      </c>
      <c r="B58" s="7" t="str">
        <f>IFERROR(__xludf.DUMMYFUNCTION("""COMPUTED_VALUE"""),"Тольятти")</f>
        <v>Тольятти</v>
      </c>
      <c r="C58" s="7">
        <f>IFERROR(__xludf.DUMMYFUNCTION("""COMPUTED_VALUE"""),10402.5)</f>
        <v>10402.5</v>
      </c>
      <c r="D58" s="7">
        <f>IFERROR(__xludf.DUMMYFUNCTION("""COMPUTED_VALUE"""),843727.5)</f>
        <v>843727.5</v>
      </c>
      <c r="E58" s="7">
        <f>IFERROR(__xludf.DUMMYFUNCTION("""COMPUTED_VALUE"""),729677.519)</f>
        <v>729677.519</v>
      </c>
      <c r="F58" s="8">
        <v>140731.9646153846</v>
      </c>
      <c r="G58" s="18">
        <f t="shared" si="1"/>
        <v>20</v>
      </c>
      <c r="H58" s="19">
        <f t="shared" si="2"/>
        <v>15.63018978</v>
      </c>
      <c r="I58" s="19">
        <f t="shared" si="3"/>
        <v>0.1667978875</v>
      </c>
    </row>
    <row r="59">
      <c r="A59" s="9">
        <f>IFERROR(__xludf.DUMMYFUNCTION("""COMPUTED_VALUE"""),43960.0)</f>
        <v>43960</v>
      </c>
      <c r="B59" s="10" t="str">
        <f>IFERROR(__xludf.DUMMYFUNCTION("""COMPUTED_VALUE"""),"Тольятти")</f>
        <v>Тольятти</v>
      </c>
      <c r="C59" s="10">
        <f>IFERROR(__xludf.DUMMYFUNCTION("""COMPUTED_VALUE"""),13216.5)</f>
        <v>13216.5</v>
      </c>
      <c r="D59" s="10">
        <f>IFERROR(__xludf.DUMMYFUNCTION("""COMPUTED_VALUE"""),1046400.0)</f>
        <v>1046400</v>
      </c>
      <c r="E59" s="10">
        <f>IFERROR(__xludf.DUMMYFUNCTION("""COMPUTED_VALUE"""),937716.1579999999)</f>
        <v>937716.158</v>
      </c>
      <c r="F59" s="11">
        <v>61387.77692307692</v>
      </c>
      <c r="G59" s="18">
        <f t="shared" si="1"/>
        <v>19</v>
      </c>
      <c r="H59" s="19">
        <f t="shared" si="2"/>
        <v>11.59027079</v>
      </c>
      <c r="I59" s="19">
        <f t="shared" si="3"/>
        <v>0.05866568896</v>
      </c>
    </row>
    <row r="60">
      <c r="A60" s="6">
        <f>IFERROR(__xludf.DUMMYFUNCTION("""COMPUTED_VALUE"""),43955.0)</f>
        <v>43955</v>
      </c>
      <c r="B60" s="7" t="str">
        <f>IFERROR(__xludf.DUMMYFUNCTION("""COMPUTED_VALUE"""),"Тольятти")</f>
        <v>Тольятти</v>
      </c>
      <c r="C60" s="7">
        <f>IFERROR(__xludf.DUMMYFUNCTION("""COMPUTED_VALUE"""),9130.5)</f>
        <v>9130.5</v>
      </c>
      <c r="D60" s="7">
        <f>IFERROR(__xludf.DUMMYFUNCTION("""COMPUTED_VALUE"""),728890.5)</f>
        <v>728890.5</v>
      </c>
      <c r="E60" s="7">
        <f>IFERROR(__xludf.DUMMYFUNCTION("""COMPUTED_VALUE"""),644150.519)</f>
        <v>644150.519</v>
      </c>
      <c r="F60" s="8">
        <v>98026.49036923076</v>
      </c>
      <c r="G60" s="18">
        <f t="shared" si="1"/>
        <v>19</v>
      </c>
      <c r="H60" s="19">
        <f t="shared" si="2"/>
        <v>13.15530742</v>
      </c>
      <c r="I60" s="19">
        <f t="shared" si="3"/>
        <v>0.1344872657</v>
      </c>
    </row>
    <row r="61">
      <c r="A61" s="9">
        <f>IFERROR(__xludf.DUMMYFUNCTION("""COMPUTED_VALUE"""),43950.0)</f>
        <v>43950</v>
      </c>
      <c r="B61" s="10" t="str">
        <f>IFERROR(__xludf.DUMMYFUNCTION("""COMPUTED_VALUE"""),"Тольятти")</f>
        <v>Тольятти</v>
      </c>
      <c r="C61" s="10">
        <f>IFERROR(__xludf.DUMMYFUNCTION("""COMPUTED_VALUE"""),10840.5)</f>
        <v>10840.5</v>
      </c>
      <c r="D61" s="10">
        <f>IFERROR(__xludf.DUMMYFUNCTION("""COMPUTED_VALUE"""),797919.0)</f>
        <v>797919</v>
      </c>
      <c r="E61" s="10">
        <f>IFERROR(__xludf.DUMMYFUNCTION("""COMPUTED_VALUE"""),783753.2949999999)</f>
        <v>783753.295</v>
      </c>
      <c r="F61" s="11">
        <v>58214.93076923077</v>
      </c>
      <c r="G61" s="18">
        <f t="shared" si="1"/>
        <v>18</v>
      </c>
      <c r="H61" s="19">
        <f t="shared" si="2"/>
        <v>1.807418877</v>
      </c>
      <c r="I61" s="19">
        <f t="shared" si="3"/>
        <v>0.07295844662</v>
      </c>
    </row>
    <row r="62">
      <c r="A62" s="6">
        <f>IFERROR(__xludf.DUMMYFUNCTION("""COMPUTED_VALUE"""),43953.0)</f>
        <v>43953</v>
      </c>
      <c r="B62" s="7" t="str">
        <f>IFERROR(__xludf.DUMMYFUNCTION("""COMPUTED_VALUE"""),"Тольятти")</f>
        <v>Тольятти</v>
      </c>
      <c r="C62" s="7">
        <f>IFERROR(__xludf.DUMMYFUNCTION("""COMPUTED_VALUE"""),7866.0)</f>
        <v>7866</v>
      </c>
      <c r="D62" s="7">
        <f>IFERROR(__xludf.DUMMYFUNCTION("""COMPUTED_VALUE"""),617881.5)</f>
        <v>617881.5</v>
      </c>
      <c r="E62" s="7">
        <f>IFERROR(__xludf.DUMMYFUNCTION("""COMPUTED_VALUE"""),575518.068)</f>
        <v>575518.068</v>
      </c>
      <c r="F62" s="8">
        <v>119723.42363076922</v>
      </c>
      <c r="G62" s="18">
        <f t="shared" si="1"/>
        <v>18</v>
      </c>
      <c r="H62" s="19">
        <f t="shared" si="2"/>
        <v>7.360921291</v>
      </c>
      <c r="I62" s="19">
        <f t="shared" si="3"/>
        <v>0.1937643766</v>
      </c>
    </row>
    <row r="63">
      <c r="A63" s="9">
        <f>IFERROR(__xludf.DUMMYFUNCTION("""COMPUTED_VALUE"""),43977.0)</f>
        <v>43977</v>
      </c>
      <c r="B63" s="10" t="str">
        <f>IFERROR(__xludf.DUMMYFUNCTION("""COMPUTED_VALUE"""),"Тольятти")</f>
        <v>Тольятти</v>
      </c>
      <c r="C63" s="10">
        <f>IFERROR(__xludf.DUMMYFUNCTION("""COMPUTED_VALUE"""),11835.0)</f>
        <v>11835</v>
      </c>
      <c r="D63" s="10">
        <f>IFERROR(__xludf.DUMMYFUNCTION("""COMPUTED_VALUE"""),983109.0)</f>
        <v>983109</v>
      </c>
      <c r="E63" s="10">
        <f>IFERROR(__xludf.DUMMYFUNCTION("""COMPUTED_VALUE"""),825345.0530000001)</f>
        <v>825345.053</v>
      </c>
      <c r="F63" s="11">
        <v>109486.33076923077</v>
      </c>
      <c r="G63" s="18">
        <f t="shared" si="1"/>
        <v>22</v>
      </c>
      <c r="H63" s="19">
        <f t="shared" si="2"/>
        <v>19.11490793</v>
      </c>
      <c r="I63" s="19">
        <f t="shared" si="3"/>
        <v>0.1113674382</v>
      </c>
    </row>
    <row r="64">
      <c r="A64" s="6">
        <f>IFERROR(__xludf.DUMMYFUNCTION("""COMPUTED_VALUE"""),43952.0)</f>
        <v>43952</v>
      </c>
      <c r="B64" s="7" t="str">
        <f>IFERROR(__xludf.DUMMYFUNCTION("""COMPUTED_VALUE"""),"Тольятти")</f>
        <v>Тольятти</v>
      </c>
      <c r="C64" s="7">
        <f>IFERROR(__xludf.DUMMYFUNCTION("""COMPUTED_VALUE"""),11619.0)</f>
        <v>11619</v>
      </c>
      <c r="D64" s="7">
        <f>IFERROR(__xludf.DUMMYFUNCTION("""COMPUTED_VALUE"""),891139.5)</f>
        <v>891139.5</v>
      </c>
      <c r="E64" s="7">
        <f>IFERROR(__xludf.DUMMYFUNCTION("""COMPUTED_VALUE"""),829782.376)</f>
        <v>829782.376</v>
      </c>
      <c r="F64" s="8">
        <v>121759.66210769229</v>
      </c>
      <c r="G64" s="18">
        <f t="shared" si="1"/>
        <v>18</v>
      </c>
      <c r="H64" s="19">
        <f t="shared" si="2"/>
        <v>7.394363363</v>
      </c>
      <c r="I64" s="19">
        <f t="shared" si="3"/>
        <v>0.136633672</v>
      </c>
    </row>
    <row r="65">
      <c r="A65" s="9">
        <f>IFERROR(__xludf.DUMMYFUNCTION("""COMPUTED_VALUE"""),43963.0)</f>
        <v>43963</v>
      </c>
      <c r="B65" s="10" t="str">
        <f>IFERROR(__xludf.DUMMYFUNCTION("""COMPUTED_VALUE"""),"Тольятти")</f>
        <v>Тольятти</v>
      </c>
      <c r="C65" s="10">
        <f>IFERROR(__xludf.DUMMYFUNCTION("""COMPUTED_VALUE"""),9328.5)</f>
        <v>9328.5</v>
      </c>
      <c r="D65" s="10">
        <f>IFERROR(__xludf.DUMMYFUNCTION("""COMPUTED_VALUE"""),732964.5)</f>
        <v>732964.5</v>
      </c>
      <c r="E65" s="10">
        <f>IFERROR(__xludf.DUMMYFUNCTION("""COMPUTED_VALUE"""),634517.673)</f>
        <v>634517.673</v>
      </c>
      <c r="F65" s="11">
        <v>136157.9836153846</v>
      </c>
      <c r="G65" s="18">
        <f t="shared" si="1"/>
        <v>20</v>
      </c>
      <c r="H65" s="19">
        <f t="shared" si="2"/>
        <v>15.51522222</v>
      </c>
      <c r="I65" s="19">
        <f t="shared" si="3"/>
        <v>0.1857634082</v>
      </c>
    </row>
    <row r="66">
      <c r="A66" s="6">
        <f>IFERROR(__xludf.DUMMYFUNCTION("""COMPUTED_VALUE"""),43972.0)</f>
        <v>43972</v>
      </c>
      <c r="B66" s="7" t="str">
        <f>IFERROR(__xludf.DUMMYFUNCTION("""COMPUTED_VALUE"""),"Тольятти")</f>
        <v>Тольятти</v>
      </c>
      <c r="C66" s="7">
        <f>IFERROR(__xludf.DUMMYFUNCTION("""COMPUTED_VALUE"""),11250.0)</f>
        <v>11250</v>
      </c>
      <c r="D66" s="7">
        <f>IFERROR(__xludf.DUMMYFUNCTION("""COMPUTED_VALUE"""),935523.0)</f>
        <v>935523</v>
      </c>
      <c r="E66" s="7">
        <f>IFERROR(__xludf.DUMMYFUNCTION("""COMPUTED_VALUE"""),808524.505)</f>
        <v>808524.505</v>
      </c>
      <c r="F66" s="8">
        <v>94344.95384615385</v>
      </c>
      <c r="G66" s="18">
        <f t="shared" si="1"/>
        <v>21</v>
      </c>
      <c r="H66" s="19">
        <f t="shared" si="2"/>
        <v>15.7074392</v>
      </c>
      <c r="I66" s="19">
        <f t="shared" si="3"/>
        <v>0.1008472842</v>
      </c>
    </row>
    <row r="67">
      <c r="A67" s="9">
        <f>IFERROR(__xludf.DUMMYFUNCTION("""COMPUTED_VALUE"""),43971.0)</f>
        <v>43971</v>
      </c>
      <c r="B67" s="10" t="str">
        <f>IFERROR(__xludf.DUMMYFUNCTION("""COMPUTED_VALUE"""),"Тольятти")</f>
        <v>Тольятти</v>
      </c>
      <c r="C67" s="10">
        <f>IFERROR(__xludf.DUMMYFUNCTION("""COMPUTED_VALUE"""),13063.5)</f>
        <v>13063.5</v>
      </c>
      <c r="D67" s="10">
        <f>IFERROR(__xludf.DUMMYFUNCTION("""COMPUTED_VALUE"""),1037247.0)</f>
        <v>1037247</v>
      </c>
      <c r="E67" s="10">
        <f>IFERROR(__xludf.DUMMYFUNCTION("""COMPUTED_VALUE"""),910480.6449999999)</f>
        <v>910480.645</v>
      </c>
      <c r="F67" s="11">
        <v>64430.96412307692</v>
      </c>
      <c r="G67" s="18">
        <f t="shared" si="1"/>
        <v>21</v>
      </c>
      <c r="H67" s="19">
        <f t="shared" si="2"/>
        <v>13.9230148</v>
      </c>
      <c r="I67" s="19">
        <f t="shared" si="3"/>
        <v>0.06211728173</v>
      </c>
    </row>
    <row r="68">
      <c r="A68" s="6">
        <f>IFERROR(__xludf.DUMMYFUNCTION("""COMPUTED_VALUE"""),43956.0)</f>
        <v>43956</v>
      </c>
      <c r="B68" s="7" t="str">
        <f>IFERROR(__xludf.DUMMYFUNCTION("""COMPUTED_VALUE"""),"Тольятти")</f>
        <v>Тольятти</v>
      </c>
      <c r="C68" s="7">
        <f>IFERROR(__xludf.DUMMYFUNCTION("""COMPUTED_VALUE"""),10147.5)</f>
        <v>10147.5</v>
      </c>
      <c r="D68" s="7">
        <f>IFERROR(__xludf.DUMMYFUNCTION("""COMPUTED_VALUE"""),793320.0)</f>
        <v>793320</v>
      </c>
      <c r="E68" s="7">
        <f>IFERROR(__xludf.DUMMYFUNCTION("""COMPUTED_VALUE"""),718019.2760000001)</f>
        <v>718019.276</v>
      </c>
      <c r="F68" s="8">
        <v>92027.36809230769</v>
      </c>
      <c r="G68" s="18">
        <f t="shared" si="1"/>
        <v>19</v>
      </c>
      <c r="H68" s="19">
        <f t="shared" si="2"/>
        <v>10.48728447</v>
      </c>
      <c r="I68" s="19">
        <f t="shared" si="3"/>
        <v>0.1160028338</v>
      </c>
    </row>
    <row r="69">
      <c r="A69" s="9">
        <f>IFERROR(__xludf.DUMMYFUNCTION("""COMPUTED_VALUE"""),43949.0)</f>
        <v>43949</v>
      </c>
      <c r="B69" s="10" t="str">
        <f>IFERROR(__xludf.DUMMYFUNCTION("""COMPUTED_VALUE"""),"Тольятти")</f>
        <v>Тольятти</v>
      </c>
      <c r="C69" s="10">
        <f>IFERROR(__xludf.DUMMYFUNCTION("""COMPUTED_VALUE"""),12331.5)</f>
        <v>12331.5</v>
      </c>
      <c r="D69" s="10">
        <f>IFERROR(__xludf.DUMMYFUNCTION("""COMPUTED_VALUE"""),869983.5)</f>
        <v>869983.5</v>
      </c>
      <c r="E69" s="10">
        <f>IFERROR(__xludf.DUMMYFUNCTION("""COMPUTED_VALUE"""),896773.3239999999)</f>
        <v>896773.324</v>
      </c>
      <c r="F69" s="11">
        <v>51681.03846153846</v>
      </c>
      <c r="G69" s="18">
        <f t="shared" si="1"/>
        <v>18</v>
      </c>
      <c r="H69" s="19">
        <f t="shared" si="2"/>
        <v>-2.987357371</v>
      </c>
      <c r="I69" s="19">
        <f t="shared" si="3"/>
        <v>0.05940461912</v>
      </c>
    </row>
    <row r="70">
      <c r="A70" s="6">
        <f>IFERROR(__xludf.DUMMYFUNCTION("""COMPUTED_VALUE"""),43964.0)</f>
        <v>43964</v>
      </c>
      <c r="B70" s="7" t="str">
        <f>IFERROR(__xludf.DUMMYFUNCTION("""COMPUTED_VALUE"""),"Тольятти")</f>
        <v>Тольятти</v>
      </c>
      <c r="C70" s="7">
        <f>IFERROR(__xludf.DUMMYFUNCTION("""COMPUTED_VALUE"""),11202.0)</f>
        <v>11202</v>
      </c>
      <c r="D70" s="7">
        <f>IFERROR(__xludf.DUMMYFUNCTION("""COMPUTED_VALUE"""),865714.5)</f>
        <v>865714.5</v>
      </c>
      <c r="E70" s="7">
        <f>IFERROR(__xludf.DUMMYFUNCTION("""COMPUTED_VALUE"""),799644.759)</f>
        <v>799644.759</v>
      </c>
      <c r="F70" s="8">
        <v>111860.49372307691</v>
      </c>
      <c r="G70" s="18">
        <f t="shared" si="1"/>
        <v>20</v>
      </c>
      <c r="H70" s="19">
        <f t="shared" si="2"/>
        <v>8.262386548</v>
      </c>
      <c r="I70" s="19">
        <f t="shared" si="3"/>
        <v>0.1292117594</v>
      </c>
    </row>
    <row r="71">
      <c r="A71" s="9">
        <f>IFERROR(__xludf.DUMMYFUNCTION("""COMPUTED_VALUE"""),43982.0)</f>
        <v>43982</v>
      </c>
      <c r="B71" s="10" t="str">
        <f>IFERROR(__xludf.DUMMYFUNCTION("""COMPUTED_VALUE"""),"Екатеринбург")</f>
        <v>Екатеринбург</v>
      </c>
      <c r="C71" s="10">
        <f>IFERROR(__xludf.DUMMYFUNCTION("""COMPUTED_VALUE"""),89149.5)</f>
        <v>89149.5</v>
      </c>
      <c r="D71" s="10">
        <f>IFERROR(__xludf.DUMMYFUNCTION("""COMPUTED_VALUE"""),7512646.5)</f>
        <v>7512646.5</v>
      </c>
      <c r="E71" s="10">
        <f>IFERROR(__xludf.DUMMYFUNCTION("""COMPUTED_VALUE"""),5979210.097)</f>
        <v>5979210.097</v>
      </c>
      <c r="F71" s="11">
        <v>47580.14615384615</v>
      </c>
      <c r="G71" s="18">
        <f t="shared" si="1"/>
        <v>22</v>
      </c>
      <c r="H71" s="19">
        <f t="shared" si="2"/>
        <v>25.64613683</v>
      </c>
      <c r="I71" s="19">
        <f t="shared" si="3"/>
        <v>0.006333340209</v>
      </c>
    </row>
    <row r="72">
      <c r="A72" s="6">
        <f>IFERROR(__xludf.DUMMYFUNCTION("""COMPUTED_VALUE"""),43954.0)</f>
        <v>43954</v>
      </c>
      <c r="B72" s="7" t="str">
        <f>IFERROR(__xludf.DUMMYFUNCTION("""COMPUTED_VALUE"""),"Тольятти")</f>
        <v>Тольятти</v>
      </c>
      <c r="C72" s="7">
        <f>IFERROR(__xludf.DUMMYFUNCTION("""COMPUTED_VALUE"""),8185.5)</f>
        <v>8185.5</v>
      </c>
      <c r="D72" s="7">
        <f>IFERROR(__xludf.DUMMYFUNCTION("""COMPUTED_VALUE"""),637881.0)</f>
        <v>637881</v>
      </c>
      <c r="E72" s="7">
        <f>IFERROR(__xludf.DUMMYFUNCTION("""COMPUTED_VALUE"""),575840.677)</f>
        <v>575840.677</v>
      </c>
      <c r="F72" s="8">
        <v>73920.5846153846</v>
      </c>
      <c r="G72" s="18">
        <f t="shared" si="1"/>
        <v>18</v>
      </c>
      <c r="H72" s="19">
        <f t="shared" si="2"/>
        <v>10.77386949</v>
      </c>
      <c r="I72" s="19">
        <f t="shared" si="3"/>
        <v>0.1158846001</v>
      </c>
    </row>
    <row r="73">
      <c r="A73" s="9">
        <f>IFERROR(__xludf.DUMMYFUNCTION("""COMPUTED_VALUE"""),43981.0)</f>
        <v>43981</v>
      </c>
      <c r="B73" s="10" t="str">
        <f>IFERROR(__xludf.DUMMYFUNCTION("""COMPUTED_VALUE"""),"Екатеринбург")</f>
        <v>Екатеринбург</v>
      </c>
      <c r="C73" s="10">
        <f>IFERROR(__xludf.DUMMYFUNCTION("""COMPUTED_VALUE"""),108123.0)</f>
        <v>108123</v>
      </c>
      <c r="D73" s="10">
        <f>IFERROR(__xludf.DUMMYFUNCTION("""COMPUTED_VALUE"""),9164707.5)</f>
        <v>9164707.5</v>
      </c>
      <c r="E73" s="10">
        <f>IFERROR(__xludf.DUMMYFUNCTION("""COMPUTED_VALUE"""),7329868.665)</f>
        <v>7329868.665</v>
      </c>
      <c r="F73" s="11">
        <v>137418.1593076923</v>
      </c>
      <c r="G73" s="18">
        <f t="shared" si="1"/>
        <v>22</v>
      </c>
      <c r="H73" s="19">
        <f t="shared" si="2"/>
        <v>25.03235622</v>
      </c>
      <c r="I73" s="19">
        <f t="shared" si="3"/>
        <v>0.01499427661</v>
      </c>
    </row>
    <row r="74">
      <c r="A74" s="6">
        <f>IFERROR(__xludf.DUMMYFUNCTION("""COMPUTED_VALUE"""),43957.0)</f>
        <v>43957</v>
      </c>
      <c r="B74" s="7" t="str">
        <f>IFERROR(__xludf.DUMMYFUNCTION("""COMPUTED_VALUE"""),"Тольятти")</f>
        <v>Тольятти</v>
      </c>
      <c r="C74" s="7">
        <f>IFERROR(__xludf.DUMMYFUNCTION("""COMPUTED_VALUE"""),9210.0)</f>
        <v>9210</v>
      </c>
      <c r="D74" s="7">
        <f>IFERROR(__xludf.DUMMYFUNCTION("""COMPUTED_VALUE"""),696832.5)</f>
        <v>696832.5</v>
      </c>
      <c r="E74" s="7">
        <f>IFERROR(__xludf.DUMMYFUNCTION("""COMPUTED_VALUE"""),616683.3809999999)</f>
        <v>616683.381</v>
      </c>
      <c r="F74" s="8">
        <v>99623.13076923077</v>
      </c>
      <c r="G74" s="18">
        <f t="shared" si="1"/>
        <v>19</v>
      </c>
      <c r="H74" s="19">
        <f t="shared" si="2"/>
        <v>12.99680216</v>
      </c>
      <c r="I74" s="19">
        <f t="shared" si="3"/>
        <v>0.1429656779</v>
      </c>
    </row>
    <row r="75">
      <c r="A75" s="9">
        <f>IFERROR(__xludf.DUMMYFUNCTION("""COMPUTED_VALUE"""),43974.0)</f>
        <v>43974</v>
      </c>
      <c r="B75" s="10" t="str">
        <f>IFERROR(__xludf.DUMMYFUNCTION("""COMPUTED_VALUE"""),"Тольятти")</f>
        <v>Тольятти</v>
      </c>
      <c r="C75" s="10">
        <f>IFERROR(__xludf.DUMMYFUNCTION("""COMPUTED_VALUE"""),14773.5)</f>
        <v>14773.5</v>
      </c>
      <c r="D75" s="10">
        <f>IFERROR(__xludf.DUMMYFUNCTION("""COMPUTED_VALUE"""),1241383.5)</f>
        <v>1241383.5</v>
      </c>
      <c r="E75" s="10">
        <f>IFERROR(__xludf.DUMMYFUNCTION("""COMPUTED_VALUE"""),1069622.507)</f>
        <v>1069622.507</v>
      </c>
      <c r="F75" s="11">
        <v>74049.52307692308</v>
      </c>
      <c r="G75" s="18">
        <f t="shared" si="1"/>
        <v>21</v>
      </c>
      <c r="H75" s="19">
        <f t="shared" si="2"/>
        <v>16.0580945</v>
      </c>
      <c r="I75" s="19">
        <f t="shared" si="3"/>
        <v>0.05965080338</v>
      </c>
    </row>
    <row r="76">
      <c r="A76" s="6">
        <f>IFERROR(__xludf.DUMMYFUNCTION("""COMPUTED_VALUE"""),43979.0)</f>
        <v>43979</v>
      </c>
      <c r="B76" s="7" t="str">
        <f>IFERROR(__xludf.DUMMYFUNCTION("""COMPUTED_VALUE"""),"Екатеринбург")</f>
        <v>Екатеринбург</v>
      </c>
      <c r="C76" s="7">
        <f>IFERROR(__xludf.DUMMYFUNCTION("""COMPUTED_VALUE"""),78141.0)</f>
        <v>78141</v>
      </c>
      <c r="D76" s="7">
        <f>IFERROR(__xludf.DUMMYFUNCTION("""COMPUTED_VALUE"""),6641569.5)</f>
        <v>6641569.5</v>
      </c>
      <c r="E76" s="7">
        <f>IFERROR(__xludf.DUMMYFUNCTION("""COMPUTED_VALUE"""),5084073.516)</f>
        <v>5084073.516</v>
      </c>
      <c r="F76" s="8">
        <v>142499.01538461537</v>
      </c>
      <c r="G76" s="18">
        <f t="shared" si="1"/>
        <v>22</v>
      </c>
      <c r="H76" s="19">
        <f t="shared" si="2"/>
        <v>30.63480453</v>
      </c>
      <c r="I76" s="19">
        <f t="shared" si="3"/>
        <v>0.02145562361</v>
      </c>
    </row>
    <row r="77">
      <c r="A77" s="9">
        <f>IFERROR(__xludf.DUMMYFUNCTION("""COMPUTED_VALUE"""),43976.0)</f>
        <v>43976</v>
      </c>
      <c r="B77" s="10" t="str">
        <f>IFERROR(__xludf.DUMMYFUNCTION("""COMPUTED_VALUE"""),"Тольятти")</f>
        <v>Тольятти</v>
      </c>
      <c r="C77" s="10">
        <f>IFERROR(__xludf.DUMMYFUNCTION("""COMPUTED_VALUE"""),12280.5)</f>
        <v>12280.5</v>
      </c>
      <c r="D77" s="10">
        <f>IFERROR(__xludf.DUMMYFUNCTION("""COMPUTED_VALUE"""),1030440.0)</f>
        <v>1030440</v>
      </c>
      <c r="E77" s="10">
        <f>IFERROR(__xludf.DUMMYFUNCTION("""COMPUTED_VALUE"""),871047.598)</f>
        <v>871047.598</v>
      </c>
      <c r="F77" s="11">
        <v>85172.08461538462</v>
      </c>
      <c r="G77" s="18">
        <f t="shared" si="1"/>
        <v>22</v>
      </c>
      <c r="H77" s="19">
        <f t="shared" si="2"/>
        <v>18.29893135</v>
      </c>
      <c r="I77" s="19">
        <f t="shared" si="3"/>
        <v>0.08265603491</v>
      </c>
    </row>
    <row r="78">
      <c r="A78" s="6">
        <f>IFERROR(__xludf.DUMMYFUNCTION("""COMPUTED_VALUE"""),43951.0)</f>
        <v>43951</v>
      </c>
      <c r="B78" s="7" t="str">
        <f>IFERROR(__xludf.DUMMYFUNCTION("""COMPUTED_VALUE"""),"Тольятти")</f>
        <v>Тольятти</v>
      </c>
      <c r="C78" s="7">
        <f>IFERROR(__xludf.DUMMYFUNCTION("""COMPUTED_VALUE"""),8934.0)</f>
        <v>8934</v>
      </c>
      <c r="D78" s="7">
        <f>IFERROR(__xludf.DUMMYFUNCTION("""COMPUTED_VALUE"""),716196.0)</f>
        <v>716196</v>
      </c>
      <c r="E78" s="7">
        <f>IFERROR(__xludf.DUMMYFUNCTION("""COMPUTED_VALUE"""),663415.497)</f>
        <v>663415.497</v>
      </c>
      <c r="F78" s="8">
        <v>24274.438461538462</v>
      </c>
      <c r="G78" s="18">
        <f t="shared" si="1"/>
        <v>18</v>
      </c>
      <c r="H78" s="19">
        <f t="shared" si="2"/>
        <v>7.955874296</v>
      </c>
      <c r="I78" s="19">
        <f t="shared" si="3"/>
        <v>0.03389356889</v>
      </c>
    </row>
    <row r="79">
      <c r="A79" s="9">
        <f>IFERROR(__xludf.DUMMYFUNCTION("""COMPUTED_VALUE"""),43961.0)</f>
        <v>43961</v>
      </c>
      <c r="B79" s="10" t="str">
        <f>IFERROR(__xludf.DUMMYFUNCTION("""COMPUTED_VALUE"""),"Тольятти")</f>
        <v>Тольятти</v>
      </c>
      <c r="C79" s="10">
        <f>IFERROR(__xludf.DUMMYFUNCTION("""COMPUTED_VALUE"""),12918.0)</f>
        <v>12918</v>
      </c>
      <c r="D79" s="10">
        <f>IFERROR(__xludf.DUMMYFUNCTION("""COMPUTED_VALUE"""),1004788.5)</f>
        <v>1004788.5</v>
      </c>
      <c r="E79" s="10">
        <f>IFERROR(__xludf.DUMMYFUNCTION("""COMPUTED_VALUE"""),896111.803)</f>
        <v>896111.803</v>
      </c>
      <c r="F79" s="11">
        <v>99729.92307692306</v>
      </c>
      <c r="G79" s="18">
        <f t="shared" si="1"/>
        <v>19</v>
      </c>
      <c r="H79" s="19">
        <f t="shared" si="2"/>
        <v>12.12758237</v>
      </c>
      <c r="I79" s="19">
        <f t="shared" si="3"/>
        <v>0.09925464222</v>
      </c>
    </row>
    <row r="80">
      <c r="A80" s="6">
        <f>IFERROR(__xludf.DUMMYFUNCTION("""COMPUTED_VALUE"""),43959.0)</f>
        <v>43959</v>
      </c>
      <c r="B80" s="7" t="str">
        <f>IFERROR(__xludf.DUMMYFUNCTION("""COMPUTED_VALUE"""),"Тольятти")</f>
        <v>Тольятти</v>
      </c>
      <c r="C80" s="7">
        <f>IFERROR(__xludf.DUMMYFUNCTION("""COMPUTED_VALUE"""),12528.0)</f>
        <v>12528</v>
      </c>
      <c r="D80" s="7">
        <f>IFERROR(__xludf.DUMMYFUNCTION("""COMPUTED_VALUE"""),959703.0)</f>
        <v>959703</v>
      </c>
      <c r="E80" s="7">
        <f>IFERROR(__xludf.DUMMYFUNCTION("""COMPUTED_VALUE"""),861486.475)</f>
        <v>861486.475</v>
      </c>
      <c r="F80" s="8">
        <v>87212.13076923077</v>
      </c>
      <c r="G80" s="18">
        <f t="shared" si="1"/>
        <v>19</v>
      </c>
      <c r="H80" s="19">
        <f t="shared" si="2"/>
        <v>11.40082031</v>
      </c>
      <c r="I80" s="19">
        <f t="shared" si="3"/>
        <v>0.09087408372</v>
      </c>
    </row>
    <row r="81">
      <c r="A81" s="9">
        <f>IFERROR(__xludf.DUMMYFUNCTION("""COMPUTED_VALUE"""),43958.0)</f>
        <v>43958</v>
      </c>
      <c r="B81" s="10" t="str">
        <f>IFERROR(__xludf.DUMMYFUNCTION("""COMPUTED_VALUE"""),"Тольятти")</f>
        <v>Тольятти</v>
      </c>
      <c r="C81" s="10">
        <f>IFERROR(__xludf.DUMMYFUNCTION("""COMPUTED_VALUE"""),11029.5)</f>
        <v>11029.5</v>
      </c>
      <c r="D81" s="10">
        <f>IFERROR(__xludf.DUMMYFUNCTION("""COMPUTED_VALUE"""),863754.0)</f>
        <v>863754</v>
      </c>
      <c r="E81" s="10">
        <f>IFERROR(__xludf.DUMMYFUNCTION("""COMPUTED_VALUE"""),758428.735)</f>
        <v>758428.735</v>
      </c>
      <c r="F81" s="11">
        <v>86710.8045076923</v>
      </c>
      <c r="G81" s="18">
        <f t="shared" si="1"/>
        <v>19</v>
      </c>
      <c r="H81" s="19">
        <f t="shared" si="2"/>
        <v>13.88729885</v>
      </c>
      <c r="I81" s="19">
        <f t="shared" si="3"/>
        <v>0.1003883102</v>
      </c>
    </row>
    <row r="82">
      <c r="A82" s="6">
        <f>IFERROR(__xludf.DUMMYFUNCTION("""COMPUTED_VALUE"""),43975.0)</f>
        <v>43975</v>
      </c>
      <c r="B82" s="7" t="str">
        <f>IFERROR(__xludf.DUMMYFUNCTION("""COMPUTED_VALUE"""),"Тольятти")</f>
        <v>Тольятти</v>
      </c>
      <c r="C82" s="7">
        <f>IFERROR(__xludf.DUMMYFUNCTION("""COMPUTED_VALUE"""),9994.5)</f>
        <v>9994.5</v>
      </c>
      <c r="D82" s="7">
        <f>IFERROR(__xludf.DUMMYFUNCTION("""COMPUTED_VALUE"""),828984.0)</f>
        <v>828984</v>
      </c>
      <c r="E82" s="7">
        <f>IFERROR(__xludf.DUMMYFUNCTION("""COMPUTED_VALUE"""),702631.811)</f>
        <v>702631.811</v>
      </c>
      <c r="F82" s="8">
        <v>82264.56716923077</v>
      </c>
      <c r="G82" s="18">
        <f t="shared" si="1"/>
        <v>21</v>
      </c>
      <c r="H82" s="19">
        <f t="shared" si="2"/>
        <v>17.98270261</v>
      </c>
      <c r="I82" s="19">
        <f t="shared" si="3"/>
        <v>0.09923541006</v>
      </c>
    </row>
    <row r="83">
      <c r="A83" s="9">
        <f>IFERROR(__xludf.DUMMYFUNCTION("""COMPUTED_VALUE"""),43982.0)</f>
        <v>43982</v>
      </c>
      <c r="B83" s="10" t="str">
        <f>IFERROR(__xludf.DUMMYFUNCTION("""COMPUTED_VALUE"""),"Тольятти")</f>
        <v>Тольятти</v>
      </c>
      <c r="C83" s="10">
        <f>IFERROR(__xludf.DUMMYFUNCTION("""COMPUTED_VALUE"""),12724.5)</f>
        <v>12724.5</v>
      </c>
      <c r="D83" s="10">
        <f>IFERROR(__xludf.DUMMYFUNCTION("""COMPUTED_VALUE"""),1045515.0)</f>
        <v>1045515</v>
      </c>
      <c r="E83" s="10">
        <f>IFERROR(__xludf.DUMMYFUNCTION("""COMPUTED_VALUE"""),896490.07)</f>
        <v>896490.07</v>
      </c>
      <c r="F83" s="11">
        <v>49463.98298461539</v>
      </c>
      <c r="G83" s="18">
        <f t="shared" si="1"/>
        <v>22</v>
      </c>
      <c r="H83" s="19">
        <f t="shared" si="2"/>
        <v>16.62315457</v>
      </c>
      <c r="I83" s="19">
        <f t="shared" si="3"/>
        <v>0.04731063924</v>
      </c>
    </row>
    <row r="84">
      <c r="A84" s="6">
        <f>IFERROR(__xludf.DUMMYFUNCTION("""COMPUTED_VALUE"""),43981.0)</f>
        <v>43981</v>
      </c>
      <c r="B84" s="7" t="str">
        <f>IFERROR(__xludf.DUMMYFUNCTION("""COMPUTED_VALUE"""),"Тольятти")</f>
        <v>Тольятти</v>
      </c>
      <c r="C84" s="7">
        <f>IFERROR(__xludf.DUMMYFUNCTION("""COMPUTED_VALUE"""),14728.5)</f>
        <v>14728.5</v>
      </c>
      <c r="D84" s="7">
        <f>IFERROR(__xludf.DUMMYFUNCTION("""COMPUTED_VALUE"""),1260483.0)</f>
        <v>1260483</v>
      </c>
      <c r="E84" s="7">
        <f>IFERROR(__xludf.DUMMYFUNCTION("""COMPUTED_VALUE"""),1048221.1390000001)</f>
        <v>1048221.139</v>
      </c>
      <c r="F84" s="8">
        <v>86278.1767</v>
      </c>
      <c r="G84" s="18">
        <f t="shared" si="1"/>
        <v>22</v>
      </c>
      <c r="H84" s="19">
        <f t="shared" si="2"/>
        <v>20.24972147</v>
      </c>
      <c r="I84" s="19">
        <f t="shared" si="3"/>
        <v>0.06844850482</v>
      </c>
    </row>
    <row r="85">
      <c r="A85" s="9">
        <f>IFERROR(__xludf.DUMMYFUNCTION("""COMPUTED_VALUE"""),43979.0)</f>
        <v>43979</v>
      </c>
      <c r="B85" s="10" t="str">
        <f>IFERROR(__xludf.DUMMYFUNCTION("""COMPUTED_VALUE"""),"Тольятти")</f>
        <v>Тольятти</v>
      </c>
      <c r="C85" s="10">
        <f>IFERROR(__xludf.DUMMYFUNCTION("""COMPUTED_VALUE"""),13038.0)</f>
        <v>13038</v>
      </c>
      <c r="D85" s="10">
        <f>IFERROR(__xludf.DUMMYFUNCTION("""COMPUTED_VALUE"""),1114552.5)</f>
        <v>1114552.5</v>
      </c>
      <c r="E85" s="10">
        <f>IFERROR(__xludf.DUMMYFUNCTION("""COMPUTED_VALUE"""),939269.567)</f>
        <v>939269.567</v>
      </c>
      <c r="F85" s="11">
        <v>74269.06047692307</v>
      </c>
      <c r="G85" s="18">
        <f t="shared" si="1"/>
        <v>22</v>
      </c>
      <c r="H85" s="19">
        <f t="shared" si="2"/>
        <v>18.66162166</v>
      </c>
      <c r="I85" s="19">
        <f t="shared" si="3"/>
        <v>0.0666357668</v>
      </c>
    </row>
    <row r="86">
      <c r="A86" s="6">
        <f>IFERROR(__xludf.DUMMYFUNCTION("""COMPUTED_VALUE"""),43967.0)</f>
        <v>43967</v>
      </c>
      <c r="B86" s="7" t="str">
        <f>IFERROR(__xludf.DUMMYFUNCTION("""COMPUTED_VALUE"""),"Нижний Новгород")</f>
        <v>Нижний Новгород</v>
      </c>
      <c r="C86" s="7">
        <f>IFERROR(__xludf.DUMMYFUNCTION("""COMPUTED_VALUE"""),35482.5)</f>
        <v>35482.5</v>
      </c>
      <c r="D86" s="7">
        <f>IFERROR(__xludf.DUMMYFUNCTION("""COMPUTED_VALUE"""),3222517.5)</f>
        <v>3222517.5</v>
      </c>
      <c r="E86" s="7">
        <f>IFERROR(__xludf.DUMMYFUNCTION("""COMPUTED_VALUE"""),2633868.174)</f>
        <v>2633868.174</v>
      </c>
      <c r="F86" s="8">
        <v>150484.18215384614</v>
      </c>
      <c r="G86" s="18">
        <f t="shared" si="1"/>
        <v>20</v>
      </c>
      <c r="H86" s="19">
        <f t="shared" si="2"/>
        <v>22.34923265</v>
      </c>
      <c r="I86" s="19">
        <f t="shared" si="3"/>
        <v>0.04669770828</v>
      </c>
    </row>
    <row r="87">
      <c r="A87" s="9">
        <f>IFERROR(__xludf.DUMMYFUNCTION("""COMPUTED_VALUE"""),43970.0)</f>
        <v>43970</v>
      </c>
      <c r="B87" s="10" t="str">
        <f>IFERROR(__xludf.DUMMYFUNCTION("""COMPUTED_VALUE"""),"Нижний Новгород")</f>
        <v>Нижний Новгород</v>
      </c>
      <c r="C87" s="10">
        <f>IFERROR(__xludf.DUMMYFUNCTION("""COMPUTED_VALUE"""),32434.5)</f>
        <v>32434.5</v>
      </c>
      <c r="D87" s="10">
        <f>IFERROR(__xludf.DUMMYFUNCTION("""COMPUTED_VALUE"""),2865337.5)</f>
        <v>2865337.5</v>
      </c>
      <c r="E87" s="10">
        <f>IFERROR(__xludf.DUMMYFUNCTION("""COMPUTED_VALUE"""),2368028.685)</f>
        <v>2368028.685</v>
      </c>
      <c r="F87" s="11">
        <v>225452.8907846154</v>
      </c>
      <c r="G87" s="18">
        <f t="shared" si="1"/>
        <v>21</v>
      </c>
      <c r="H87" s="19">
        <f t="shared" si="2"/>
        <v>21.00096245</v>
      </c>
      <c r="I87" s="19">
        <f t="shared" si="3"/>
        <v>0.07868283956</v>
      </c>
    </row>
    <row r="88">
      <c r="A88" s="6">
        <f>IFERROR(__xludf.DUMMYFUNCTION("""COMPUTED_VALUE"""),43968.0)</f>
        <v>43968</v>
      </c>
      <c r="B88" s="7" t="str">
        <f>IFERROR(__xludf.DUMMYFUNCTION("""COMPUTED_VALUE"""),"Нижний Новгород")</f>
        <v>Нижний Новгород</v>
      </c>
      <c r="C88" s="7">
        <f>IFERROR(__xludf.DUMMYFUNCTION("""COMPUTED_VALUE"""),30486.0)</f>
        <v>30486</v>
      </c>
      <c r="D88" s="7">
        <f>IFERROR(__xludf.DUMMYFUNCTION("""COMPUTED_VALUE"""),2694289.5)</f>
        <v>2694289.5</v>
      </c>
      <c r="E88" s="7">
        <f>IFERROR(__xludf.DUMMYFUNCTION("""COMPUTED_VALUE"""),2183502.7290000003)</f>
        <v>2183502.729</v>
      </c>
      <c r="F88" s="8">
        <v>153558.02257692307</v>
      </c>
      <c r="G88" s="18">
        <f t="shared" si="1"/>
        <v>20</v>
      </c>
      <c r="H88" s="19">
        <f t="shared" si="2"/>
        <v>23.39299897</v>
      </c>
      <c r="I88" s="19">
        <f t="shared" si="3"/>
        <v>0.05699388376</v>
      </c>
    </row>
    <row r="89">
      <c r="A89" s="9">
        <f>IFERROR(__xludf.DUMMYFUNCTION("""COMPUTED_VALUE"""),43960.0)</f>
        <v>43960</v>
      </c>
      <c r="B89" s="10" t="str">
        <f>IFERROR(__xludf.DUMMYFUNCTION("""COMPUTED_VALUE"""),"Нижний Новгород")</f>
        <v>Нижний Новгород</v>
      </c>
      <c r="C89" s="10">
        <f>IFERROR(__xludf.DUMMYFUNCTION("""COMPUTED_VALUE"""),32079.0)</f>
        <v>32079</v>
      </c>
      <c r="D89" s="10">
        <f>IFERROR(__xludf.DUMMYFUNCTION("""COMPUTED_VALUE"""),2902167.0)</f>
        <v>2902167</v>
      </c>
      <c r="E89" s="10">
        <f>IFERROR(__xludf.DUMMYFUNCTION("""COMPUTED_VALUE"""),2319890.346)</f>
        <v>2319890.346</v>
      </c>
      <c r="F89" s="11">
        <v>194963.39216923076</v>
      </c>
      <c r="G89" s="18">
        <f t="shared" si="1"/>
        <v>19</v>
      </c>
      <c r="H89" s="19">
        <f t="shared" si="2"/>
        <v>25.09931795</v>
      </c>
      <c r="I89" s="19">
        <f t="shared" si="3"/>
        <v>0.06717855732</v>
      </c>
    </row>
    <row r="90">
      <c r="A90" s="6">
        <f>IFERROR(__xludf.DUMMYFUNCTION("""COMPUTED_VALUE"""),43955.0)</f>
        <v>43955</v>
      </c>
      <c r="B90" s="7" t="str">
        <f>IFERROR(__xludf.DUMMYFUNCTION("""COMPUTED_VALUE"""),"Нижний Новгород")</f>
        <v>Нижний Новгород</v>
      </c>
      <c r="C90" s="7">
        <f>IFERROR(__xludf.DUMMYFUNCTION("""COMPUTED_VALUE"""),27072.0)</f>
        <v>27072</v>
      </c>
      <c r="D90" s="7">
        <f>IFERROR(__xludf.DUMMYFUNCTION("""COMPUTED_VALUE"""),2450968.5)</f>
        <v>2450968.5</v>
      </c>
      <c r="E90" s="7">
        <f>IFERROR(__xludf.DUMMYFUNCTION("""COMPUTED_VALUE"""),1980824.9889999998)</f>
        <v>1980824.989</v>
      </c>
      <c r="F90" s="8">
        <v>188174.3243923077</v>
      </c>
      <c r="G90" s="18">
        <f t="shared" si="1"/>
        <v>19</v>
      </c>
      <c r="H90" s="19">
        <f t="shared" si="2"/>
        <v>23.73473243</v>
      </c>
      <c r="I90" s="19">
        <f t="shared" si="3"/>
        <v>0.07677549687</v>
      </c>
    </row>
    <row r="91">
      <c r="A91" s="9">
        <f>IFERROR(__xludf.DUMMYFUNCTION("""COMPUTED_VALUE"""),43950.0)</f>
        <v>43950</v>
      </c>
      <c r="B91" s="10" t="str">
        <f>IFERROR(__xludf.DUMMYFUNCTION("""COMPUTED_VALUE"""),"Нижний Новгород")</f>
        <v>Нижний Новгород</v>
      </c>
      <c r="C91" s="10">
        <f>IFERROR(__xludf.DUMMYFUNCTION("""COMPUTED_VALUE"""),25917.0)</f>
        <v>25917</v>
      </c>
      <c r="D91" s="10">
        <f>IFERROR(__xludf.DUMMYFUNCTION("""COMPUTED_VALUE"""),2397588.0)</f>
        <v>2397588</v>
      </c>
      <c r="E91" s="10">
        <f>IFERROR(__xludf.DUMMYFUNCTION("""COMPUTED_VALUE"""),1937222.0459999999)</f>
        <v>1937222.046</v>
      </c>
      <c r="F91" s="11">
        <v>159472.57584615384</v>
      </c>
      <c r="G91" s="18">
        <f t="shared" si="1"/>
        <v>18</v>
      </c>
      <c r="H91" s="19">
        <f t="shared" si="2"/>
        <v>23.76423265</v>
      </c>
      <c r="I91" s="19">
        <f t="shared" si="3"/>
        <v>0.06651375292</v>
      </c>
    </row>
    <row r="92">
      <c r="A92" s="6">
        <f>IFERROR(__xludf.DUMMYFUNCTION("""COMPUTED_VALUE"""),43953.0)</f>
        <v>43953</v>
      </c>
      <c r="B92" s="7" t="str">
        <f>IFERROR(__xludf.DUMMYFUNCTION("""COMPUTED_VALUE"""),"Нижний Новгород")</f>
        <v>Нижний Новгород</v>
      </c>
      <c r="C92" s="7">
        <f>IFERROR(__xludf.DUMMYFUNCTION("""COMPUTED_VALUE"""),19461.0)</f>
        <v>19461</v>
      </c>
      <c r="D92" s="7">
        <f>IFERROR(__xludf.DUMMYFUNCTION("""COMPUTED_VALUE"""),1799230.5)</f>
        <v>1799230.5</v>
      </c>
      <c r="E92" s="7">
        <f>IFERROR(__xludf.DUMMYFUNCTION("""COMPUTED_VALUE"""),1457108.1479999998)</f>
        <v>1457108.148</v>
      </c>
      <c r="F92" s="8">
        <v>183829.81409230767</v>
      </c>
      <c r="G92" s="18">
        <f t="shared" si="1"/>
        <v>18</v>
      </c>
      <c r="H92" s="19">
        <f t="shared" si="2"/>
        <v>23.47954422</v>
      </c>
      <c r="I92" s="19">
        <f t="shared" si="3"/>
        <v>0.1021713527</v>
      </c>
    </row>
    <row r="93">
      <c r="A93" s="9">
        <f>IFERROR(__xludf.DUMMYFUNCTION("""COMPUTED_VALUE"""),43977.0)</f>
        <v>43977</v>
      </c>
      <c r="B93" s="10" t="str">
        <f>IFERROR(__xludf.DUMMYFUNCTION("""COMPUTED_VALUE"""),"Нижний Новгород")</f>
        <v>Нижний Новгород</v>
      </c>
      <c r="C93" s="10">
        <f>IFERROR(__xludf.DUMMYFUNCTION("""COMPUTED_VALUE"""),31407.0)</f>
        <v>31407</v>
      </c>
      <c r="D93" s="10">
        <f>IFERROR(__xludf.DUMMYFUNCTION("""COMPUTED_VALUE"""),2907411.0)</f>
        <v>2907411</v>
      </c>
      <c r="E93" s="10">
        <f>IFERROR(__xludf.DUMMYFUNCTION("""COMPUTED_VALUE"""),2288433.495)</f>
        <v>2288433.495</v>
      </c>
      <c r="F93" s="11">
        <v>193538.8704076923</v>
      </c>
      <c r="G93" s="18">
        <f t="shared" si="1"/>
        <v>22</v>
      </c>
      <c r="H93" s="19">
        <f t="shared" si="2"/>
        <v>27.04808798</v>
      </c>
      <c r="I93" s="19">
        <f t="shared" si="3"/>
        <v>0.06656742731</v>
      </c>
    </row>
    <row r="94">
      <c r="A94" s="6">
        <f>IFERROR(__xludf.DUMMYFUNCTION("""COMPUTED_VALUE"""),43952.0)</f>
        <v>43952</v>
      </c>
      <c r="B94" s="7" t="str">
        <f>IFERROR(__xludf.DUMMYFUNCTION("""COMPUTED_VALUE"""),"Нижний Новгород")</f>
        <v>Нижний Новгород</v>
      </c>
      <c r="C94" s="7">
        <f>IFERROR(__xludf.DUMMYFUNCTION("""COMPUTED_VALUE"""),25792.5)</f>
        <v>25792.5</v>
      </c>
      <c r="D94" s="7">
        <f>IFERROR(__xludf.DUMMYFUNCTION("""COMPUTED_VALUE"""),2374356.0)</f>
        <v>2374356</v>
      </c>
      <c r="E94" s="7">
        <f>IFERROR(__xludf.DUMMYFUNCTION("""COMPUTED_VALUE"""),1915101.034)</f>
        <v>1915101.034</v>
      </c>
      <c r="F94" s="8">
        <v>277477.3193230769</v>
      </c>
      <c r="G94" s="18">
        <f t="shared" si="1"/>
        <v>18</v>
      </c>
      <c r="H94" s="19">
        <f t="shared" si="2"/>
        <v>23.98071735</v>
      </c>
      <c r="I94" s="19">
        <f t="shared" si="3"/>
        <v>0.1168642442</v>
      </c>
    </row>
    <row r="95">
      <c r="A95" s="9">
        <f>IFERROR(__xludf.DUMMYFUNCTION("""COMPUTED_VALUE"""),43963.0)</f>
        <v>43963</v>
      </c>
      <c r="B95" s="10" t="str">
        <f>IFERROR(__xludf.DUMMYFUNCTION("""COMPUTED_VALUE"""),"Нижний Новгород")</f>
        <v>Нижний Новгород</v>
      </c>
      <c r="C95" s="10">
        <f>IFERROR(__xludf.DUMMYFUNCTION("""COMPUTED_VALUE"""),26032.5)</f>
        <v>26032.5</v>
      </c>
      <c r="D95" s="10">
        <f>IFERROR(__xludf.DUMMYFUNCTION("""COMPUTED_VALUE"""),2370432.0)</f>
        <v>2370432</v>
      </c>
      <c r="E95" s="10">
        <f>IFERROR(__xludf.DUMMYFUNCTION("""COMPUTED_VALUE"""),1847737.837)</f>
        <v>1847737.837</v>
      </c>
      <c r="F95" s="11">
        <v>141864.00329999998</v>
      </c>
      <c r="G95" s="18">
        <f t="shared" si="1"/>
        <v>20</v>
      </c>
      <c r="H95" s="19">
        <f t="shared" si="2"/>
        <v>28.28832925</v>
      </c>
      <c r="I95" s="19">
        <f t="shared" si="3"/>
        <v>0.05984732036</v>
      </c>
    </row>
    <row r="96">
      <c r="A96" s="6">
        <f>IFERROR(__xludf.DUMMYFUNCTION("""COMPUTED_VALUE"""),43972.0)</f>
        <v>43972</v>
      </c>
      <c r="B96" s="7" t="str">
        <f>IFERROR(__xludf.DUMMYFUNCTION("""COMPUTED_VALUE"""),"Нижний Новгород")</f>
        <v>Нижний Новгород</v>
      </c>
      <c r="C96" s="7">
        <f>IFERROR(__xludf.DUMMYFUNCTION("""COMPUTED_VALUE"""),31707.0)</f>
        <v>31707</v>
      </c>
      <c r="D96" s="7">
        <f>IFERROR(__xludf.DUMMYFUNCTION("""COMPUTED_VALUE"""),2853181.5)</f>
        <v>2853181.5</v>
      </c>
      <c r="E96" s="7">
        <f>IFERROR(__xludf.DUMMYFUNCTION("""COMPUTED_VALUE"""),2349459.5)</f>
        <v>2349459.5</v>
      </c>
      <c r="F96" s="8">
        <v>187617.05315384615</v>
      </c>
      <c r="G96" s="18">
        <f t="shared" si="1"/>
        <v>21</v>
      </c>
      <c r="H96" s="19">
        <f t="shared" si="2"/>
        <v>21.4399099</v>
      </c>
      <c r="I96" s="19">
        <f t="shared" si="3"/>
        <v>0.06575713923</v>
      </c>
    </row>
    <row r="97">
      <c r="A97" s="9">
        <f>IFERROR(__xludf.DUMMYFUNCTION("""COMPUTED_VALUE"""),43971.0)</f>
        <v>43971</v>
      </c>
      <c r="B97" s="10" t="str">
        <f>IFERROR(__xludf.DUMMYFUNCTION("""COMPUTED_VALUE"""),"Нижний Новгород")</f>
        <v>Нижний Новгород</v>
      </c>
      <c r="C97" s="10">
        <f>IFERROR(__xludf.DUMMYFUNCTION("""COMPUTED_VALUE"""),29955.0)</f>
        <v>29955</v>
      </c>
      <c r="D97" s="10">
        <f>IFERROR(__xludf.DUMMYFUNCTION("""COMPUTED_VALUE"""),2692230.0)</f>
        <v>2692230</v>
      </c>
      <c r="E97" s="10">
        <f>IFERROR(__xludf.DUMMYFUNCTION("""COMPUTED_VALUE"""),2195766.121)</f>
        <v>2195766.121</v>
      </c>
      <c r="F97" s="11">
        <v>202002.14775384613</v>
      </c>
      <c r="G97" s="18">
        <f t="shared" si="1"/>
        <v>21</v>
      </c>
      <c r="H97" s="19">
        <f t="shared" si="2"/>
        <v>22.61005279</v>
      </c>
      <c r="I97" s="19">
        <f t="shared" si="3"/>
        <v>0.07503153436</v>
      </c>
    </row>
    <row r="98">
      <c r="A98" s="6">
        <f>IFERROR(__xludf.DUMMYFUNCTION("""COMPUTED_VALUE"""),43956.0)</f>
        <v>43956</v>
      </c>
      <c r="B98" s="7" t="str">
        <f>IFERROR(__xludf.DUMMYFUNCTION("""COMPUTED_VALUE"""),"Нижний Новгород")</f>
        <v>Нижний Новгород</v>
      </c>
      <c r="C98" s="7">
        <f>IFERROR(__xludf.DUMMYFUNCTION("""COMPUTED_VALUE"""),22848.0)</f>
        <v>22848</v>
      </c>
      <c r="D98" s="7">
        <f>IFERROR(__xludf.DUMMYFUNCTION("""COMPUTED_VALUE"""),2079900.0)</f>
        <v>2079900</v>
      </c>
      <c r="E98" s="7">
        <f>IFERROR(__xludf.DUMMYFUNCTION("""COMPUTED_VALUE"""),1657688.853)</f>
        <v>1657688.853</v>
      </c>
      <c r="F98" s="8">
        <v>178454.88537692308</v>
      </c>
      <c r="G98" s="18">
        <f t="shared" si="1"/>
        <v>19</v>
      </c>
      <c r="H98" s="19">
        <f t="shared" si="2"/>
        <v>25.46986705</v>
      </c>
      <c r="I98" s="19">
        <f t="shared" si="3"/>
        <v>0.08579974296</v>
      </c>
    </row>
    <row r="99">
      <c r="A99" s="9">
        <f>IFERROR(__xludf.DUMMYFUNCTION("""COMPUTED_VALUE"""),43949.0)</f>
        <v>43949</v>
      </c>
      <c r="B99" s="10" t="str">
        <f>IFERROR(__xludf.DUMMYFUNCTION("""COMPUTED_VALUE"""),"Нижний Новгород")</f>
        <v>Нижний Новгород</v>
      </c>
      <c r="C99" s="10">
        <f>IFERROR(__xludf.DUMMYFUNCTION("""COMPUTED_VALUE"""),23314.5)</f>
        <v>23314.5</v>
      </c>
      <c r="D99" s="10">
        <f>IFERROR(__xludf.DUMMYFUNCTION("""COMPUTED_VALUE"""),2136817.5)</f>
        <v>2136817.5</v>
      </c>
      <c r="E99" s="10">
        <f>IFERROR(__xludf.DUMMYFUNCTION("""COMPUTED_VALUE"""),1701780.478)</f>
        <v>1701780.478</v>
      </c>
      <c r="F99" s="11">
        <v>141999.40078461537</v>
      </c>
      <c r="G99" s="18">
        <f t="shared" si="1"/>
        <v>18</v>
      </c>
      <c r="H99" s="19">
        <f t="shared" si="2"/>
        <v>25.56363924</v>
      </c>
      <c r="I99" s="19">
        <f t="shared" si="3"/>
        <v>0.06645368675</v>
      </c>
    </row>
    <row r="100">
      <c r="A100" s="6">
        <f>IFERROR(__xludf.DUMMYFUNCTION("""COMPUTED_VALUE"""),43964.0)</f>
        <v>43964</v>
      </c>
      <c r="B100" s="7" t="str">
        <f>IFERROR(__xludf.DUMMYFUNCTION("""COMPUTED_VALUE"""),"Нижний Новгород")</f>
        <v>Нижний Новгород</v>
      </c>
      <c r="C100" s="7">
        <f>IFERROR(__xludf.DUMMYFUNCTION("""COMPUTED_VALUE"""),26464.5)</f>
        <v>26464.5</v>
      </c>
      <c r="D100" s="7">
        <f>IFERROR(__xludf.DUMMYFUNCTION("""COMPUTED_VALUE"""),2373337.5)</f>
        <v>2373337.5</v>
      </c>
      <c r="E100" s="7">
        <f>IFERROR(__xludf.DUMMYFUNCTION("""COMPUTED_VALUE"""),1886244.741)</f>
        <v>1886244.741</v>
      </c>
      <c r="F100" s="8">
        <v>207105.15935384613</v>
      </c>
      <c r="G100" s="18">
        <f t="shared" si="1"/>
        <v>20</v>
      </c>
      <c r="H100" s="19">
        <f t="shared" si="2"/>
        <v>25.82341243</v>
      </c>
      <c r="I100" s="19">
        <f t="shared" si="3"/>
        <v>0.08726325664</v>
      </c>
    </row>
    <row r="101">
      <c r="A101" s="9">
        <f>IFERROR(__xludf.DUMMYFUNCTION("""COMPUTED_VALUE"""),43954.0)</f>
        <v>43954</v>
      </c>
      <c r="B101" s="10" t="str">
        <f>IFERROR(__xludf.DUMMYFUNCTION("""COMPUTED_VALUE"""),"Нижний Новгород")</f>
        <v>Нижний Новгород</v>
      </c>
      <c r="C101" s="10">
        <f>IFERROR(__xludf.DUMMYFUNCTION("""COMPUTED_VALUE"""),23539.5)</f>
        <v>23539.5</v>
      </c>
      <c r="D101" s="10">
        <f>IFERROR(__xludf.DUMMYFUNCTION("""COMPUTED_VALUE"""),2170309.5)</f>
        <v>2170309.5</v>
      </c>
      <c r="E101" s="10">
        <f>IFERROR(__xludf.DUMMYFUNCTION("""COMPUTED_VALUE"""),1735984.614)</f>
        <v>1735984.614</v>
      </c>
      <c r="F101" s="11">
        <v>170377.8575384615</v>
      </c>
      <c r="G101" s="18">
        <f t="shared" si="1"/>
        <v>18</v>
      </c>
      <c r="H101" s="19">
        <f t="shared" si="2"/>
        <v>25.01893637</v>
      </c>
      <c r="I101" s="19">
        <f t="shared" si="3"/>
        <v>0.07850394496</v>
      </c>
    </row>
    <row r="102">
      <c r="A102" s="6">
        <f>IFERROR(__xludf.DUMMYFUNCTION("""COMPUTED_VALUE"""),43957.0)</f>
        <v>43957</v>
      </c>
      <c r="B102" s="7" t="str">
        <f>IFERROR(__xludf.DUMMYFUNCTION("""COMPUTED_VALUE"""),"Нижний Новгород")</f>
        <v>Нижний Новгород</v>
      </c>
      <c r="C102" s="7">
        <f>IFERROR(__xludf.DUMMYFUNCTION("""COMPUTED_VALUE"""),24678.0)</f>
        <v>24678</v>
      </c>
      <c r="D102" s="7">
        <f>IFERROR(__xludf.DUMMYFUNCTION("""COMPUTED_VALUE"""),2232519.0)</f>
        <v>2232519</v>
      </c>
      <c r="E102" s="7">
        <f>IFERROR(__xludf.DUMMYFUNCTION("""COMPUTED_VALUE"""),1781999.058)</f>
        <v>1781999.058</v>
      </c>
      <c r="F102" s="8">
        <v>359577.9060076923</v>
      </c>
      <c r="G102" s="18">
        <f t="shared" si="1"/>
        <v>19</v>
      </c>
      <c r="H102" s="19">
        <f t="shared" si="2"/>
        <v>25.28171606</v>
      </c>
      <c r="I102" s="19">
        <f t="shared" si="3"/>
        <v>0.1610637607</v>
      </c>
    </row>
    <row r="103">
      <c r="A103" s="9">
        <f>IFERROR(__xludf.DUMMYFUNCTION("""COMPUTED_VALUE"""),43974.0)</f>
        <v>43974</v>
      </c>
      <c r="B103" s="10" t="str">
        <f>IFERROR(__xludf.DUMMYFUNCTION("""COMPUTED_VALUE"""),"Нижний Новгород")</f>
        <v>Нижний Новгород</v>
      </c>
      <c r="C103" s="10">
        <f>IFERROR(__xludf.DUMMYFUNCTION("""COMPUTED_VALUE"""),38176.5)</f>
        <v>38176.5</v>
      </c>
      <c r="D103" s="10">
        <f>IFERROR(__xludf.DUMMYFUNCTION("""COMPUTED_VALUE"""),3385372.5)</f>
        <v>3385372.5</v>
      </c>
      <c r="E103" s="10">
        <f>IFERROR(__xludf.DUMMYFUNCTION("""COMPUTED_VALUE"""),2831498.2739999997)</f>
        <v>2831498.274</v>
      </c>
      <c r="F103" s="11">
        <v>146460.30097692306</v>
      </c>
      <c r="G103" s="18">
        <f t="shared" si="1"/>
        <v>21</v>
      </c>
      <c r="H103" s="19">
        <f t="shared" si="2"/>
        <v>19.56117124</v>
      </c>
      <c r="I103" s="19">
        <f t="shared" si="3"/>
        <v>0.04326268408</v>
      </c>
    </row>
    <row r="104">
      <c r="A104" s="6">
        <f>IFERROR(__xludf.DUMMYFUNCTION("""COMPUTED_VALUE"""),43976.0)</f>
        <v>43976</v>
      </c>
      <c r="B104" s="7" t="str">
        <f>IFERROR(__xludf.DUMMYFUNCTION("""COMPUTED_VALUE"""),"Нижний Новгород")</f>
        <v>Нижний Новгород</v>
      </c>
      <c r="C104" s="7">
        <f>IFERROR(__xludf.DUMMYFUNCTION("""COMPUTED_VALUE"""),30603.0)</f>
        <v>30603</v>
      </c>
      <c r="D104" s="7">
        <f>IFERROR(__xludf.DUMMYFUNCTION("""COMPUTED_VALUE"""),2865727.5)</f>
        <v>2865727.5</v>
      </c>
      <c r="E104" s="7">
        <f>IFERROR(__xludf.DUMMYFUNCTION("""COMPUTED_VALUE"""),2288224.429)</f>
        <v>2288224.429</v>
      </c>
      <c r="F104" s="8">
        <v>167381.28187692308</v>
      </c>
      <c r="G104" s="18">
        <f t="shared" si="1"/>
        <v>22</v>
      </c>
      <c r="H104" s="19">
        <f t="shared" si="2"/>
        <v>25.23804325</v>
      </c>
      <c r="I104" s="19">
        <f t="shared" si="3"/>
        <v>0.05840795466</v>
      </c>
    </row>
    <row r="105">
      <c r="A105" s="9">
        <f>IFERROR(__xludf.DUMMYFUNCTION("""COMPUTED_VALUE"""),43951.0)</f>
        <v>43951</v>
      </c>
      <c r="B105" s="10" t="str">
        <f>IFERROR(__xludf.DUMMYFUNCTION("""COMPUTED_VALUE"""),"Нижний Новгород")</f>
        <v>Нижний Новгород</v>
      </c>
      <c r="C105" s="10">
        <f>IFERROR(__xludf.DUMMYFUNCTION("""COMPUTED_VALUE"""),24211.5)</f>
        <v>24211.5</v>
      </c>
      <c r="D105" s="10">
        <f>IFERROR(__xludf.DUMMYFUNCTION("""COMPUTED_VALUE"""),2267664.0)</f>
        <v>2267664</v>
      </c>
      <c r="E105" s="10">
        <f>IFERROR(__xludf.DUMMYFUNCTION("""COMPUTED_VALUE"""),1801564.392)</f>
        <v>1801564.392</v>
      </c>
      <c r="F105" s="11">
        <v>97090.63692307692</v>
      </c>
      <c r="G105" s="18">
        <f t="shared" si="1"/>
        <v>18</v>
      </c>
      <c r="H105" s="19">
        <f t="shared" si="2"/>
        <v>25.87193719</v>
      </c>
      <c r="I105" s="19">
        <f t="shared" si="3"/>
        <v>0.04281526581</v>
      </c>
    </row>
    <row r="106">
      <c r="A106" s="6">
        <f>IFERROR(__xludf.DUMMYFUNCTION("""COMPUTED_VALUE"""),43961.0)</f>
        <v>43961</v>
      </c>
      <c r="B106" s="7" t="str">
        <f>IFERROR(__xludf.DUMMYFUNCTION("""COMPUTED_VALUE"""),"Нижний Новгород")</f>
        <v>Нижний Новгород</v>
      </c>
      <c r="C106" s="7">
        <f>IFERROR(__xludf.DUMMYFUNCTION("""COMPUTED_VALUE"""),31399.5)</f>
        <v>31399.5</v>
      </c>
      <c r="D106" s="7">
        <f>IFERROR(__xludf.DUMMYFUNCTION("""COMPUTED_VALUE"""),2862298.5)</f>
        <v>2862298.5</v>
      </c>
      <c r="E106" s="7">
        <f>IFERROR(__xludf.DUMMYFUNCTION("""COMPUTED_VALUE"""),2267667.519)</f>
        <v>2267667.519</v>
      </c>
      <c r="F106" s="8">
        <v>169650.86923076923</v>
      </c>
      <c r="G106" s="18">
        <f t="shared" si="1"/>
        <v>19</v>
      </c>
      <c r="H106" s="19">
        <f t="shared" si="2"/>
        <v>26.2221413</v>
      </c>
      <c r="I106" s="19">
        <f t="shared" si="3"/>
        <v>0.05927085146</v>
      </c>
    </row>
    <row r="107">
      <c r="A107" s="9">
        <f>IFERROR(__xludf.DUMMYFUNCTION("""COMPUTED_VALUE"""),43959.0)</f>
        <v>43959</v>
      </c>
      <c r="B107" s="10" t="str">
        <f>IFERROR(__xludf.DUMMYFUNCTION("""COMPUTED_VALUE"""),"Нижний Новгород")</f>
        <v>Нижний Новгород</v>
      </c>
      <c r="C107" s="10">
        <f>IFERROR(__xludf.DUMMYFUNCTION("""COMPUTED_VALUE"""),25294.5)</f>
        <v>25294.5</v>
      </c>
      <c r="D107" s="10">
        <f>IFERROR(__xludf.DUMMYFUNCTION("""COMPUTED_VALUE"""),2271454.5)</f>
        <v>2271454.5</v>
      </c>
      <c r="E107" s="10">
        <f>IFERROR(__xludf.DUMMYFUNCTION("""COMPUTED_VALUE"""),1811009.8979999998)</f>
        <v>1811009.898</v>
      </c>
      <c r="F107" s="11">
        <v>151659.17713846153</v>
      </c>
      <c r="G107" s="18">
        <f t="shared" si="1"/>
        <v>19</v>
      </c>
      <c r="H107" s="19">
        <f t="shared" si="2"/>
        <v>25.42474243</v>
      </c>
      <c r="I107" s="19">
        <f t="shared" si="3"/>
        <v>0.06676742904</v>
      </c>
    </row>
    <row r="108">
      <c r="A108" s="6">
        <f>IFERROR(__xludf.DUMMYFUNCTION("""COMPUTED_VALUE"""),43958.0)</f>
        <v>43958</v>
      </c>
      <c r="B108" s="7" t="str">
        <f>IFERROR(__xludf.DUMMYFUNCTION("""COMPUTED_VALUE"""),"Нижний Новгород")</f>
        <v>Нижний Новгород</v>
      </c>
      <c r="C108" s="7">
        <f>IFERROR(__xludf.DUMMYFUNCTION("""COMPUTED_VALUE"""),25468.5)</f>
        <v>25468.5</v>
      </c>
      <c r="D108" s="7">
        <f>IFERROR(__xludf.DUMMYFUNCTION("""COMPUTED_VALUE"""),2350672.5)</f>
        <v>2350672.5</v>
      </c>
      <c r="E108" s="7">
        <f>IFERROR(__xludf.DUMMYFUNCTION("""COMPUTED_VALUE"""),1875294.65)</f>
        <v>1875294.65</v>
      </c>
      <c r="F108" s="8">
        <v>221739.45623076922</v>
      </c>
      <c r="G108" s="18">
        <f t="shared" si="1"/>
        <v>19</v>
      </c>
      <c r="H108" s="19">
        <f t="shared" si="2"/>
        <v>25.34950174</v>
      </c>
      <c r="I108" s="19">
        <f t="shared" si="3"/>
        <v>0.09433022092</v>
      </c>
    </row>
    <row r="109">
      <c r="A109" s="9">
        <f>IFERROR(__xludf.DUMMYFUNCTION("""COMPUTED_VALUE"""),43975.0)</f>
        <v>43975</v>
      </c>
      <c r="B109" s="10" t="str">
        <f>IFERROR(__xludf.DUMMYFUNCTION("""COMPUTED_VALUE"""),"Нижний Новгород")</f>
        <v>Нижний Новгород</v>
      </c>
      <c r="C109" s="10">
        <f>IFERROR(__xludf.DUMMYFUNCTION("""COMPUTED_VALUE"""),31854.0)</f>
        <v>31854</v>
      </c>
      <c r="D109" s="10">
        <f>IFERROR(__xludf.DUMMYFUNCTION("""COMPUTED_VALUE"""),2915533.5)</f>
        <v>2915533.5</v>
      </c>
      <c r="E109" s="10">
        <f>IFERROR(__xludf.DUMMYFUNCTION("""COMPUTED_VALUE"""),2431800.394)</f>
        <v>2431800.394</v>
      </c>
      <c r="F109" s="11">
        <v>155421.87692307692</v>
      </c>
      <c r="G109" s="18">
        <f t="shared" si="1"/>
        <v>21</v>
      </c>
      <c r="H109" s="19">
        <f t="shared" si="2"/>
        <v>19.89197416</v>
      </c>
      <c r="I109" s="19">
        <f t="shared" si="3"/>
        <v>0.05330821166</v>
      </c>
    </row>
    <row r="110">
      <c r="A110" s="6">
        <f>IFERROR(__xludf.DUMMYFUNCTION("""COMPUTED_VALUE"""),43982.0)</f>
        <v>43982</v>
      </c>
      <c r="B110" s="7" t="str">
        <f>IFERROR(__xludf.DUMMYFUNCTION("""COMPUTED_VALUE"""),"Нижний Новгород")</f>
        <v>Нижний Новгород</v>
      </c>
      <c r="C110" s="7">
        <f>IFERROR(__xludf.DUMMYFUNCTION("""COMPUTED_VALUE"""),32359.5)</f>
        <v>32359.5</v>
      </c>
      <c r="D110" s="7">
        <f>IFERROR(__xludf.DUMMYFUNCTION("""COMPUTED_VALUE"""),2991999.0)</f>
        <v>2991999</v>
      </c>
      <c r="E110" s="7">
        <f>IFERROR(__xludf.DUMMYFUNCTION("""COMPUTED_VALUE"""),2374135.6799999997)</f>
        <v>2374135.68</v>
      </c>
      <c r="F110" s="8">
        <v>106116.64615384616</v>
      </c>
      <c r="G110" s="18">
        <f t="shared" si="1"/>
        <v>22</v>
      </c>
      <c r="H110" s="19">
        <f t="shared" si="2"/>
        <v>26.02476873</v>
      </c>
      <c r="I110" s="19">
        <f t="shared" si="3"/>
        <v>0.03546680535</v>
      </c>
    </row>
    <row r="111">
      <c r="A111" s="9">
        <f>IFERROR(__xludf.DUMMYFUNCTION("""COMPUTED_VALUE"""),43981.0)</f>
        <v>43981</v>
      </c>
      <c r="B111" s="10" t="str">
        <f>IFERROR(__xludf.DUMMYFUNCTION("""COMPUTED_VALUE"""),"Нижний Новгород")</f>
        <v>Нижний Новгород</v>
      </c>
      <c r="C111" s="10">
        <f>IFERROR(__xludf.DUMMYFUNCTION("""COMPUTED_VALUE"""),39867.0)</f>
        <v>39867</v>
      </c>
      <c r="D111" s="10">
        <f>IFERROR(__xludf.DUMMYFUNCTION("""COMPUTED_VALUE"""),3654166.5)</f>
        <v>3654166.5</v>
      </c>
      <c r="E111" s="10">
        <f>IFERROR(__xludf.DUMMYFUNCTION("""COMPUTED_VALUE"""),2919786.295)</f>
        <v>2919786.295</v>
      </c>
      <c r="F111" s="11">
        <v>182639.11723076922</v>
      </c>
      <c r="G111" s="18">
        <f t="shared" si="1"/>
        <v>22</v>
      </c>
      <c r="H111" s="19">
        <f t="shared" si="2"/>
        <v>25.1518478</v>
      </c>
      <c r="I111" s="19">
        <f t="shared" si="3"/>
        <v>0.04998106059</v>
      </c>
    </row>
    <row r="112">
      <c r="A112" s="6">
        <f>IFERROR(__xludf.DUMMYFUNCTION("""COMPUTED_VALUE"""),43979.0)</f>
        <v>43979</v>
      </c>
      <c r="B112" s="7" t="str">
        <f>IFERROR(__xludf.DUMMYFUNCTION("""COMPUTED_VALUE"""),"Нижний Новгород")</f>
        <v>Нижний Новгород</v>
      </c>
      <c r="C112" s="7">
        <f>IFERROR(__xludf.DUMMYFUNCTION("""COMPUTED_VALUE"""),31974.0)</f>
        <v>31974</v>
      </c>
      <c r="D112" s="7">
        <f>IFERROR(__xludf.DUMMYFUNCTION("""COMPUTED_VALUE"""),3004213.5)</f>
        <v>3004213.5</v>
      </c>
      <c r="E112" s="7">
        <f>IFERROR(__xludf.DUMMYFUNCTION("""COMPUTED_VALUE"""),2389834.3129999996)</f>
        <v>2389834.313</v>
      </c>
      <c r="F112" s="8">
        <v>174780.66518461538</v>
      </c>
      <c r="G112" s="18">
        <f t="shared" si="1"/>
        <v>22</v>
      </c>
      <c r="H112" s="19">
        <f t="shared" si="2"/>
        <v>25.70802435</v>
      </c>
      <c r="I112" s="19">
        <f t="shared" si="3"/>
        <v>0.05817851001</v>
      </c>
    </row>
    <row r="113">
      <c r="A113" s="9">
        <f>IFERROR(__xludf.DUMMYFUNCTION("""COMPUTED_VALUE"""),43967.0)</f>
        <v>43967</v>
      </c>
      <c r="B113" s="10" t="str">
        <f>IFERROR(__xludf.DUMMYFUNCTION("""COMPUTED_VALUE"""),"Санкт-Петербург Юг")</f>
        <v>Санкт-Петербург Юг</v>
      </c>
      <c r="C113" s="10">
        <f>IFERROR(__xludf.DUMMYFUNCTION("""COMPUTED_VALUE"""),321412.5)</f>
        <v>321412.5</v>
      </c>
      <c r="D113" s="10">
        <f>IFERROR(__xludf.DUMMYFUNCTION("""COMPUTED_VALUE"""),3.2235864E7)</f>
        <v>32235864</v>
      </c>
      <c r="E113" s="10">
        <f>IFERROR(__xludf.DUMMYFUNCTION("""COMPUTED_VALUE"""),2.3691368555E7)</f>
        <v>23691368.56</v>
      </c>
      <c r="F113" s="11">
        <v>595097.1592923077</v>
      </c>
      <c r="G113" s="18">
        <f t="shared" si="1"/>
        <v>20</v>
      </c>
      <c r="H113" s="19">
        <f t="shared" si="2"/>
        <v>36.06585844</v>
      </c>
      <c r="I113" s="19">
        <f t="shared" si="3"/>
        <v>0.0184607169</v>
      </c>
    </row>
    <row r="114">
      <c r="A114" s="6">
        <f>IFERROR(__xludf.DUMMYFUNCTION("""COMPUTED_VALUE"""),43970.0)</f>
        <v>43970</v>
      </c>
      <c r="B114" s="7" t="str">
        <f>IFERROR(__xludf.DUMMYFUNCTION("""COMPUTED_VALUE"""),"Санкт-Петербург Юг")</f>
        <v>Санкт-Петербург Юг</v>
      </c>
      <c r="C114" s="7">
        <f>IFERROR(__xludf.DUMMYFUNCTION("""COMPUTED_VALUE"""),276568.5)</f>
        <v>276568.5</v>
      </c>
      <c r="D114" s="7">
        <f>IFERROR(__xludf.DUMMYFUNCTION("""COMPUTED_VALUE"""),2.7093624E7)</f>
        <v>27093624</v>
      </c>
      <c r="E114" s="7">
        <f>IFERROR(__xludf.DUMMYFUNCTION("""COMPUTED_VALUE"""),1.97686965E7)</f>
        <v>19768696.5</v>
      </c>
      <c r="F114" s="8">
        <v>759335.8046923077</v>
      </c>
      <c r="G114" s="18">
        <f t="shared" si="1"/>
        <v>21</v>
      </c>
      <c r="H114" s="19">
        <f t="shared" si="2"/>
        <v>37.05316382</v>
      </c>
      <c r="I114" s="19">
        <f t="shared" si="3"/>
        <v>0.02802636534</v>
      </c>
    </row>
    <row r="115">
      <c r="A115" s="9">
        <f>IFERROR(__xludf.DUMMYFUNCTION("""COMPUTED_VALUE"""),43968.0)</f>
        <v>43968</v>
      </c>
      <c r="B115" s="10" t="str">
        <f>IFERROR(__xludf.DUMMYFUNCTION("""COMPUTED_VALUE"""),"Санкт-Петербург Юг")</f>
        <v>Санкт-Петербург Юг</v>
      </c>
      <c r="C115" s="10">
        <f>IFERROR(__xludf.DUMMYFUNCTION("""COMPUTED_VALUE"""),269029.5)</f>
        <v>269029.5</v>
      </c>
      <c r="D115" s="10">
        <f>IFERROR(__xludf.DUMMYFUNCTION("""COMPUTED_VALUE"""),2.66599305E7)</f>
        <v>26659930.5</v>
      </c>
      <c r="E115" s="10">
        <f>IFERROR(__xludf.DUMMYFUNCTION("""COMPUTED_VALUE"""),1.9515982116E7)</f>
        <v>19515982.12</v>
      </c>
      <c r="F115" s="11">
        <v>551393.4769230769</v>
      </c>
      <c r="G115" s="18">
        <f t="shared" si="1"/>
        <v>20</v>
      </c>
      <c r="H115" s="19">
        <f t="shared" si="2"/>
        <v>36.60563092</v>
      </c>
      <c r="I115" s="19">
        <f t="shared" si="3"/>
        <v>0.02068247991</v>
      </c>
    </row>
    <row r="116">
      <c r="A116" s="6">
        <f>IFERROR(__xludf.DUMMYFUNCTION("""COMPUTED_VALUE"""),43960.0)</f>
        <v>43960</v>
      </c>
      <c r="B116" s="7" t="str">
        <f>IFERROR(__xludf.DUMMYFUNCTION("""COMPUTED_VALUE"""),"Санкт-Петербург Юг")</f>
        <v>Санкт-Петербург Юг</v>
      </c>
      <c r="C116" s="7">
        <f>IFERROR(__xludf.DUMMYFUNCTION("""COMPUTED_VALUE"""),285972.0)</f>
        <v>285972</v>
      </c>
      <c r="D116" s="7">
        <f>IFERROR(__xludf.DUMMYFUNCTION("""COMPUTED_VALUE"""),2.9768199E7)</f>
        <v>29768199</v>
      </c>
      <c r="E116" s="7">
        <f>IFERROR(__xludf.DUMMYFUNCTION("""COMPUTED_VALUE"""),2.1483666921E7)</f>
        <v>21483666.92</v>
      </c>
      <c r="F116" s="8">
        <v>549316.9501538462</v>
      </c>
      <c r="G116" s="18">
        <f t="shared" si="1"/>
        <v>19</v>
      </c>
      <c r="H116" s="19">
        <f t="shared" si="2"/>
        <v>38.56200205</v>
      </c>
      <c r="I116" s="19">
        <f t="shared" si="3"/>
        <v>0.01845314694</v>
      </c>
    </row>
    <row r="117">
      <c r="A117" s="9">
        <f>IFERROR(__xludf.DUMMYFUNCTION("""COMPUTED_VALUE"""),43955.0)</f>
        <v>43955</v>
      </c>
      <c r="B117" s="10" t="str">
        <f>IFERROR(__xludf.DUMMYFUNCTION("""COMPUTED_VALUE"""),"Санкт-Петербург Юг")</f>
        <v>Санкт-Петербург Юг</v>
      </c>
      <c r="C117" s="10">
        <f>IFERROR(__xludf.DUMMYFUNCTION("""COMPUTED_VALUE"""),283942.5)</f>
        <v>283942.5</v>
      </c>
      <c r="D117" s="10">
        <f>IFERROR(__xludf.DUMMYFUNCTION("""COMPUTED_VALUE"""),2.935794E7)</f>
        <v>29357940</v>
      </c>
      <c r="E117" s="10">
        <f>IFERROR(__xludf.DUMMYFUNCTION("""COMPUTED_VALUE"""),2.1174604830000002E7)</f>
        <v>21174604.83</v>
      </c>
      <c r="F117" s="11">
        <v>988153.4080307692</v>
      </c>
      <c r="G117" s="18">
        <f t="shared" si="1"/>
        <v>19</v>
      </c>
      <c r="H117" s="19">
        <f t="shared" si="2"/>
        <v>38.64693219</v>
      </c>
      <c r="I117" s="19">
        <f t="shared" si="3"/>
        <v>0.03365881285</v>
      </c>
    </row>
    <row r="118">
      <c r="A118" s="6">
        <f>IFERROR(__xludf.DUMMYFUNCTION("""COMPUTED_VALUE"""),43950.0)</f>
        <v>43950</v>
      </c>
      <c r="B118" s="7" t="str">
        <f>IFERROR(__xludf.DUMMYFUNCTION("""COMPUTED_VALUE"""),"Санкт-Петербург Юг")</f>
        <v>Санкт-Петербург Юг</v>
      </c>
      <c r="C118" s="7">
        <f>IFERROR(__xludf.DUMMYFUNCTION("""COMPUTED_VALUE"""),298059.0)</f>
        <v>298059</v>
      </c>
      <c r="D118" s="7">
        <f>IFERROR(__xludf.DUMMYFUNCTION("""COMPUTED_VALUE"""),3.08692875E7)</f>
        <v>30869287.5</v>
      </c>
      <c r="E118" s="7">
        <f>IFERROR(__xludf.DUMMYFUNCTION("""COMPUTED_VALUE"""),2.2717731617999997E7)</f>
        <v>22717731.62</v>
      </c>
      <c r="F118" s="8">
        <v>661329.1783384614</v>
      </c>
      <c r="G118" s="18">
        <f t="shared" si="1"/>
        <v>18</v>
      </c>
      <c r="H118" s="19">
        <f t="shared" si="2"/>
        <v>35.88190942</v>
      </c>
      <c r="I118" s="19">
        <f t="shared" si="3"/>
        <v>0.02142353232</v>
      </c>
    </row>
    <row r="119">
      <c r="A119" s="9">
        <f>IFERROR(__xludf.DUMMYFUNCTION("""COMPUTED_VALUE"""),43953.0)</f>
        <v>43953</v>
      </c>
      <c r="B119" s="10" t="str">
        <f>IFERROR(__xludf.DUMMYFUNCTION("""COMPUTED_VALUE"""),"Санкт-Петербург Юг")</f>
        <v>Санкт-Петербург Юг</v>
      </c>
      <c r="C119" s="10">
        <f>IFERROR(__xludf.DUMMYFUNCTION("""COMPUTED_VALUE"""),232903.5)</f>
        <v>232903.5</v>
      </c>
      <c r="D119" s="10">
        <f>IFERROR(__xludf.DUMMYFUNCTION("""COMPUTED_VALUE"""),2.43420165E7)</f>
        <v>24342016.5</v>
      </c>
      <c r="E119" s="10">
        <f>IFERROR(__xludf.DUMMYFUNCTION("""COMPUTED_VALUE"""),1.7790852444E7)</f>
        <v>17790852.44</v>
      </c>
      <c r="F119" s="11">
        <v>634118.8692307692</v>
      </c>
      <c r="G119" s="18">
        <f t="shared" si="1"/>
        <v>18</v>
      </c>
      <c r="H119" s="19">
        <f t="shared" si="2"/>
        <v>36.82321618</v>
      </c>
      <c r="I119" s="19">
        <f t="shared" si="3"/>
        <v>0.02605038367</v>
      </c>
    </row>
    <row r="120">
      <c r="A120" s="6">
        <f>IFERROR(__xludf.DUMMYFUNCTION("""COMPUTED_VALUE"""),43977.0)</f>
        <v>43977</v>
      </c>
      <c r="B120" s="7" t="str">
        <f>IFERROR(__xludf.DUMMYFUNCTION("""COMPUTED_VALUE"""),"Санкт-Петербург Юг")</f>
        <v>Санкт-Петербург Юг</v>
      </c>
      <c r="C120" s="7">
        <f>IFERROR(__xludf.DUMMYFUNCTION("""COMPUTED_VALUE"""),276966.0)</f>
        <v>276966</v>
      </c>
      <c r="D120" s="7">
        <f>IFERROR(__xludf.DUMMYFUNCTION("""COMPUTED_VALUE"""),2.787261789885E7)</f>
        <v>27872617.9</v>
      </c>
      <c r="E120" s="7">
        <f>IFERROR(__xludf.DUMMYFUNCTION("""COMPUTED_VALUE"""),2.0223763805E7)</f>
        <v>20223763.81</v>
      </c>
      <c r="F120" s="8">
        <v>645572.5782615384</v>
      </c>
      <c r="G120" s="18">
        <f t="shared" si="1"/>
        <v>22</v>
      </c>
      <c r="H120" s="19">
        <f t="shared" si="2"/>
        <v>37.82112058</v>
      </c>
      <c r="I120" s="19">
        <f t="shared" si="3"/>
        <v>0.02316153368</v>
      </c>
    </row>
    <row r="121">
      <c r="A121" s="9">
        <f>IFERROR(__xludf.DUMMYFUNCTION("""COMPUTED_VALUE"""),43952.0)</f>
        <v>43952</v>
      </c>
      <c r="B121" s="10" t="str">
        <f>IFERROR(__xludf.DUMMYFUNCTION("""COMPUTED_VALUE"""),"Санкт-Петербург Юг")</f>
        <v>Санкт-Петербург Юг</v>
      </c>
      <c r="C121" s="10">
        <f>IFERROR(__xludf.DUMMYFUNCTION("""COMPUTED_VALUE"""),296149.5)</f>
        <v>296149.5</v>
      </c>
      <c r="D121" s="10">
        <f>IFERROR(__xludf.DUMMYFUNCTION("""COMPUTED_VALUE"""),3.10533165E7)</f>
        <v>31053316.5</v>
      </c>
      <c r="E121" s="10">
        <f>IFERROR(__xludf.DUMMYFUNCTION("""COMPUTED_VALUE"""),2.2737807547E7)</f>
        <v>22737807.55</v>
      </c>
      <c r="F121" s="11">
        <v>896375.1692307692</v>
      </c>
      <c r="G121" s="18">
        <f t="shared" si="1"/>
        <v>18</v>
      </c>
      <c r="H121" s="19">
        <f t="shared" si="2"/>
        <v>36.57128743</v>
      </c>
      <c r="I121" s="19">
        <f t="shared" si="3"/>
        <v>0.02886568233</v>
      </c>
    </row>
    <row r="122">
      <c r="A122" s="6">
        <f>IFERROR(__xludf.DUMMYFUNCTION("""COMPUTED_VALUE"""),43963.0)</f>
        <v>43963</v>
      </c>
      <c r="B122" s="7" t="str">
        <f>IFERROR(__xludf.DUMMYFUNCTION("""COMPUTED_VALUE"""),"Санкт-Петербург Юг")</f>
        <v>Санкт-Петербург Юг</v>
      </c>
      <c r="C122" s="7">
        <f>IFERROR(__xludf.DUMMYFUNCTION("""COMPUTED_VALUE"""),281796.0)</f>
        <v>281796</v>
      </c>
      <c r="D122" s="7">
        <f>IFERROR(__xludf.DUMMYFUNCTION("""COMPUTED_VALUE"""),2.904252E7)</f>
        <v>29042520</v>
      </c>
      <c r="E122" s="7">
        <f>IFERROR(__xludf.DUMMYFUNCTION("""COMPUTED_VALUE"""),2.0980503505E7)</f>
        <v>20980503.51</v>
      </c>
      <c r="F122" s="8">
        <v>776209.0316999999</v>
      </c>
      <c r="G122" s="18">
        <f t="shared" si="1"/>
        <v>20</v>
      </c>
      <c r="H122" s="19">
        <f t="shared" si="2"/>
        <v>38.42622982</v>
      </c>
      <c r="I122" s="19">
        <f t="shared" si="3"/>
        <v>0.02672664189</v>
      </c>
    </row>
    <row r="123">
      <c r="A123" s="9">
        <f>IFERROR(__xludf.DUMMYFUNCTION("""COMPUTED_VALUE"""),43972.0)</f>
        <v>43972</v>
      </c>
      <c r="B123" s="10" t="str">
        <f>IFERROR(__xludf.DUMMYFUNCTION("""COMPUTED_VALUE"""),"Санкт-Петербург Юг")</f>
        <v>Санкт-Петербург Юг</v>
      </c>
      <c r="C123" s="10">
        <f>IFERROR(__xludf.DUMMYFUNCTION("""COMPUTED_VALUE"""),288936.0)</f>
        <v>288936</v>
      </c>
      <c r="D123" s="10">
        <f>IFERROR(__xludf.DUMMYFUNCTION("""COMPUTED_VALUE"""),2.78529E7)</f>
        <v>27852900</v>
      </c>
      <c r="E123" s="10">
        <f>IFERROR(__xludf.DUMMYFUNCTION("""COMPUTED_VALUE"""),2.0824687999E7)</f>
        <v>20824688</v>
      </c>
      <c r="F123" s="11">
        <v>822353.4393615385</v>
      </c>
      <c r="G123" s="18">
        <f t="shared" si="1"/>
        <v>21</v>
      </c>
      <c r="H123" s="19">
        <f t="shared" si="2"/>
        <v>33.74942281</v>
      </c>
      <c r="I123" s="19">
        <f t="shared" si="3"/>
        <v>0.02952487674</v>
      </c>
    </row>
    <row r="124">
      <c r="A124" s="6">
        <f>IFERROR(__xludf.DUMMYFUNCTION("""COMPUTED_VALUE"""),43971.0)</f>
        <v>43971</v>
      </c>
      <c r="B124" s="7" t="str">
        <f>IFERROR(__xludf.DUMMYFUNCTION("""COMPUTED_VALUE"""),"Санкт-Петербург Юг")</f>
        <v>Санкт-Петербург Юг</v>
      </c>
      <c r="C124" s="7">
        <f>IFERROR(__xludf.DUMMYFUNCTION("""COMPUTED_VALUE"""),300151.5)</f>
        <v>300151.5</v>
      </c>
      <c r="D124" s="7">
        <f>IFERROR(__xludf.DUMMYFUNCTION("""COMPUTED_VALUE"""),2.936877161745E7)</f>
        <v>29368771.62</v>
      </c>
      <c r="E124" s="7">
        <f>IFERROR(__xludf.DUMMYFUNCTION("""COMPUTED_VALUE"""),2.1545834136E7)</f>
        <v>21545834.14</v>
      </c>
      <c r="F124" s="8">
        <v>1052145.9026769232</v>
      </c>
      <c r="G124" s="18">
        <f t="shared" si="1"/>
        <v>21</v>
      </c>
      <c r="H124" s="19">
        <f t="shared" si="2"/>
        <v>36.30835284</v>
      </c>
      <c r="I124" s="19">
        <f t="shared" si="3"/>
        <v>0.0358253289</v>
      </c>
    </row>
    <row r="125">
      <c r="A125" s="9">
        <f>IFERROR(__xludf.DUMMYFUNCTION("""COMPUTED_VALUE"""),43956.0)</f>
        <v>43956</v>
      </c>
      <c r="B125" s="10" t="str">
        <f>IFERROR(__xludf.DUMMYFUNCTION("""COMPUTED_VALUE"""),"Санкт-Петербург Юг")</f>
        <v>Санкт-Петербург Юг</v>
      </c>
      <c r="C125" s="10">
        <f>IFERROR(__xludf.DUMMYFUNCTION("""COMPUTED_VALUE"""),262734.0)</f>
        <v>262734</v>
      </c>
      <c r="D125" s="10">
        <f>IFERROR(__xludf.DUMMYFUNCTION("""COMPUTED_VALUE"""),2.7278441145E7)</f>
        <v>27278441.15</v>
      </c>
      <c r="E125" s="10">
        <f>IFERROR(__xludf.DUMMYFUNCTION("""COMPUTED_VALUE"""),1.9610637316999998E7)</f>
        <v>19610637.32</v>
      </c>
      <c r="F125" s="11">
        <v>919330.0461538462</v>
      </c>
      <c r="G125" s="18">
        <f t="shared" si="1"/>
        <v>19</v>
      </c>
      <c r="H125" s="19">
        <f t="shared" si="2"/>
        <v>39.10022762</v>
      </c>
      <c r="I125" s="19">
        <f t="shared" si="3"/>
        <v>0.03370170756</v>
      </c>
    </row>
    <row r="126">
      <c r="A126" s="6">
        <f>IFERROR(__xludf.DUMMYFUNCTION("""COMPUTED_VALUE"""),43949.0)</f>
        <v>43949</v>
      </c>
      <c r="B126" s="7" t="str">
        <f>IFERROR(__xludf.DUMMYFUNCTION("""COMPUTED_VALUE"""),"Санкт-Петербург Юг")</f>
        <v>Санкт-Петербург Юг</v>
      </c>
      <c r="C126" s="7">
        <f>IFERROR(__xludf.DUMMYFUNCTION("""COMPUTED_VALUE"""),286002.0)</f>
        <v>286002</v>
      </c>
      <c r="D126" s="7">
        <f>IFERROR(__xludf.DUMMYFUNCTION("""COMPUTED_VALUE"""),2.91590325E7)</f>
        <v>29159032.5</v>
      </c>
      <c r="E126" s="7">
        <f>IFERROR(__xludf.DUMMYFUNCTION("""COMPUTED_VALUE"""),2.1437602310000002E7)</f>
        <v>21437602.31</v>
      </c>
      <c r="F126" s="8">
        <v>637711.5937230769</v>
      </c>
      <c r="G126" s="18">
        <f t="shared" si="1"/>
        <v>18</v>
      </c>
      <c r="H126" s="19">
        <f t="shared" si="2"/>
        <v>36.01816135</v>
      </c>
      <c r="I126" s="19">
        <f t="shared" si="3"/>
        <v>0.02187012185</v>
      </c>
    </row>
    <row r="127">
      <c r="A127" s="9">
        <f>IFERROR(__xludf.DUMMYFUNCTION("""COMPUTED_VALUE"""),43964.0)</f>
        <v>43964</v>
      </c>
      <c r="B127" s="10" t="str">
        <f>IFERROR(__xludf.DUMMYFUNCTION("""COMPUTED_VALUE"""),"Санкт-Петербург Юг")</f>
        <v>Санкт-Петербург Юг</v>
      </c>
      <c r="C127" s="10">
        <f>IFERROR(__xludf.DUMMYFUNCTION("""COMPUTED_VALUE"""),258459.0)</f>
        <v>258459</v>
      </c>
      <c r="D127" s="10">
        <f>IFERROR(__xludf.DUMMYFUNCTION("""COMPUTED_VALUE"""),2.64674535E7)</f>
        <v>26467453.5</v>
      </c>
      <c r="E127" s="10">
        <f>IFERROR(__xludf.DUMMYFUNCTION("""COMPUTED_VALUE"""),1.9153152527E7)</f>
        <v>19153152.53</v>
      </c>
      <c r="F127" s="11">
        <v>636197.2334076923</v>
      </c>
      <c r="G127" s="18">
        <f t="shared" si="1"/>
        <v>20</v>
      </c>
      <c r="H127" s="19">
        <f t="shared" si="2"/>
        <v>38.18849645</v>
      </c>
      <c r="I127" s="19">
        <f t="shared" si="3"/>
        <v>0.02403696424</v>
      </c>
    </row>
    <row r="128">
      <c r="A128" s="6">
        <f>IFERROR(__xludf.DUMMYFUNCTION("""COMPUTED_VALUE"""),43954.0)</f>
        <v>43954</v>
      </c>
      <c r="B128" s="7" t="str">
        <f>IFERROR(__xludf.DUMMYFUNCTION("""COMPUTED_VALUE"""),"Санкт-Петербург Юг")</f>
        <v>Санкт-Петербург Юг</v>
      </c>
      <c r="C128" s="7">
        <f>IFERROR(__xludf.DUMMYFUNCTION("""COMPUTED_VALUE"""),274083.0)</f>
        <v>274083</v>
      </c>
      <c r="D128" s="7">
        <f>IFERROR(__xludf.DUMMYFUNCTION("""COMPUTED_VALUE"""),2.8427001E7)</f>
        <v>28427001</v>
      </c>
      <c r="E128" s="7">
        <f>IFERROR(__xludf.DUMMYFUNCTION("""COMPUTED_VALUE"""),2.0563887599E7)</f>
        <v>20563887.6</v>
      </c>
      <c r="F128" s="8">
        <v>779849.3653846154</v>
      </c>
      <c r="G128" s="18">
        <f t="shared" si="1"/>
        <v>18</v>
      </c>
      <c r="H128" s="19">
        <f t="shared" si="2"/>
        <v>38.23748483</v>
      </c>
      <c r="I128" s="19">
        <f t="shared" si="3"/>
        <v>0.02743340268</v>
      </c>
    </row>
    <row r="129">
      <c r="A129" s="9">
        <f>IFERROR(__xludf.DUMMYFUNCTION("""COMPUTED_VALUE"""),43957.0)</f>
        <v>43957</v>
      </c>
      <c r="B129" s="10" t="str">
        <f>IFERROR(__xludf.DUMMYFUNCTION("""COMPUTED_VALUE"""),"Санкт-Петербург Юг")</f>
        <v>Санкт-Петербург Юг</v>
      </c>
      <c r="C129" s="10">
        <f>IFERROR(__xludf.DUMMYFUNCTION("""COMPUTED_VALUE"""),277512.0)</f>
        <v>277512</v>
      </c>
      <c r="D129" s="10">
        <f>IFERROR(__xludf.DUMMYFUNCTION("""COMPUTED_VALUE"""),2.87708101056E7)</f>
        <v>28770810.11</v>
      </c>
      <c r="E129" s="10">
        <f>IFERROR(__xludf.DUMMYFUNCTION("""COMPUTED_VALUE"""),2.0810852736E7)</f>
        <v>20810852.74</v>
      </c>
      <c r="F129" s="11">
        <v>790162.5769230769</v>
      </c>
      <c r="G129" s="18">
        <f t="shared" si="1"/>
        <v>19</v>
      </c>
      <c r="H129" s="19">
        <f t="shared" si="2"/>
        <v>38.24906875</v>
      </c>
      <c r="I129" s="19">
        <f t="shared" si="3"/>
        <v>0.02746403643</v>
      </c>
    </row>
    <row r="130">
      <c r="A130" s="6">
        <f>IFERROR(__xludf.DUMMYFUNCTION("""COMPUTED_VALUE"""),43974.0)</f>
        <v>43974</v>
      </c>
      <c r="B130" s="7" t="str">
        <f>IFERROR(__xludf.DUMMYFUNCTION("""COMPUTED_VALUE"""),"Санкт-Петербург Юг")</f>
        <v>Санкт-Петербург Юг</v>
      </c>
      <c r="C130" s="7">
        <f>IFERROR(__xludf.DUMMYFUNCTION("""COMPUTED_VALUE"""),356982.0)</f>
        <v>356982</v>
      </c>
      <c r="D130" s="7">
        <f>IFERROR(__xludf.DUMMYFUNCTION("""COMPUTED_VALUE"""),3.510392671155E7)</f>
        <v>35103926.71</v>
      </c>
      <c r="E130" s="7">
        <f>IFERROR(__xludf.DUMMYFUNCTION("""COMPUTED_VALUE"""),2.6357141036999997E7)</f>
        <v>26357141.04</v>
      </c>
      <c r="F130" s="8">
        <v>601482.0769230769</v>
      </c>
      <c r="G130" s="18">
        <f t="shared" si="1"/>
        <v>21</v>
      </c>
      <c r="H130" s="19">
        <f t="shared" si="2"/>
        <v>33.185639</v>
      </c>
      <c r="I130" s="19">
        <f t="shared" si="3"/>
        <v>0.01713432465</v>
      </c>
    </row>
    <row r="131">
      <c r="A131" s="9">
        <f>IFERROR(__xludf.DUMMYFUNCTION("""COMPUTED_VALUE"""),43976.0)</f>
        <v>43976</v>
      </c>
      <c r="B131" s="10" t="str">
        <f>IFERROR(__xludf.DUMMYFUNCTION("""COMPUTED_VALUE"""),"Санкт-Петербург Юг")</f>
        <v>Санкт-Петербург Юг</v>
      </c>
      <c r="C131" s="10">
        <f>IFERROR(__xludf.DUMMYFUNCTION("""COMPUTED_VALUE"""),266983.5)</f>
        <v>266983.5</v>
      </c>
      <c r="D131" s="10">
        <f>IFERROR(__xludf.DUMMYFUNCTION("""COMPUTED_VALUE"""),2.71659135E7)</f>
        <v>27165913.5</v>
      </c>
      <c r="E131" s="10">
        <f>IFERROR(__xludf.DUMMYFUNCTION("""COMPUTED_VALUE"""),1.9659432722999997E7)</f>
        <v>19659432.72</v>
      </c>
      <c r="F131" s="11">
        <v>698314.9846153846</v>
      </c>
      <c r="G131" s="18">
        <f t="shared" si="1"/>
        <v>22</v>
      </c>
      <c r="H131" s="19">
        <f t="shared" si="2"/>
        <v>38.18259094</v>
      </c>
      <c r="I131" s="19">
        <f t="shared" si="3"/>
        <v>0.02570555872</v>
      </c>
    </row>
    <row r="132">
      <c r="A132" s="6">
        <f>IFERROR(__xludf.DUMMYFUNCTION("""COMPUTED_VALUE"""),43951.0)</f>
        <v>43951</v>
      </c>
      <c r="B132" s="7" t="str">
        <f>IFERROR(__xludf.DUMMYFUNCTION("""COMPUTED_VALUE"""),"Санкт-Петербург Юг")</f>
        <v>Санкт-Петербург Юг</v>
      </c>
      <c r="C132" s="7">
        <f>IFERROR(__xludf.DUMMYFUNCTION("""COMPUTED_VALUE"""),311131.5)</f>
        <v>311131.5</v>
      </c>
      <c r="D132" s="7">
        <f>IFERROR(__xludf.DUMMYFUNCTION("""COMPUTED_VALUE"""),3.2418879E7)</f>
        <v>32418879</v>
      </c>
      <c r="E132" s="7">
        <f>IFERROR(__xludf.DUMMYFUNCTION("""COMPUTED_VALUE"""),2.3595019661E7)</f>
        <v>23595019.66</v>
      </c>
      <c r="F132" s="8">
        <v>265444.33165384614</v>
      </c>
      <c r="G132" s="18">
        <f t="shared" si="1"/>
        <v>18</v>
      </c>
      <c r="H132" s="19">
        <f t="shared" si="2"/>
        <v>37.39712645</v>
      </c>
      <c r="I132" s="19">
        <f t="shared" si="3"/>
        <v>0.008187955285</v>
      </c>
    </row>
    <row r="133">
      <c r="A133" s="9">
        <f>IFERROR(__xludf.DUMMYFUNCTION("""COMPUTED_VALUE"""),43961.0)</f>
        <v>43961</v>
      </c>
      <c r="B133" s="10" t="str">
        <f>IFERROR(__xludf.DUMMYFUNCTION("""COMPUTED_VALUE"""),"Санкт-Петербург Юг")</f>
        <v>Санкт-Петербург Юг</v>
      </c>
      <c r="C133" s="10">
        <f>IFERROR(__xludf.DUMMYFUNCTION("""COMPUTED_VALUE"""),287206.5)</f>
        <v>287206.5</v>
      </c>
      <c r="D133" s="10">
        <f>IFERROR(__xludf.DUMMYFUNCTION("""COMPUTED_VALUE"""),2.953617610605E7)</f>
        <v>29536176.11</v>
      </c>
      <c r="E133" s="10">
        <f>IFERROR(__xludf.DUMMYFUNCTION("""COMPUTED_VALUE"""),2.1276357106E7)</f>
        <v>21276357.11</v>
      </c>
      <c r="F133" s="11">
        <v>541588.8935615384</v>
      </c>
      <c r="G133" s="18">
        <f t="shared" si="1"/>
        <v>19</v>
      </c>
      <c r="H133" s="19">
        <f t="shared" si="2"/>
        <v>38.82158472</v>
      </c>
      <c r="I133" s="19">
        <f t="shared" si="3"/>
        <v>0.01833645939</v>
      </c>
    </row>
    <row r="134">
      <c r="A134" s="6">
        <f>IFERROR(__xludf.DUMMYFUNCTION("""COMPUTED_VALUE"""),43959.0)</f>
        <v>43959</v>
      </c>
      <c r="B134" s="7" t="str">
        <f>IFERROR(__xludf.DUMMYFUNCTION("""COMPUTED_VALUE"""),"Санкт-Петербург Юг")</f>
        <v>Санкт-Петербург Юг</v>
      </c>
      <c r="C134" s="7">
        <f>IFERROR(__xludf.DUMMYFUNCTION("""COMPUTED_VALUE"""),370092.0)</f>
        <v>370092</v>
      </c>
      <c r="D134" s="7">
        <f>IFERROR(__xludf.DUMMYFUNCTION("""COMPUTED_VALUE"""),3.80915565E7)</f>
        <v>38091556.5</v>
      </c>
      <c r="E134" s="7">
        <f>IFERROR(__xludf.DUMMYFUNCTION("""COMPUTED_VALUE"""),2.8012065349999998E7)</f>
        <v>28012065.35</v>
      </c>
      <c r="F134" s="8">
        <v>725212.9959230769</v>
      </c>
      <c r="G134" s="18">
        <f t="shared" si="1"/>
        <v>19</v>
      </c>
      <c r="H134" s="19">
        <f t="shared" si="2"/>
        <v>35.98267755</v>
      </c>
      <c r="I134" s="19">
        <f t="shared" si="3"/>
        <v>0.01903868108</v>
      </c>
    </row>
    <row r="135">
      <c r="A135" s="9">
        <f>IFERROR(__xludf.DUMMYFUNCTION("""COMPUTED_VALUE"""),43958.0)</f>
        <v>43958</v>
      </c>
      <c r="B135" s="10" t="str">
        <f>IFERROR(__xludf.DUMMYFUNCTION("""COMPUTED_VALUE"""),"Санкт-Петербург Юг")</f>
        <v>Санкт-Петербург Юг</v>
      </c>
      <c r="C135" s="10">
        <f>IFERROR(__xludf.DUMMYFUNCTION("""COMPUTED_VALUE"""),247813.5)</f>
        <v>247813.5</v>
      </c>
      <c r="D135" s="10">
        <f>IFERROR(__xludf.DUMMYFUNCTION("""COMPUTED_VALUE"""),2.5325271E7)</f>
        <v>25325271</v>
      </c>
      <c r="E135" s="10">
        <f>IFERROR(__xludf.DUMMYFUNCTION("""COMPUTED_VALUE"""),1.8582990428E7)</f>
        <v>18582990.43</v>
      </c>
      <c r="F135" s="11">
        <v>865201.878576923</v>
      </c>
      <c r="G135" s="18">
        <f t="shared" si="1"/>
        <v>19</v>
      </c>
      <c r="H135" s="19">
        <f t="shared" si="2"/>
        <v>36.28199992</v>
      </c>
      <c r="I135" s="19">
        <f t="shared" si="3"/>
        <v>0.03416357829</v>
      </c>
    </row>
    <row r="136">
      <c r="A136" s="6">
        <f>IFERROR(__xludf.DUMMYFUNCTION("""COMPUTED_VALUE"""),43975.0)</f>
        <v>43975</v>
      </c>
      <c r="B136" s="7" t="str">
        <f>IFERROR(__xludf.DUMMYFUNCTION("""COMPUTED_VALUE"""),"Санкт-Петербург Юг")</f>
        <v>Санкт-Петербург Юг</v>
      </c>
      <c r="C136" s="7">
        <f>IFERROR(__xludf.DUMMYFUNCTION("""COMPUTED_VALUE"""),287740.5)</f>
        <v>287740.5</v>
      </c>
      <c r="D136" s="7">
        <f>IFERROR(__xludf.DUMMYFUNCTION("""COMPUTED_VALUE"""),2.8188534E7)</f>
        <v>28188534</v>
      </c>
      <c r="E136" s="7">
        <f>IFERROR(__xludf.DUMMYFUNCTION("""COMPUTED_VALUE"""),2.1369401387E7)</f>
        <v>21369401.39</v>
      </c>
      <c r="F136" s="8">
        <v>607679.3461538461</v>
      </c>
      <c r="G136" s="18">
        <f t="shared" si="1"/>
        <v>21</v>
      </c>
      <c r="H136" s="19">
        <f t="shared" si="2"/>
        <v>31.91073297</v>
      </c>
      <c r="I136" s="19">
        <f t="shared" si="3"/>
        <v>0.02155767824</v>
      </c>
    </row>
    <row r="137">
      <c r="A137" s="9">
        <f>IFERROR(__xludf.DUMMYFUNCTION("""COMPUTED_VALUE"""),43967.0)</f>
        <v>43967</v>
      </c>
      <c r="B137" s="10" t="str">
        <f>IFERROR(__xludf.DUMMYFUNCTION("""COMPUTED_VALUE"""),"Санкт-Петербург Север")</f>
        <v>Санкт-Петербург Север</v>
      </c>
      <c r="C137" s="10">
        <f>IFERROR(__xludf.DUMMYFUNCTION("""COMPUTED_VALUE"""),408810.0)</f>
        <v>408810</v>
      </c>
      <c r="D137" s="10">
        <f>IFERROR(__xludf.DUMMYFUNCTION("""COMPUTED_VALUE"""),4.2323631E7)</f>
        <v>42323631</v>
      </c>
      <c r="E137" s="10">
        <f>IFERROR(__xludf.DUMMYFUNCTION("""COMPUTED_VALUE"""),3.1033323692999996E7)</f>
        <v>31033323.69</v>
      </c>
      <c r="F137" s="11">
        <v>571764.0907692307</v>
      </c>
      <c r="G137" s="18">
        <f t="shared" si="1"/>
        <v>20</v>
      </c>
      <c r="H137" s="19">
        <f t="shared" si="2"/>
        <v>36.38123785</v>
      </c>
      <c r="I137" s="19">
        <f t="shared" si="3"/>
        <v>0.01350933456</v>
      </c>
    </row>
    <row r="138">
      <c r="A138" s="6">
        <f>IFERROR(__xludf.DUMMYFUNCTION("""COMPUTED_VALUE"""),43970.0)</f>
        <v>43970</v>
      </c>
      <c r="B138" s="7" t="str">
        <f>IFERROR(__xludf.DUMMYFUNCTION("""COMPUTED_VALUE"""),"Санкт-Петербург Север")</f>
        <v>Санкт-Петербург Север</v>
      </c>
      <c r="C138" s="7">
        <f>IFERROR(__xludf.DUMMYFUNCTION("""COMPUTED_VALUE"""),362536.5)</f>
        <v>362536.5</v>
      </c>
      <c r="D138" s="7">
        <f>IFERROR(__xludf.DUMMYFUNCTION("""COMPUTED_VALUE"""),3.7023243E7)</f>
        <v>37023243</v>
      </c>
      <c r="E138" s="7">
        <f>IFERROR(__xludf.DUMMYFUNCTION("""COMPUTED_VALUE"""),2.6762183377E7)</f>
        <v>26762183.38</v>
      </c>
      <c r="F138" s="8">
        <v>650375.7684923077</v>
      </c>
      <c r="G138" s="18">
        <f t="shared" si="1"/>
        <v>21</v>
      </c>
      <c r="H138" s="19">
        <f t="shared" si="2"/>
        <v>38.34163857</v>
      </c>
      <c r="I138" s="19">
        <f t="shared" si="3"/>
        <v>0.01756668827</v>
      </c>
    </row>
    <row r="139">
      <c r="A139" s="9">
        <f>IFERROR(__xludf.DUMMYFUNCTION("""COMPUTED_VALUE"""),43968.0)</f>
        <v>43968</v>
      </c>
      <c r="B139" s="10" t="str">
        <f>IFERROR(__xludf.DUMMYFUNCTION("""COMPUTED_VALUE"""),"Санкт-Петербург Север")</f>
        <v>Санкт-Петербург Север</v>
      </c>
      <c r="C139" s="10">
        <f>IFERROR(__xludf.DUMMYFUNCTION("""COMPUTED_VALUE"""),357072.0)</f>
        <v>357072</v>
      </c>
      <c r="D139" s="10">
        <f>IFERROR(__xludf.DUMMYFUNCTION("""COMPUTED_VALUE"""),3.6834567E7)</f>
        <v>36834567</v>
      </c>
      <c r="E139" s="10">
        <f>IFERROR(__xludf.DUMMYFUNCTION("""COMPUTED_VALUE"""),2.6914635671E7)</f>
        <v>26914635.67</v>
      </c>
      <c r="F139" s="11">
        <v>566638.9257538462</v>
      </c>
      <c r="G139" s="18">
        <f t="shared" si="1"/>
        <v>20</v>
      </c>
      <c r="H139" s="19">
        <f t="shared" si="2"/>
        <v>36.85701508</v>
      </c>
      <c r="I139" s="19">
        <f t="shared" si="3"/>
        <v>0.015383347</v>
      </c>
    </row>
    <row r="140">
      <c r="A140" s="6">
        <f>IFERROR(__xludf.DUMMYFUNCTION("""COMPUTED_VALUE"""),43960.0)</f>
        <v>43960</v>
      </c>
      <c r="B140" s="7" t="str">
        <f>IFERROR(__xludf.DUMMYFUNCTION("""COMPUTED_VALUE"""),"Санкт-Петербург Север")</f>
        <v>Санкт-Петербург Север</v>
      </c>
      <c r="C140" s="7">
        <f>IFERROR(__xludf.DUMMYFUNCTION("""COMPUTED_VALUE"""),359214.0)</f>
        <v>359214</v>
      </c>
      <c r="D140" s="7">
        <f>IFERROR(__xludf.DUMMYFUNCTION("""COMPUTED_VALUE"""),3.8693427E7)</f>
        <v>38693427</v>
      </c>
      <c r="E140" s="7">
        <f>IFERROR(__xludf.DUMMYFUNCTION("""COMPUTED_VALUE"""),2.7863789055E7)</f>
        <v>27863789.06</v>
      </c>
      <c r="F140" s="8">
        <v>582268.7261538461</v>
      </c>
      <c r="G140" s="18">
        <f t="shared" si="1"/>
        <v>19</v>
      </c>
      <c r="H140" s="19">
        <f t="shared" si="2"/>
        <v>38.8663506</v>
      </c>
      <c r="I140" s="19">
        <f t="shared" si="3"/>
        <v>0.01504825939</v>
      </c>
    </row>
    <row r="141">
      <c r="A141" s="9">
        <f>IFERROR(__xludf.DUMMYFUNCTION("""COMPUTED_VALUE"""),43955.0)</f>
        <v>43955</v>
      </c>
      <c r="B141" s="10" t="str">
        <f>IFERROR(__xludf.DUMMYFUNCTION("""COMPUTED_VALUE"""),"Санкт-Петербург Север")</f>
        <v>Санкт-Петербург Север</v>
      </c>
      <c r="C141" s="10">
        <f>IFERROR(__xludf.DUMMYFUNCTION("""COMPUTED_VALUE"""),360255.0)</f>
        <v>360255</v>
      </c>
      <c r="D141" s="10">
        <f>IFERROR(__xludf.DUMMYFUNCTION("""COMPUTED_VALUE"""),3.8406954E7)</f>
        <v>38406954</v>
      </c>
      <c r="E141" s="10">
        <f>IFERROR(__xludf.DUMMYFUNCTION("""COMPUTED_VALUE"""),2.7588003988E7)</f>
        <v>27588003.99</v>
      </c>
      <c r="F141" s="11">
        <v>1078421.345076923</v>
      </c>
      <c r="G141" s="18">
        <f t="shared" si="1"/>
        <v>19</v>
      </c>
      <c r="H141" s="19">
        <f t="shared" si="2"/>
        <v>39.21613908</v>
      </c>
      <c r="I141" s="19">
        <f t="shared" si="3"/>
        <v>0.0280788043</v>
      </c>
    </row>
    <row r="142">
      <c r="A142" s="6">
        <f>IFERROR(__xludf.DUMMYFUNCTION("""COMPUTED_VALUE"""),43950.0)</f>
        <v>43950</v>
      </c>
      <c r="B142" s="7" t="str">
        <f>IFERROR(__xludf.DUMMYFUNCTION("""COMPUTED_VALUE"""),"Санкт-Петербург Север")</f>
        <v>Санкт-Петербург Север</v>
      </c>
      <c r="C142" s="7">
        <f>IFERROR(__xludf.DUMMYFUNCTION("""COMPUTED_VALUE"""),387220.5)</f>
        <v>387220.5</v>
      </c>
      <c r="D142" s="7">
        <f>IFERROR(__xludf.DUMMYFUNCTION("""COMPUTED_VALUE"""),4.1559384E7)</f>
        <v>41559384</v>
      </c>
      <c r="E142" s="7">
        <f>IFERROR(__xludf.DUMMYFUNCTION("""COMPUTED_VALUE"""),3.0476170214999996E7)</f>
        <v>30476170.22</v>
      </c>
      <c r="F142" s="8">
        <v>642893.5665692308</v>
      </c>
      <c r="G142" s="18">
        <f t="shared" si="1"/>
        <v>18</v>
      </c>
      <c r="H142" s="19">
        <f t="shared" si="2"/>
        <v>36.36681941</v>
      </c>
      <c r="I142" s="19">
        <f t="shared" si="3"/>
        <v>0.01546927564</v>
      </c>
    </row>
    <row r="143">
      <c r="A143" s="9">
        <f>IFERROR(__xludf.DUMMYFUNCTION("""COMPUTED_VALUE"""),43953.0)</f>
        <v>43953</v>
      </c>
      <c r="B143" s="10" t="str">
        <f>IFERROR(__xludf.DUMMYFUNCTION("""COMPUTED_VALUE"""),"Санкт-Петербург Север")</f>
        <v>Санкт-Петербург Север</v>
      </c>
      <c r="C143" s="10">
        <f>IFERROR(__xludf.DUMMYFUNCTION("""COMPUTED_VALUE"""),296580.0)</f>
        <v>296580</v>
      </c>
      <c r="D143" s="10">
        <f>IFERROR(__xludf.DUMMYFUNCTION("""COMPUTED_VALUE"""),3.1843737E7)</f>
        <v>31843737</v>
      </c>
      <c r="E143" s="10">
        <f>IFERROR(__xludf.DUMMYFUNCTION("""COMPUTED_VALUE"""),2.311977798E7)</f>
        <v>23119777.98</v>
      </c>
      <c r="F143" s="11">
        <v>657754.3188</v>
      </c>
      <c r="G143" s="18">
        <f t="shared" si="1"/>
        <v>18</v>
      </c>
      <c r="H143" s="19">
        <f t="shared" si="2"/>
        <v>37.73374912</v>
      </c>
      <c r="I143" s="19">
        <f t="shared" si="3"/>
        <v>0.02065568871</v>
      </c>
    </row>
    <row r="144">
      <c r="A144" s="6">
        <f>IFERROR(__xludf.DUMMYFUNCTION("""COMPUTED_VALUE"""),43977.0)</f>
        <v>43977</v>
      </c>
      <c r="B144" s="7" t="str">
        <f>IFERROR(__xludf.DUMMYFUNCTION("""COMPUTED_VALUE"""),"Санкт-Петербург Север")</f>
        <v>Санкт-Петербург Север</v>
      </c>
      <c r="C144" s="7">
        <f>IFERROR(__xludf.DUMMYFUNCTION("""COMPUTED_VALUE"""),369861.0)</f>
        <v>369861</v>
      </c>
      <c r="D144" s="7">
        <f>IFERROR(__xludf.DUMMYFUNCTION("""COMPUTED_VALUE"""),3.83659605E7)</f>
        <v>38365960.5</v>
      </c>
      <c r="E144" s="7">
        <f>IFERROR(__xludf.DUMMYFUNCTION("""COMPUTED_VALUE"""),2.7592063503E7)</f>
        <v>27592063.5</v>
      </c>
      <c r="F144" s="8">
        <v>589339.0338461538</v>
      </c>
      <c r="G144" s="18">
        <f t="shared" si="1"/>
        <v>22</v>
      </c>
      <c r="H144" s="19">
        <f t="shared" si="2"/>
        <v>39.04708684</v>
      </c>
      <c r="I144" s="19">
        <f t="shared" si="3"/>
        <v>0.01536098735</v>
      </c>
    </row>
    <row r="145">
      <c r="A145" s="9">
        <f>IFERROR(__xludf.DUMMYFUNCTION("""COMPUTED_VALUE"""),43952.0)</f>
        <v>43952</v>
      </c>
      <c r="B145" s="10" t="str">
        <f>IFERROR(__xludf.DUMMYFUNCTION("""COMPUTED_VALUE"""),"Санкт-Петербург Север")</f>
        <v>Санкт-Петербург Север</v>
      </c>
      <c r="C145" s="10">
        <f>IFERROR(__xludf.DUMMYFUNCTION("""COMPUTED_VALUE"""),372504.0)</f>
        <v>372504</v>
      </c>
      <c r="D145" s="10">
        <f>IFERROR(__xludf.DUMMYFUNCTION("""COMPUTED_VALUE"""),4.00771935E7)</f>
        <v>40077193.5</v>
      </c>
      <c r="E145" s="10">
        <f>IFERROR(__xludf.DUMMYFUNCTION("""COMPUTED_VALUE"""),2.9141359438E7)</f>
        <v>29141359.44</v>
      </c>
      <c r="F145" s="11">
        <v>848425.4184384615</v>
      </c>
      <c r="G145" s="18">
        <f t="shared" si="1"/>
        <v>18</v>
      </c>
      <c r="H145" s="19">
        <f t="shared" si="2"/>
        <v>37.52684937</v>
      </c>
      <c r="I145" s="19">
        <f t="shared" si="3"/>
        <v>0.02116978122</v>
      </c>
    </row>
    <row r="146">
      <c r="A146" s="6">
        <f>IFERROR(__xludf.DUMMYFUNCTION("""COMPUTED_VALUE"""),43963.0)</f>
        <v>43963</v>
      </c>
      <c r="B146" s="7" t="str">
        <f>IFERROR(__xludf.DUMMYFUNCTION("""COMPUTED_VALUE"""),"Санкт-Петербург Север")</f>
        <v>Санкт-Петербург Север</v>
      </c>
      <c r="C146" s="7">
        <f>IFERROR(__xludf.DUMMYFUNCTION("""COMPUTED_VALUE"""),373392.0)</f>
        <v>373392</v>
      </c>
      <c r="D146" s="7">
        <f>IFERROR(__xludf.DUMMYFUNCTION("""COMPUTED_VALUE"""),3.9578577E7)</f>
        <v>39578577</v>
      </c>
      <c r="E146" s="7">
        <f>IFERROR(__xludf.DUMMYFUNCTION("""COMPUTED_VALUE"""),2.8453665595E7)</f>
        <v>28453665.6</v>
      </c>
      <c r="F146" s="8">
        <v>535419.8979692308</v>
      </c>
      <c r="G146" s="18">
        <f t="shared" si="1"/>
        <v>20</v>
      </c>
      <c r="H146" s="19">
        <f t="shared" si="2"/>
        <v>39.09834172</v>
      </c>
      <c r="I146" s="19">
        <f t="shared" si="3"/>
        <v>0.01352802295</v>
      </c>
    </row>
    <row r="147">
      <c r="A147" s="9">
        <f>IFERROR(__xludf.DUMMYFUNCTION("""COMPUTED_VALUE"""),43972.0)</f>
        <v>43972</v>
      </c>
      <c r="B147" s="10" t="str">
        <f>IFERROR(__xludf.DUMMYFUNCTION("""COMPUTED_VALUE"""),"Санкт-Петербург Север")</f>
        <v>Санкт-Петербург Север</v>
      </c>
      <c r="C147" s="10">
        <f>IFERROR(__xludf.DUMMYFUNCTION("""COMPUTED_VALUE"""),378043.5)</f>
        <v>378043.5</v>
      </c>
      <c r="D147" s="10">
        <f>IFERROR(__xludf.DUMMYFUNCTION("""COMPUTED_VALUE"""),3.790215657E7)</f>
        <v>37902156.57</v>
      </c>
      <c r="E147" s="10">
        <f>IFERROR(__xludf.DUMMYFUNCTION("""COMPUTED_VALUE"""),2.8083686689999998E7)</f>
        <v>28083686.69</v>
      </c>
      <c r="F147" s="11">
        <v>713697.6076923077</v>
      </c>
      <c r="G147" s="18">
        <f t="shared" si="1"/>
        <v>21</v>
      </c>
      <c r="H147" s="19">
        <f t="shared" si="2"/>
        <v>34.96147065</v>
      </c>
      <c r="I147" s="19">
        <f t="shared" si="3"/>
        <v>0.01882999999</v>
      </c>
    </row>
    <row r="148">
      <c r="A148" s="6">
        <f>IFERROR(__xludf.DUMMYFUNCTION("""COMPUTED_VALUE"""),43971.0)</f>
        <v>43971</v>
      </c>
      <c r="B148" s="7" t="str">
        <f>IFERROR(__xludf.DUMMYFUNCTION("""COMPUTED_VALUE"""),"Санкт-Петербург Север")</f>
        <v>Санкт-Петербург Север</v>
      </c>
      <c r="C148" s="7">
        <f>IFERROR(__xludf.DUMMYFUNCTION("""COMPUTED_VALUE"""),388668.0)</f>
        <v>388668</v>
      </c>
      <c r="D148" s="7">
        <f>IFERROR(__xludf.DUMMYFUNCTION("""COMPUTED_VALUE"""),3.9639309E7)</f>
        <v>39639309</v>
      </c>
      <c r="E148" s="7">
        <f>IFERROR(__xludf.DUMMYFUNCTION("""COMPUTED_VALUE"""),2.8736966634E7)</f>
        <v>28736966.63</v>
      </c>
      <c r="F148" s="8">
        <v>997757.7538461538</v>
      </c>
      <c r="G148" s="18">
        <f t="shared" si="1"/>
        <v>21</v>
      </c>
      <c r="H148" s="19">
        <f t="shared" si="2"/>
        <v>37.93838962</v>
      </c>
      <c r="I148" s="19">
        <f t="shared" si="3"/>
        <v>0.02517091693</v>
      </c>
    </row>
    <row r="149">
      <c r="A149" s="9">
        <f>IFERROR(__xludf.DUMMYFUNCTION("""COMPUTED_VALUE"""),43956.0)</f>
        <v>43956</v>
      </c>
      <c r="B149" s="10" t="str">
        <f>IFERROR(__xludf.DUMMYFUNCTION("""COMPUTED_VALUE"""),"Санкт-Петербург Север")</f>
        <v>Санкт-Петербург Север</v>
      </c>
      <c r="C149" s="10">
        <f>IFERROR(__xludf.DUMMYFUNCTION("""COMPUTED_VALUE"""),333792.0)</f>
        <v>333792</v>
      </c>
      <c r="D149" s="10">
        <f>IFERROR(__xludf.DUMMYFUNCTION("""COMPUTED_VALUE"""),3.5671734E7)</f>
        <v>35671734</v>
      </c>
      <c r="E149" s="10">
        <f>IFERROR(__xludf.DUMMYFUNCTION("""COMPUTED_VALUE"""),2.5644478342E7)</f>
        <v>25644478.34</v>
      </c>
      <c r="F149" s="11">
        <v>919576.9605538462</v>
      </c>
      <c r="G149" s="18">
        <f t="shared" si="1"/>
        <v>19</v>
      </c>
      <c r="H149" s="19">
        <f t="shared" si="2"/>
        <v>39.1010319</v>
      </c>
      <c r="I149" s="19">
        <f t="shared" si="3"/>
        <v>0.02577886908</v>
      </c>
    </row>
    <row r="150">
      <c r="A150" s="6">
        <f>IFERROR(__xludf.DUMMYFUNCTION("""COMPUTED_VALUE"""),43949.0)</f>
        <v>43949</v>
      </c>
      <c r="B150" s="7" t="str">
        <f>IFERROR(__xludf.DUMMYFUNCTION("""COMPUTED_VALUE"""),"Санкт-Петербург Север")</f>
        <v>Санкт-Петербург Север</v>
      </c>
      <c r="C150" s="7">
        <f>IFERROR(__xludf.DUMMYFUNCTION("""COMPUTED_VALUE"""),376060.5)</f>
        <v>376060.5</v>
      </c>
      <c r="D150" s="7">
        <f>IFERROR(__xludf.DUMMYFUNCTION("""COMPUTED_VALUE"""),3.99180285E7)</f>
        <v>39918028.5</v>
      </c>
      <c r="E150" s="7">
        <f>IFERROR(__xludf.DUMMYFUNCTION("""COMPUTED_VALUE"""),2.9154014884E7)</f>
        <v>29154014.88</v>
      </c>
      <c r="F150" s="8">
        <v>611904.2335230769</v>
      </c>
      <c r="G150" s="18">
        <f t="shared" si="1"/>
        <v>18</v>
      </c>
      <c r="H150" s="19">
        <f t="shared" si="2"/>
        <v>36.92120505</v>
      </c>
      <c r="I150" s="19">
        <f t="shared" si="3"/>
        <v>0.01532901941</v>
      </c>
    </row>
    <row r="151">
      <c r="A151" s="9">
        <f>IFERROR(__xludf.DUMMYFUNCTION("""COMPUTED_VALUE"""),43964.0)</f>
        <v>43964</v>
      </c>
      <c r="B151" s="10" t="str">
        <f>IFERROR(__xludf.DUMMYFUNCTION("""COMPUTED_VALUE"""),"Санкт-Петербург Север")</f>
        <v>Санкт-Петербург Север</v>
      </c>
      <c r="C151" s="10">
        <f>IFERROR(__xludf.DUMMYFUNCTION("""COMPUTED_VALUE"""),350068.5)</f>
        <v>350068.5</v>
      </c>
      <c r="D151" s="10">
        <f>IFERROR(__xludf.DUMMYFUNCTION("""COMPUTED_VALUE"""),3.71971155E7)</f>
        <v>37197115.5</v>
      </c>
      <c r="E151" s="10">
        <f>IFERROR(__xludf.DUMMYFUNCTION("""COMPUTED_VALUE"""),2.6793668158999998E7)</f>
        <v>26793668.16</v>
      </c>
      <c r="F151" s="11">
        <v>582815.3615384615</v>
      </c>
      <c r="G151" s="18">
        <f t="shared" si="1"/>
        <v>20</v>
      </c>
      <c r="H151" s="19">
        <f t="shared" si="2"/>
        <v>38.82800697</v>
      </c>
      <c r="I151" s="19">
        <f t="shared" si="3"/>
        <v>0.01566829454</v>
      </c>
    </row>
    <row r="152">
      <c r="A152" s="6">
        <f>IFERROR(__xludf.DUMMYFUNCTION("""COMPUTED_VALUE"""),43982.0)</f>
        <v>43982</v>
      </c>
      <c r="B152" s="7" t="str">
        <f>IFERROR(__xludf.DUMMYFUNCTION("""COMPUTED_VALUE"""),"Санкт-Петербург Юг")</f>
        <v>Санкт-Петербург Юг</v>
      </c>
      <c r="C152" s="7">
        <f>IFERROR(__xludf.DUMMYFUNCTION("""COMPUTED_VALUE"""),294337.5)</f>
        <v>294337.5</v>
      </c>
      <c r="D152" s="7">
        <f>IFERROR(__xludf.DUMMYFUNCTION("""COMPUTED_VALUE"""),2.9327766E7)</f>
        <v>29327766</v>
      </c>
      <c r="E152" s="7">
        <f>IFERROR(__xludf.DUMMYFUNCTION("""COMPUTED_VALUE"""),2.2491044692999996E7)</f>
        <v>22491044.69</v>
      </c>
      <c r="F152" s="8">
        <v>283716.73846153845</v>
      </c>
      <c r="G152" s="18">
        <f t="shared" si="1"/>
        <v>22</v>
      </c>
      <c r="H152" s="19">
        <f t="shared" si="2"/>
        <v>30.39752666</v>
      </c>
      <c r="I152" s="19">
        <f t="shared" si="3"/>
        <v>0.009673997619</v>
      </c>
    </row>
    <row r="153">
      <c r="A153" s="9">
        <f>IFERROR(__xludf.DUMMYFUNCTION("""COMPUTED_VALUE"""),43954.0)</f>
        <v>43954</v>
      </c>
      <c r="B153" s="10" t="str">
        <f>IFERROR(__xludf.DUMMYFUNCTION("""COMPUTED_VALUE"""),"Санкт-Петербург Север")</f>
        <v>Санкт-Петербург Север</v>
      </c>
      <c r="C153" s="10">
        <f>IFERROR(__xludf.DUMMYFUNCTION("""COMPUTED_VALUE"""),342666.0)</f>
        <v>342666</v>
      </c>
      <c r="D153" s="10">
        <f>IFERROR(__xludf.DUMMYFUNCTION("""COMPUTED_VALUE"""),3.66319995E7)</f>
        <v>36631999.5</v>
      </c>
      <c r="E153" s="10">
        <f>IFERROR(__xludf.DUMMYFUNCTION("""COMPUTED_VALUE"""),2.6408496047999997E7)</f>
        <v>26408496.05</v>
      </c>
      <c r="F153" s="11">
        <v>820373.5681538461</v>
      </c>
      <c r="G153" s="18">
        <f t="shared" si="1"/>
        <v>18</v>
      </c>
      <c r="H153" s="19">
        <f t="shared" si="2"/>
        <v>38.71293327</v>
      </c>
      <c r="I153" s="19">
        <f t="shared" si="3"/>
        <v>0.02239499834</v>
      </c>
    </row>
    <row r="154">
      <c r="A154" s="6">
        <f>IFERROR(__xludf.DUMMYFUNCTION("""COMPUTED_VALUE"""),43981.0)</f>
        <v>43981</v>
      </c>
      <c r="B154" s="7" t="str">
        <f>IFERROR(__xludf.DUMMYFUNCTION("""COMPUTED_VALUE"""),"Санкт-Петербург Юг")</f>
        <v>Санкт-Петербург Юг</v>
      </c>
      <c r="C154" s="7">
        <f>IFERROR(__xludf.DUMMYFUNCTION("""COMPUTED_VALUE"""),364882.5)</f>
        <v>364882.5</v>
      </c>
      <c r="D154" s="7">
        <f>IFERROR(__xludf.DUMMYFUNCTION("""COMPUTED_VALUE"""),3.57244935E7)</f>
        <v>35724493.5</v>
      </c>
      <c r="E154" s="7">
        <f>IFERROR(__xludf.DUMMYFUNCTION("""COMPUTED_VALUE"""),2.7535617434E7)</f>
        <v>27535617.43</v>
      </c>
      <c r="F154" s="8">
        <v>541116.6988461538</v>
      </c>
      <c r="G154" s="18">
        <f t="shared" si="1"/>
        <v>22</v>
      </c>
      <c r="H154" s="19">
        <f t="shared" si="2"/>
        <v>29.73921353</v>
      </c>
      <c r="I154" s="19">
        <f t="shared" si="3"/>
        <v>0.0151469383</v>
      </c>
    </row>
    <row r="155">
      <c r="A155" s="9">
        <f>IFERROR(__xludf.DUMMYFUNCTION("""COMPUTED_VALUE"""),43957.0)</f>
        <v>43957</v>
      </c>
      <c r="B155" s="10" t="str">
        <f>IFERROR(__xludf.DUMMYFUNCTION("""COMPUTED_VALUE"""),"Санкт-Петербург Север")</f>
        <v>Санкт-Петербург Север</v>
      </c>
      <c r="C155" s="10">
        <f>IFERROR(__xludf.DUMMYFUNCTION("""COMPUTED_VALUE"""),355278.0)</f>
        <v>355278</v>
      </c>
      <c r="D155" s="10">
        <f>IFERROR(__xludf.DUMMYFUNCTION("""COMPUTED_VALUE"""),3.8092344E7)</f>
        <v>38092344</v>
      </c>
      <c r="E155" s="10">
        <f>IFERROR(__xludf.DUMMYFUNCTION("""COMPUTED_VALUE"""),2.7467616702999998E7)</f>
        <v>27467616.7</v>
      </c>
      <c r="F155" s="11">
        <v>942702.9</v>
      </c>
      <c r="G155" s="18">
        <f t="shared" si="1"/>
        <v>19</v>
      </c>
      <c r="H155" s="19">
        <f t="shared" si="2"/>
        <v>38.68092165</v>
      </c>
      <c r="I155" s="19">
        <f t="shared" si="3"/>
        <v>0.02474783122</v>
      </c>
    </row>
    <row r="156">
      <c r="A156" s="6">
        <f>IFERROR(__xludf.DUMMYFUNCTION("""COMPUTED_VALUE"""),43974.0)</f>
        <v>43974</v>
      </c>
      <c r="B156" s="7" t="str">
        <f>IFERROR(__xludf.DUMMYFUNCTION("""COMPUTED_VALUE"""),"Санкт-Петербург Север")</f>
        <v>Санкт-Петербург Север</v>
      </c>
      <c r="C156" s="7">
        <f>IFERROR(__xludf.DUMMYFUNCTION("""COMPUTED_VALUE"""),456885.0)</f>
        <v>456885</v>
      </c>
      <c r="D156" s="7">
        <f>IFERROR(__xludf.DUMMYFUNCTION("""COMPUTED_VALUE"""),4.640808E7)</f>
        <v>46408080</v>
      </c>
      <c r="E156" s="7">
        <f>IFERROR(__xludf.DUMMYFUNCTION("""COMPUTED_VALUE"""),3.4793888933E7)</f>
        <v>34793888.93</v>
      </c>
      <c r="F156" s="8">
        <v>595793.090653846</v>
      </c>
      <c r="G156" s="18">
        <f t="shared" si="1"/>
        <v>21</v>
      </c>
      <c r="H156" s="19">
        <f t="shared" si="2"/>
        <v>33.37997396</v>
      </c>
      <c r="I156" s="19">
        <f t="shared" si="3"/>
        <v>0.01283813273</v>
      </c>
    </row>
    <row r="157">
      <c r="A157" s="9">
        <f>IFERROR(__xludf.DUMMYFUNCTION("""COMPUTED_VALUE"""),43979.0)</f>
        <v>43979</v>
      </c>
      <c r="B157" s="10" t="str">
        <f>IFERROR(__xludf.DUMMYFUNCTION("""COMPUTED_VALUE"""),"Санкт-Петербург Юг")</f>
        <v>Санкт-Петербург Юг</v>
      </c>
      <c r="C157" s="10">
        <f>IFERROR(__xludf.DUMMYFUNCTION("""COMPUTED_VALUE"""),278491.5)</f>
        <v>278491.5</v>
      </c>
      <c r="D157" s="10">
        <f>IFERROR(__xludf.DUMMYFUNCTION("""COMPUTED_VALUE"""),2.815100475E7)</f>
        <v>28151004.75</v>
      </c>
      <c r="E157" s="10">
        <f>IFERROR(__xludf.DUMMYFUNCTION("""COMPUTED_VALUE"""),2.0806418796E7)</f>
        <v>20806418.8</v>
      </c>
      <c r="F157" s="11">
        <v>591565.3538461538</v>
      </c>
      <c r="G157" s="18">
        <f t="shared" si="1"/>
        <v>22</v>
      </c>
      <c r="H157" s="19">
        <f t="shared" si="2"/>
        <v>35.29961608</v>
      </c>
      <c r="I157" s="19">
        <f t="shared" si="3"/>
        <v>0.02101400497</v>
      </c>
    </row>
    <row r="158">
      <c r="A158" s="6">
        <f>IFERROR(__xludf.DUMMYFUNCTION("""COMPUTED_VALUE"""),43976.0)</f>
        <v>43976</v>
      </c>
      <c r="B158" s="7" t="str">
        <f>IFERROR(__xludf.DUMMYFUNCTION("""COMPUTED_VALUE"""),"Санкт-Петербург Север")</f>
        <v>Санкт-Петербург Север</v>
      </c>
      <c r="C158" s="7">
        <f>IFERROR(__xludf.DUMMYFUNCTION("""COMPUTED_VALUE"""),349734.0)</f>
        <v>349734</v>
      </c>
      <c r="D158" s="7">
        <f>IFERROR(__xludf.DUMMYFUNCTION("""COMPUTED_VALUE"""),3.6883428E7)</f>
        <v>36883428</v>
      </c>
      <c r="E158" s="7">
        <f>IFERROR(__xludf.DUMMYFUNCTION("""COMPUTED_VALUE"""),2.6438356803E7)</f>
        <v>26438356.8</v>
      </c>
      <c r="F158" s="8">
        <v>742420.2692307691</v>
      </c>
      <c r="G158" s="18">
        <f t="shared" si="1"/>
        <v>22</v>
      </c>
      <c r="H158" s="19">
        <f t="shared" si="2"/>
        <v>39.50726316</v>
      </c>
      <c r="I158" s="19">
        <f t="shared" si="3"/>
        <v>0.02012883047</v>
      </c>
    </row>
    <row r="159">
      <c r="A159" s="9">
        <f>IFERROR(__xludf.DUMMYFUNCTION("""COMPUTED_VALUE"""),43951.0)</f>
        <v>43951</v>
      </c>
      <c r="B159" s="10" t="str">
        <f>IFERROR(__xludf.DUMMYFUNCTION("""COMPUTED_VALUE"""),"Санкт-Петербург Север")</f>
        <v>Санкт-Петербург Север</v>
      </c>
      <c r="C159" s="10">
        <f>IFERROR(__xludf.DUMMYFUNCTION("""COMPUTED_VALUE"""),401580.0)</f>
        <v>401580</v>
      </c>
      <c r="D159" s="10">
        <f>IFERROR(__xludf.DUMMYFUNCTION("""COMPUTED_VALUE"""),4.30287345E7)</f>
        <v>43028734.5</v>
      </c>
      <c r="E159" s="10">
        <f>IFERROR(__xludf.DUMMYFUNCTION("""COMPUTED_VALUE"""),3.1156525939999998E7)</f>
        <v>31156525.94</v>
      </c>
      <c r="F159" s="11">
        <v>343786.0846153846</v>
      </c>
      <c r="G159" s="18">
        <f t="shared" si="1"/>
        <v>18</v>
      </c>
      <c r="H159" s="19">
        <f t="shared" si="2"/>
        <v>38.10504606</v>
      </c>
      <c r="I159" s="19">
        <f t="shared" si="3"/>
        <v>0.007989686162</v>
      </c>
    </row>
    <row r="160">
      <c r="A160" s="6">
        <f>IFERROR(__xludf.DUMMYFUNCTION("""COMPUTED_VALUE"""),43961.0)</f>
        <v>43961</v>
      </c>
      <c r="B160" s="7" t="str">
        <f>IFERROR(__xludf.DUMMYFUNCTION("""COMPUTED_VALUE"""),"Санкт-Петербург Север")</f>
        <v>Санкт-Петербург Север</v>
      </c>
      <c r="C160" s="7">
        <f>IFERROR(__xludf.DUMMYFUNCTION("""COMPUTED_VALUE"""),368649.0)</f>
        <v>368649</v>
      </c>
      <c r="D160" s="7">
        <f>IFERROR(__xludf.DUMMYFUNCTION("""COMPUTED_VALUE"""),3.9010875E7)</f>
        <v>39010875</v>
      </c>
      <c r="E160" s="7">
        <f>IFERROR(__xludf.DUMMYFUNCTION("""COMPUTED_VALUE"""),2.8090230959E7)</f>
        <v>28090230.96</v>
      </c>
      <c r="F160" s="8">
        <v>532663.1615384615</v>
      </c>
      <c r="G160" s="18">
        <f t="shared" si="1"/>
        <v>19</v>
      </c>
      <c r="H160" s="19">
        <f t="shared" si="2"/>
        <v>38.87701763</v>
      </c>
      <c r="I160" s="19">
        <f t="shared" si="3"/>
        <v>0.01365422236</v>
      </c>
    </row>
    <row r="161">
      <c r="A161" s="9">
        <f>IFERROR(__xludf.DUMMYFUNCTION("""COMPUTED_VALUE"""),43959.0)</f>
        <v>43959</v>
      </c>
      <c r="B161" s="10" t="str">
        <f>IFERROR(__xludf.DUMMYFUNCTION("""COMPUTED_VALUE"""),"Санкт-Петербург Север")</f>
        <v>Санкт-Петербург Север</v>
      </c>
      <c r="C161" s="10">
        <f>IFERROR(__xludf.DUMMYFUNCTION("""COMPUTED_VALUE"""),463530.0)</f>
        <v>463530</v>
      </c>
      <c r="D161" s="10">
        <f>IFERROR(__xludf.DUMMYFUNCTION("""COMPUTED_VALUE"""),4.91231805E7)</f>
        <v>49123180.5</v>
      </c>
      <c r="E161" s="10">
        <f>IFERROR(__xludf.DUMMYFUNCTION("""COMPUTED_VALUE"""),3.6012087989E7)</f>
        <v>36012087.99</v>
      </c>
      <c r="F161" s="11">
        <v>700442.1153769231</v>
      </c>
      <c r="G161" s="18">
        <f t="shared" si="1"/>
        <v>19</v>
      </c>
      <c r="H161" s="19">
        <f t="shared" si="2"/>
        <v>36.40747661</v>
      </c>
      <c r="I161" s="19">
        <f t="shared" si="3"/>
        <v>0.0142588918</v>
      </c>
    </row>
    <row r="162">
      <c r="A162" s="6">
        <f>IFERROR(__xludf.DUMMYFUNCTION("""COMPUTED_VALUE"""),43958.0)</f>
        <v>43958</v>
      </c>
      <c r="B162" s="7" t="str">
        <f>IFERROR(__xludf.DUMMYFUNCTION("""COMPUTED_VALUE"""),"Санкт-Петербург Север")</f>
        <v>Санкт-Петербург Север</v>
      </c>
      <c r="C162" s="7">
        <f>IFERROR(__xludf.DUMMYFUNCTION("""COMPUTED_VALUE"""),319110.0)</f>
        <v>319110</v>
      </c>
      <c r="D162" s="7">
        <f>IFERROR(__xludf.DUMMYFUNCTION("""COMPUTED_VALUE"""),3.3763989E7)</f>
        <v>33763989</v>
      </c>
      <c r="E162" s="7">
        <f>IFERROR(__xludf.DUMMYFUNCTION("""COMPUTED_VALUE"""),2.4610757489E7)</f>
        <v>24610757.49</v>
      </c>
      <c r="F162" s="8">
        <v>1101833.447230769</v>
      </c>
      <c r="G162" s="18">
        <f t="shared" si="1"/>
        <v>19</v>
      </c>
      <c r="H162" s="19">
        <f t="shared" si="2"/>
        <v>37.19199425</v>
      </c>
      <c r="I162" s="19">
        <f t="shared" si="3"/>
        <v>0.03263339078</v>
      </c>
    </row>
    <row r="163">
      <c r="A163" s="9">
        <f>IFERROR(__xludf.DUMMYFUNCTION("""COMPUTED_VALUE"""),43975.0)</f>
        <v>43975</v>
      </c>
      <c r="B163" s="10" t="str">
        <f>IFERROR(__xludf.DUMMYFUNCTION("""COMPUTED_VALUE"""),"Санкт-Петербург Север")</f>
        <v>Санкт-Петербург Север</v>
      </c>
      <c r="C163" s="10">
        <f>IFERROR(__xludf.DUMMYFUNCTION("""COMPUTED_VALUE"""),375744.0)</f>
        <v>375744</v>
      </c>
      <c r="D163" s="10">
        <f>IFERROR(__xludf.DUMMYFUNCTION("""COMPUTED_VALUE"""),3.81913815E7)</f>
        <v>38191381.5</v>
      </c>
      <c r="E163" s="10">
        <f>IFERROR(__xludf.DUMMYFUNCTION("""COMPUTED_VALUE"""),2.8822960470999997E7)</f>
        <v>28822960.47</v>
      </c>
      <c r="F163" s="11">
        <v>574198.1153846154</v>
      </c>
      <c r="G163" s="18">
        <f t="shared" si="1"/>
        <v>21</v>
      </c>
      <c r="H163" s="19">
        <f t="shared" si="2"/>
        <v>32.50332678</v>
      </c>
      <c r="I163" s="19">
        <f t="shared" si="3"/>
        <v>0.01503475635</v>
      </c>
    </row>
    <row r="164">
      <c r="A164" s="6">
        <f>IFERROR(__xludf.DUMMYFUNCTION("""COMPUTED_VALUE"""),43967.0)</f>
        <v>43967</v>
      </c>
      <c r="B164" s="7" t="str">
        <f>IFERROR(__xludf.DUMMYFUNCTION("""COMPUTED_VALUE"""),"Волгоград")</f>
        <v>Волгоград</v>
      </c>
      <c r="C164" s="7">
        <f>IFERROR(__xludf.DUMMYFUNCTION("""COMPUTED_VALUE"""),81331.5)</f>
        <v>81331.5</v>
      </c>
      <c r="D164" s="7">
        <f>IFERROR(__xludf.DUMMYFUNCTION("""COMPUTED_VALUE"""),6652179.0)</f>
        <v>6652179</v>
      </c>
      <c r="E164" s="7">
        <f>IFERROR(__xludf.DUMMYFUNCTION("""COMPUTED_VALUE"""),5305378.904)</f>
        <v>5305378.904</v>
      </c>
      <c r="F164" s="8">
        <v>156413.8362153846</v>
      </c>
      <c r="G164" s="18">
        <f t="shared" si="1"/>
        <v>20</v>
      </c>
      <c r="H164" s="19">
        <f t="shared" si="2"/>
        <v>25.38555908</v>
      </c>
      <c r="I164" s="19">
        <f t="shared" si="3"/>
        <v>0.02351317308</v>
      </c>
    </row>
    <row r="165">
      <c r="A165" s="9">
        <f>IFERROR(__xludf.DUMMYFUNCTION("""COMPUTED_VALUE"""),43970.0)</f>
        <v>43970</v>
      </c>
      <c r="B165" s="10" t="str">
        <f>IFERROR(__xludf.DUMMYFUNCTION("""COMPUTED_VALUE"""),"Волгоград")</f>
        <v>Волгоград</v>
      </c>
      <c r="C165" s="10">
        <f>IFERROR(__xludf.DUMMYFUNCTION("""COMPUTED_VALUE"""),75796.5)</f>
        <v>75796.5</v>
      </c>
      <c r="D165" s="10">
        <f>IFERROR(__xludf.DUMMYFUNCTION("""COMPUTED_VALUE"""),6173463.0)</f>
        <v>6173463</v>
      </c>
      <c r="E165" s="10">
        <f>IFERROR(__xludf.DUMMYFUNCTION("""COMPUTED_VALUE"""),4915101.795)</f>
        <v>4915101.795</v>
      </c>
      <c r="F165" s="11">
        <v>253686.7171923077</v>
      </c>
      <c r="G165" s="18">
        <f t="shared" si="1"/>
        <v>21</v>
      </c>
      <c r="H165" s="19">
        <f t="shared" si="2"/>
        <v>25.60193578</v>
      </c>
      <c r="I165" s="19">
        <f t="shared" si="3"/>
        <v>0.04109309754</v>
      </c>
    </row>
    <row r="166">
      <c r="A166" s="6">
        <f>IFERROR(__xludf.DUMMYFUNCTION("""COMPUTED_VALUE"""),43968.0)</f>
        <v>43968</v>
      </c>
      <c r="B166" s="7" t="str">
        <f>IFERROR(__xludf.DUMMYFUNCTION("""COMPUTED_VALUE"""),"Волгоград")</f>
        <v>Волгоград</v>
      </c>
      <c r="C166" s="7">
        <f>IFERROR(__xludf.DUMMYFUNCTION("""COMPUTED_VALUE"""),72861.0)</f>
        <v>72861</v>
      </c>
      <c r="D166" s="7">
        <f>IFERROR(__xludf.DUMMYFUNCTION("""COMPUTED_VALUE"""),5952802.5)</f>
        <v>5952802.5</v>
      </c>
      <c r="E166" s="7">
        <f>IFERROR(__xludf.DUMMYFUNCTION("""COMPUTED_VALUE"""),4711294.200999999)</f>
        <v>4711294.201</v>
      </c>
      <c r="F166" s="8">
        <v>125880.90000000001</v>
      </c>
      <c r="G166" s="18">
        <f t="shared" si="1"/>
        <v>20</v>
      </c>
      <c r="H166" s="19">
        <f t="shared" si="2"/>
        <v>26.35174638</v>
      </c>
      <c r="I166" s="19">
        <f t="shared" si="3"/>
        <v>0.02114649361</v>
      </c>
    </row>
    <row r="167">
      <c r="A167" s="9">
        <f>IFERROR(__xludf.DUMMYFUNCTION("""COMPUTED_VALUE"""),43960.0)</f>
        <v>43960</v>
      </c>
      <c r="B167" s="10" t="str">
        <f>IFERROR(__xludf.DUMMYFUNCTION("""COMPUTED_VALUE"""),"Волгоград")</f>
        <v>Волгоград</v>
      </c>
      <c r="C167" s="10">
        <f>IFERROR(__xludf.DUMMYFUNCTION("""COMPUTED_VALUE"""),83373.0)</f>
        <v>83373</v>
      </c>
      <c r="D167" s="10">
        <f>IFERROR(__xludf.DUMMYFUNCTION("""COMPUTED_VALUE"""),7253427.0)</f>
        <v>7253427</v>
      </c>
      <c r="E167" s="10">
        <f>IFERROR(__xludf.DUMMYFUNCTION("""COMPUTED_VALUE"""),5531366.381)</f>
        <v>5531366.381</v>
      </c>
      <c r="F167" s="11">
        <v>221053.87967692307</v>
      </c>
      <c r="G167" s="18">
        <f t="shared" si="1"/>
        <v>19</v>
      </c>
      <c r="H167" s="19">
        <f t="shared" si="2"/>
        <v>31.13264428</v>
      </c>
      <c r="I167" s="19">
        <f t="shared" si="3"/>
        <v>0.03047578471</v>
      </c>
    </row>
    <row r="168">
      <c r="A168" s="6">
        <f>IFERROR(__xludf.DUMMYFUNCTION("""COMPUTED_VALUE"""),43955.0)</f>
        <v>43955</v>
      </c>
      <c r="B168" s="7" t="str">
        <f>IFERROR(__xludf.DUMMYFUNCTION("""COMPUTED_VALUE"""),"Волгоград")</f>
        <v>Волгоград</v>
      </c>
      <c r="C168" s="7">
        <f>IFERROR(__xludf.DUMMYFUNCTION("""COMPUTED_VALUE"""),64108.5)</f>
        <v>64108.5</v>
      </c>
      <c r="D168" s="7">
        <f>IFERROR(__xludf.DUMMYFUNCTION("""COMPUTED_VALUE"""),5561452.5)</f>
        <v>5561452.5</v>
      </c>
      <c r="E168" s="7">
        <f>IFERROR(__xludf.DUMMYFUNCTION("""COMPUTED_VALUE"""),4257859.372)</f>
        <v>4257859.372</v>
      </c>
      <c r="F168" s="8">
        <v>337872.83273076924</v>
      </c>
      <c r="G168" s="18">
        <f t="shared" si="1"/>
        <v>19</v>
      </c>
      <c r="H168" s="19">
        <f t="shared" si="2"/>
        <v>30.61616212</v>
      </c>
      <c r="I168" s="19">
        <f t="shared" si="3"/>
        <v>0.06075262402</v>
      </c>
    </row>
    <row r="169">
      <c r="A169" s="9">
        <f>IFERROR(__xludf.DUMMYFUNCTION("""COMPUTED_VALUE"""),43950.0)</f>
        <v>43950</v>
      </c>
      <c r="B169" s="10" t="str">
        <f>IFERROR(__xludf.DUMMYFUNCTION("""COMPUTED_VALUE"""),"Волгоград")</f>
        <v>Волгоград</v>
      </c>
      <c r="C169" s="10">
        <f>IFERROR(__xludf.DUMMYFUNCTION("""COMPUTED_VALUE"""),74707.5)</f>
        <v>74707.5</v>
      </c>
      <c r="D169" s="10">
        <f>IFERROR(__xludf.DUMMYFUNCTION("""COMPUTED_VALUE"""),6454458.0)</f>
        <v>6454458</v>
      </c>
      <c r="E169" s="10">
        <f>IFERROR(__xludf.DUMMYFUNCTION("""COMPUTED_VALUE"""),4968152.947)</f>
        <v>4968152.947</v>
      </c>
      <c r="F169" s="11">
        <v>118941.29398461539</v>
      </c>
      <c r="G169" s="18">
        <f t="shared" si="1"/>
        <v>18</v>
      </c>
      <c r="H169" s="19">
        <f t="shared" si="2"/>
        <v>29.9166525</v>
      </c>
      <c r="I169" s="19">
        <f t="shared" si="3"/>
        <v>0.0184277741</v>
      </c>
    </row>
    <row r="170">
      <c r="A170" s="6">
        <f>IFERROR(__xludf.DUMMYFUNCTION("""COMPUTED_VALUE"""),43953.0)</f>
        <v>43953</v>
      </c>
      <c r="B170" s="7" t="str">
        <f>IFERROR(__xludf.DUMMYFUNCTION("""COMPUTED_VALUE"""),"Волгоград")</f>
        <v>Волгоград</v>
      </c>
      <c r="C170" s="7">
        <f>IFERROR(__xludf.DUMMYFUNCTION("""COMPUTED_VALUE"""),46216.5)</f>
        <v>46216.5</v>
      </c>
      <c r="D170" s="7">
        <f>IFERROR(__xludf.DUMMYFUNCTION("""COMPUTED_VALUE"""),4118251.5)</f>
        <v>4118251.5</v>
      </c>
      <c r="E170" s="7">
        <f>IFERROR(__xludf.DUMMYFUNCTION("""COMPUTED_VALUE"""),3133704.928)</f>
        <v>3133704.928</v>
      </c>
      <c r="F170" s="8">
        <v>179531.89196153847</v>
      </c>
      <c r="G170" s="18">
        <f t="shared" si="1"/>
        <v>18</v>
      </c>
      <c r="H170" s="19">
        <f t="shared" si="2"/>
        <v>31.41797312</v>
      </c>
      <c r="I170" s="19">
        <f t="shared" si="3"/>
        <v>0.04359420302</v>
      </c>
    </row>
    <row r="171">
      <c r="A171" s="9">
        <f>IFERROR(__xludf.DUMMYFUNCTION("""COMPUTED_VALUE"""),43977.0)</f>
        <v>43977</v>
      </c>
      <c r="B171" s="10" t="str">
        <f>IFERROR(__xludf.DUMMYFUNCTION("""COMPUTED_VALUE"""),"Волгоград")</f>
        <v>Волгоград</v>
      </c>
      <c r="C171" s="10">
        <f>IFERROR(__xludf.DUMMYFUNCTION("""COMPUTED_VALUE"""),67726.5)</f>
        <v>67726.5</v>
      </c>
      <c r="D171" s="10">
        <f>IFERROR(__xludf.DUMMYFUNCTION("""COMPUTED_VALUE"""),5864989.5)</f>
        <v>5864989.5</v>
      </c>
      <c r="E171" s="10">
        <f>IFERROR(__xludf.DUMMYFUNCTION("""COMPUTED_VALUE"""),4506085.484)</f>
        <v>4506085.484</v>
      </c>
      <c r="F171" s="11">
        <v>167003.69436153845</v>
      </c>
      <c r="G171" s="18">
        <f t="shared" si="1"/>
        <v>22</v>
      </c>
      <c r="H171" s="19">
        <f t="shared" si="2"/>
        <v>30.1570847</v>
      </c>
      <c r="I171" s="19">
        <f t="shared" si="3"/>
        <v>0.02847467917</v>
      </c>
    </row>
    <row r="172">
      <c r="A172" s="6">
        <f>IFERROR(__xludf.DUMMYFUNCTION("""COMPUTED_VALUE"""),43952.0)</f>
        <v>43952</v>
      </c>
      <c r="B172" s="7" t="str">
        <f>IFERROR(__xludf.DUMMYFUNCTION("""COMPUTED_VALUE"""),"Волгоград")</f>
        <v>Волгоград</v>
      </c>
      <c r="C172" s="7">
        <f>IFERROR(__xludf.DUMMYFUNCTION("""COMPUTED_VALUE"""),82228.5)</f>
        <v>82228.5</v>
      </c>
      <c r="D172" s="7">
        <f>IFERROR(__xludf.DUMMYFUNCTION("""COMPUTED_VALUE"""),7032225.0)</f>
        <v>7032225</v>
      </c>
      <c r="E172" s="7">
        <f>IFERROR(__xludf.DUMMYFUNCTION("""COMPUTED_VALUE"""),5546127.192)</f>
        <v>5546127.192</v>
      </c>
      <c r="F172" s="8">
        <v>196859.98644615384</v>
      </c>
      <c r="G172" s="18">
        <f t="shared" si="1"/>
        <v>18</v>
      </c>
      <c r="H172" s="19">
        <f t="shared" si="2"/>
        <v>26.79523488</v>
      </c>
      <c r="I172" s="19">
        <f t="shared" si="3"/>
        <v>0.02799398291</v>
      </c>
    </row>
    <row r="173">
      <c r="A173" s="9">
        <f>IFERROR(__xludf.DUMMYFUNCTION("""COMPUTED_VALUE"""),43963.0)</f>
        <v>43963</v>
      </c>
      <c r="B173" s="10" t="str">
        <f>IFERROR(__xludf.DUMMYFUNCTION("""COMPUTED_VALUE"""),"Волгоград")</f>
        <v>Волгоград</v>
      </c>
      <c r="C173" s="10">
        <f>IFERROR(__xludf.DUMMYFUNCTION("""COMPUTED_VALUE"""),64390.5)</f>
        <v>64390.5</v>
      </c>
      <c r="D173" s="10">
        <f>IFERROR(__xludf.DUMMYFUNCTION("""COMPUTED_VALUE"""),5523145.5)</f>
        <v>5523145.5</v>
      </c>
      <c r="E173" s="10">
        <f>IFERROR(__xludf.DUMMYFUNCTION("""COMPUTED_VALUE"""),4230689.2069999995)</f>
        <v>4230689.207</v>
      </c>
      <c r="F173" s="11">
        <v>183154.05167692306</v>
      </c>
      <c r="G173" s="18">
        <f t="shared" si="1"/>
        <v>20</v>
      </c>
      <c r="H173" s="19">
        <f t="shared" si="2"/>
        <v>30.54954476</v>
      </c>
      <c r="I173" s="19">
        <f t="shared" si="3"/>
        <v>0.03316118536</v>
      </c>
    </row>
    <row r="174">
      <c r="A174" s="6">
        <f>IFERROR(__xludf.DUMMYFUNCTION("""COMPUTED_VALUE"""),43972.0)</f>
        <v>43972</v>
      </c>
      <c r="B174" s="7" t="str">
        <f>IFERROR(__xludf.DUMMYFUNCTION("""COMPUTED_VALUE"""),"Волгоград")</f>
        <v>Волгоград</v>
      </c>
      <c r="C174" s="7">
        <f>IFERROR(__xludf.DUMMYFUNCTION("""COMPUTED_VALUE"""),73126.5)</f>
        <v>73126.5</v>
      </c>
      <c r="D174" s="7">
        <f>IFERROR(__xludf.DUMMYFUNCTION("""COMPUTED_VALUE"""),5864085.0)</f>
        <v>5864085</v>
      </c>
      <c r="E174" s="7">
        <f>IFERROR(__xludf.DUMMYFUNCTION("""COMPUTED_VALUE"""),4847142.986)</f>
        <v>4847142.986</v>
      </c>
      <c r="F174" s="8">
        <v>142998.2095</v>
      </c>
      <c r="G174" s="18">
        <f t="shared" si="1"/>
        <v>21</v>
      </c>
      <c r="H174" s="19">
        <f t="shared" si="2"/>
        <v>20.98023551</v>
      </c>
      <c r="I174" s="19">
        <f t="shared" si="3"/>
        <v>0.02438542577</v>
      </c>
    </row>
    <row r="175">
      <c r="A175" s="9">
        <f>IFERROR(__xludf.DUMMYFUNCTION("""COMPUTED_VALUE"""),43971.0)</f>
        <v>43971</v>
      </c>
      <c r="B175" s="10" t="str">
        <f>IFERROR(__xludf.DUMMYFUNCTION("""COMPUTED_VALUE"""),"Волгоград")</f>
        <v>Волгоград</v>
      </c>
      <c r="C175" s="10">
        <f>IFERROR(__xludf.DUMMYFUNCTION("""COMPUTED_VALUE"""),99631.5)</f>
        <v>99631.5</v>
      </c>
      <c r="D175" s="10">
        <f>IFERROR(__xludf.DUMMYFUNCTION("""COMPUTED_VALUE"""),7121946.0)</f>
        <v>7121946</v>
      </c>
      <c r="E175" s="10">
        <f>IFERROR(__xludf.DUMMYFUNCTION("""COMPUTED_VALUE"""),6279205.85)</f>
        <v>6279205.85</v>
      </c>
      <c r="F175" s="11">
        <v>279127.2760230769</v>
      </c>
      <c r="G175" s="18">
        <f t="shared" si="1"/>
        <v>21</v>
      </c>
      <c r="H175" s="19">
        <f t="shared" si="2"/>
        <v>13.42112634</v>
      </c>
      <c r="I175" s="19">
        <f t="shared" si="3"/>
        <v>0.03919255721</v>
      </c>
    </row>
    <row r="176">
      <c r="A176" s="6">
        <f>IFERROR(__xludf.DUMMYFUNCTION("""COMPUTED_VALUE"""),43956.0)</f>
        <v>43956</v>
      </c>
      <c r="B176" s="7" t="str">
        <f>IFERROR(__xludf.DUMMYFUNCTION("""COMPUTED_VALUE"""),"Волгоград")</f>
        <v>Волгоград</v>
      </c>
      <c r="C176" s="7">
        <f>IFERROR(__xludf.DUMMYFUNCTION("""COMPUTED_VALUE"""),66396.0)</f>
        <v>66396</v>
      </c>
      <c r="D176" s="7">
        <f>IFERROR(__xludf.DUMMYFUNCTION("""COMPUTED_VALUE"""),5770539.0)</f>
        <v>5770539</v>
      </c>
      <c r="E176" s="7">
        <f>IFERROR(__xludf.DUMMYFUNCTION("""COMPUTED_VALUE"""),4433831.250999999)</f>
        <v>4433831.251</v>
      </c>
      <c r="F176" s="8">
        <v>232587.42287692308</v>
      </c>
      <c r="G176" s="18">
        <f t="shared" si="1"/>
        <v>19</v>
      </c>
      <c r="H176" s="19">
        <f t="shared" si="2"/>
        <v>30.14791663</v>
      </c>
      <c r="I176" s="19">
        <f t="shared" si="3"/>
        <v>0.04030601351</v>
      </c>
    </row>
    <row r="177">
      <c r="A177" s="9">
        <f>IFERROR(__xludf.DUMMYFUNCTION("""COMPUTED_VALUE"""),43949.0)</f>
        <v>43949</v>
      </c>
      <c r="B177" s="10" t="str">
        <f>IFERROR(__xludf.DUMMYFUNCTION("""COMPUTED_VALUE"""),"Волгоград")</f>
        <v>Волгоград</v>
      </c>
      <c r="C177" s="10">
        <f>IFERROR(__xludf.DUMMYFUNCTION("""COMPUTED_VALUE"""),73147.5)</f>
        <v>73147.5</v>
      </c>
      <c r="D177" s="10">
        <f>IFERROR(__xludf.DUMMYFUNCTION("""COMPUTED_VALUE"""),6288246.0)</f>
        <v>6288246</v>
      </c>
      <c r="E177" s="10">
        <f>IFERROR(__xludf.DUMMYFUNCTION("""COMPUTED_VALUE"""),4798265.113)</f>
        <v>4798265.113</v>
      </c>
      <c r="F177" s="11">
        <v>123081.63515384615</v>
      </c>
      <c r="G177" s="18">
        <f t="shared" si="1"/>
        <v>18</v>
      </c>
      <c r="H177" s="19">
        <f t="shared" si="2"/>
        <v>31.05249193</v>
      </c>
      <c r="I177" s="19">
        <f t="shared" si="3"/>
        <v>0.01957328564</v>
      </c>
    </row>
    <row r="178">
      <c r="A178" s="6">
        <f>IFERROR(__xludf.DUMMYFUNCTION("""COMPUTED_VALUE"""),43964.0)</f>
        <v>43964</v>
      </c>
      <c r="B178" s="7" t="str">
        <f>IFERROR(__xludf.DUMMYFUNCTION("""COMPUTED_VALUE"""),"Волгоград")</f>
        <v>Волгоград</v>
      </c>
      <c r="C178" s="7">
        <f>IFERROR(__xludf.DUMMYFUNCTION("""COMPUTED_VALUE"""),73062.0)</f>
        <v>73062</v>
      </c>
      <c r="D178" s="7">
        <f>IFERROR(__xludf.DUMMYFUNCTION("""COMPUTED_VALUE"""),6333828.0)</f>
        <v>6333828</v>
      </c>
      <c r="E178" s="7">
        <f>IFERROR(__xludf.DUMMYFUNCTION("""COMPUTED_VALUE"""),4890619.262)</f>
        <v>4890619.262</v>
      </c>
      <c r="F178" s="8">
        <v>181964.6876923077</v>
      </c>
      <c r="G178" s="18">
        <f t="shared" si="1"/>
        <v>20</v>
      </c>
      <c r="H178" s="19">
        <f t="shared" si="2"/>
        <v>29.50973406</v>
      </c>
      <c r="I178" s="19">
        <f t="shared" si="3"/>
        <v>0.02872902259</v>
      </c>
    </row>
    <row r="179">
      <c r="A179" s="9">
        <f>IFERROR(__xludf.DUMMYFUNCTION("""COMPUTED_VALUE"""),43982.0)</f>
        <v>43982</v>
      </c>
      <c r="B179" s="10" t="str">
        <f>IFERROR(__xludf.DUMMYFUNCTION("""COMPUTED_VALUE"""),"Санкт-Петербург Север")</f>
        <v>Санкт-Петербург Север</v>
      </c>
      <c r="C179" s="10">
        <f>IFERROR(__xludf.DUMMYFUNCTION("""COMPUTED_VALUE"""),379663.5)</f>
        <v>379663.5</v>
      </c>
      <c r="D179" s="10">
        <f>IFERROR(__xludf.DUMMYFUNCTION("""COMPUTED_VALUE"""),3.9380178E7)</f>
        <v>39380178</v>
      </c>
      <c r="E179" s="10">
        <f>IFERROR(__xludf.DUMMYFUNCTION("""COMPUTED_VALUE"""),2.9726473223999996E7)</f>
        <v>29726473.22</v>
      </c>
      <c r="F179" s="11">
        <v>305744.9884307692</v>
      </c>
      <c r="G179" s="18">
        <f t="shared" si="1"/>
        <v>22</v>
      </c>
      <c r="H179" s="19">
        <f t="shared" si="2"/>
        <v>32.47510965</v>
      </c>
      <c r="I179" s="19">
        <f t="shared" si="3"/>
        <v>0.007763931093</v>
      </c>
    </row>
    <row r="180">
      <c r="A180" s="6">
        <f>IFERROR(__xludf.DUMMYFUNCTION("""COMPUTED_VALUE"""),43954.0)</f>
        <v>43954</v>
      </c>
      <c r="B180" s="7" t="str">
        <f>IFERROR(__xludf.DUMMYFUNCTION("""COMPUTED_VALUE"""),"Волгоград")</f>
        <v>Волгоград</v>
      </c>
      <c r="C180" s="7">
        <f>IFERROR(__xludf.DUMMYFUNCTION("""COMPUTED_VALUE"""),70581.0)</f>
        <v>70581</v>
      </c>
      <c r="D180" s="7">
        <f>IFERROR(__xludf.DUMMYFUNCTION("""COMPUTED_VALUE"""),6221320.5)</f>
        <v>6221320.5</v>
      </c>
      <c r="E180" s="7">
        <f>IFERROR(__xludf.DUMMYFUNCTION("""COMPUTED_VALUE"""),4762185.061)</f>
        <v>4762185.061</v>
      </c>
      <c r="F180" s="8">
        <v>172821.83076923076</v>
      </c>
      <c r="G180" s="18">
        <f t="shared" si="1"/>
        <v>18</v>
      </c>
      <c r="H180" s="19">
        <f t="shared" si="2"/>
        <v>30.64004066</v>
      </c>
      <c r="I180" s="19">
        <f t="shared" si="3"/>
        <v>0.02777896281</v>
      </c>
    </row>
    <row r="181">
      <c r="A181" s="9">
        <f>IFERROR(__xludf.DUMMYFUNCTION("""COMPUTED_VALUE"""),43981.0)</f>
        <v>43981</v>
      </c>
      <c r="B181" s="10" t="str">
        <f>IFERROR(__xludf.DUMMYFUNCTION("""COMPUTED_VALUE"""),"Санкт-Петербург Север")</f>
        <v>Санкт-Петербург Север</v>
      </c>
      <c r="C181" s="10">
        <f>IFERROR(__xludf.DUMMYFUNCTION("""COMPUTED_VALUE"""),453123.0)</f>
        <v>453123</v>
      </c>
      <c r="D181" s="10">
        <f>IFERROR(__xludf.DUMMYFUNCTION("""COMPUTED_VALUE"""),4.6370904E7)</f>
        <v>46370904</v>
      </c>
      <c r="E181" s="10">
        <f>IFERROR(__xludf.DUMMYFUNCTION("""COMPUTED_VALUE"""),3.5190775285000004E7)</f>
        <v>35190775.29</v>
      </c>
      <c r="F181" s="11">
        <v>552625.8</v>
      </c>
      <c r="G181" s="18">
        <f t="shared" si="1"/>
        <v>22</v>
      </c>
      <c r="H181" s="19">
        <f t="shared" si="2"/>
        <v>31.77005515</v>
      </c>
      <c r="I181" s="19">
        <f t="shared" si="3"/>
        <v>0.01191751189</v>
      </c>
    </row>
    <row r="182">
      <c r="A182" s="6">
        <f>IFERROR(__xludf.DUMMYFUNCTION("""COMPUTED_VALUE"""),43957.0)</f>
        <v>43957</v>
      </c>
      <c r="B182" s="7" t="str">
        <f>IFERROR(__xludf.DUMMYFUNCTION("""COMPUTED_VALUE"""),"Волгоград")</f>
        <v>Волгоград</v>
      </c>
      <c r="C182" s="7">
        <f>IFERROR(__xludf.DUMMYFUNCTION("""COMPUTED_VALUE"""),63012.0)</f>
        <v>63012</v>
      </c>
      <c r="D182" s="7">
        <f>IFERROR(__xludf.DUMMYFUNCTION("""COMPUTED_VALUE"""),5454121.5)</f>
        <v>5454121.5</v>
      </c>
      <c r="E182" s="7">
        <f>IFERROR(__xludf.DUMMYFUNCTION("""COMPUTED_VALUE"""),4155234.554)</f>
        <v>4155234.554</v>
      </c>
      <c r="F182" s="8">
        <v>234787.5564923077</v>
      </c>
      <c r="G182" s="18">
        <f t="shared" si="1"/>
        <v>19</v>
      </c>
      <c r="H182" s="19">
        <f t="shared" si="2"/>
        <v>31.25905239</v>
      </c>
      <c r="I182" s="19">
        <f t="shared" si="3"/>
        <v>0.04304773124</v>
      </c>
    </row>
    <row r="183">
      <c r="A183" s="9">
        <f>IFERROR(__xludf.DUMMYFUNCTION("""COMPUTED_VALUE"""),43974.0)</f>
        <v>43974</v>
      </c>
      <c r="B183" s="10" t="str">
        <f>IFERROR(__xludf.DUMMYFUNCTION("""COMPUTED_VALUE"""),"Волгоград")</f>
        <v>Волгоград</v>
      </c>
      <c r="C183" s="10">
        <f>IFERROR(__xludf.DUMMYFUNCTION("""COMPUTED_VALUE"""),89556.0)</f>
        <v>89556</v>
      </c>
      <c r="D183" s="10">
        <f>IFERROR(__xludf.DUMMYFUNCTION("""COMPUTED_VALUE"""),7173117.0)</f>
        <v>7173117</v>
      </c>
      <c r="E183" s="10">
        <f>IFERROR(__xludf.DUMMYFUNCTION("""COMPUTED_VALUE"""),6068194.523)</f>
        <v>6068194.523</v>
      </c>
      <c r="F183" s="11">
        <v>139983.69019999998</v>
      </c>
      <c r="G183" s="18">
        <f t="shared" si="1"/>
        <v>21</v>
      </c>
      <c r="H183" s="19">
        <f t="shared" si="2"/>
        <v>18.20842217</v>
      </c>
      <c r="I183" s="19">
        <f t="shared" si="3"/>
        <v>0.01951504349</v>
      </c>
    </row>
    <row r="184">
      <c r="A184" s="6">
        <f>IFERROR(__xludf.DUMMYFUNCTION("""COMPUTED_VALUE"""),43979.0)</f>
        <v>43979</v>
      </c>
      <c r="B184" s="7" t="str">
        <f>IFERROR(__xludf.DUMMYFUNCTION("""COMPUTED_VALUE"""),"Санкт-Петербург Север")</f>
        <v>Санкт-Петербург Север</v>
      </c>
      <c r="C184" s="7">
        <f>IFERROR(__xludf.DUMMYFUNCTION("""COMPUTED_VALUE"""),364638.0)</f>
        <v>364638</v>
      </c>
      <c r="D184" s="7">
        <f>IFERROR(__xludf.DUMMYFUNCTION("""COMPUTED_VALUE"""),3.79476885E7)</f>
        <v>37947688.5</v>
      </c>
      <c r="E184" s="7">
        <f>IFERROR(__xludf.DUMMYFUNCTION("""COMPUTED_VALUE"""),2.7829971363E7)</f>
        <v>27829971.36</v>
      </c>
      <c r="F184" s="8">
        <v>628647.3307692307</v>
      </c>
      <c r="G184" s="18">
        <f t="shared" si="1"/>
        <v>22</v>
      </c>
      <c r="H184" s="19">
        <f t="shared" si="2"/>
        <v>36.35547089</v>
      </c>
      <c r="I184" s="19">
        <f t="shared" si="3"/>
        <v>0.01656615609</v>
      </c>
    </row>
    <row r="185">
      <c r="A185" s="9">
        <f>IFERROR(__xludf.DUMMYFUNCTION("""COMPUTED_VALUE"""),43976.0)</f>
        <v>43976</v>
      </c>
      <c r="B185" s="10" t="str">
        <f>IFERROR(__xludf.DUMMYFUNCTION("""COMPUTED_VALUE"""),"Волгоград")</f>
        <v>Волгоград</v>
      </c>
      <c r="C185" s="10">
        <f>IFERROR(__xludf.DUMMYFUNCTION("""COMPUTED_VALUE"""),66316.5)</f>
        <v>66316.5</v>
      </c>
      <c r="D185" s="10">
        <f>IFERROR(__xludf.DUMMYFUNCTION("""COMPUTED_VALUE"""),5704650.0)</f>
        <v>5704650</v>
      </c>
      <c r="E185" s="10">
        <f>IFERROR(__xludf.DUMMYFUNCTION("""COMPUTED_VALUE"""),4375924.236)</f>
        <v>4375924.236</v>
      </c>
      <c r="F185" s="11">
        <v>135246.95929230767</v>
      </c>
      <c r="G185" s="18">
        <f t="shared" si="1"/>
        <v>22</v>
      </c>
      <c r="H185" s="19">
        <f t="shared" si="2"/>
        <v>30.36445999</v>
      </c>
      <c r="I185" s="19">
        <f t="shared" si="3"/>
        <v>0.02370819582</v>
      </c>
    </row>
    <row r="186">
      <c r="A186" s="6">
        <f>IFERROR(__xludf.DUMMYFUNCTION("""COMPUTED_VALUE"""),43951.0)</f>
        <v>43951</v>
      </c>
      <c r="B186" s="7" t="str">
        <f>IFERROR(__xludf.DUMMYFUNCTION("""COMPUTED_VALUE"""),"Волгоград")</f>
        <v>Волгоград</v>
      </c>
      <c r="C186" s="7">
        <f>IFERROR(__xludf.DUMMYFUNCTION("""COMPUTED_VALUE"""),78235.5)</f>
        <v>78235.5</v>
      </c>
      <c r="D186" s="7">
        <f>IFERROR(__xludf.DUMMYFUNCTION("""COMPUTED_VALUE"""),6819594.0)</f>
        <v>6819594</v>
      </c>
      <c r="E186" s="7">
        <f>IFERROR(__xludf.DUMMYFUNCTION("""COMPUTED_VALUE"""),5260171.534999999)</f>
        <v>5260171.535</v>
      </c>
      <c r="F186" s="8">
        <v>70931.81667692307</v>
      </c>
      <c r="G186" s="18">
        <f t="shared" si="1"/>
        <v>18</v>
      </c>
      <c r="H186" s="19">
        <f t="shared" si="2"/>
        <v>29.64584814</v>
      </c>
      <c r="I186" s="19">
        <f t="shared" si="3"/>
        <v>0.01040117882</v>
      </c>
    </row>
    <row r="187">
      <c r="A187" s="9">
        <f>IFERROR(__xludf.DUMMYFUNCTION("""COMPUTED_VALUE"""),43961.0)</f>
        <v>43961</v>
      </c>
      <c r="B187" s="10" t="str">
        <f>IFERROR(__xludf.DUMMYFUNCTION("""COMPUTED_VALUE"""),"Волгоград")</f>
        <v>Волгоград</v>
      </c>
      <c r="C187" s="10">
        <f>IFERROR(__xludf.DUMMYFUNCTION("""COMPUTED_VALUE"""),88311.0)</f>
        <v>88311</v>
      </c>
      <c r="D187" s="10">
        <f>IFERROR(__xludf.DUMMYFUNCTION("""COMPUTED_VALUE"""),7726069.5)</f>
        <v>7726069.5</v>
      </c>
      <c r="E187" s="10">
        <f>IFERROR(__xludf.DUMMYFUNCTION("""COMPUTED_VALUE"""),5922893.721)</f>
        <v>5922893.721</v>
      </c>
      <c r="F187" s="11">
        <v>161614.12454615385</v>
      </c>
      <c r="G187" s="18">
        <f t="shared" si="1"/>
        <v>19</v>
      </c>
      <c r="H187" s="19">
        <f t="shared" si="2"/>
        <v>30.44416908</v>
      </c>
      <c r="I187" s="19">
        <f t="shared" si="3"/>
        <v>0.02091802624</v>
      </c>
    </row>
    <row r="188">
      <c r="A188" s="6">
        <f>IFERROR(__xludf.DUMMYFUNCTION("""COMPUTED_VALUE"""),43959.0)</f>
        <v>43959</v>
      </c>
      <c r="B188" s="7" t="str">
        <f>IFERROR(__xludf.DUMMYFUNCTION("""COMPUTED_VALUE"""),"Волгоград")</f>
        <v>Волгоград</v>
      </c>
      <c r="C188" s="7">
        <f>IFERROR(__xludf.DUMMYFUNCTION("""COMPUTED_VALUE"""),61804.5)</f>
        <v>61804.5</v>
      </c>
      <c r="D188" s="7">
        <f>IFERROR(__xludf.DUMMYFUNCTION("""COMPUTED_VALUE"""),5365708.5)</f>
        <v>5365708.5</v>
      </c>
      <c r="E188" s="7">
        <f>IFERROR(__xludf.DUMMYFUNCTION("""COMPUTED_VALUE"""),4091691.3249999997)</f>
        <v>4091691.325</v>
      </c>
      <c r="F188" s="8">
        <v>232169.67161538458</v>
      </c>
      <c r="G188" s="18">
        <f t="shared" si="1"/>
        <v>19</v>
      </c>
      <c r="H188" s="19">
        <f t="shared" si="2"/>
        <v>31.13668832</v>
      </c>
      <c r="I188" s="19">
        <f t="shared" si="3"/>
        <v>0.04326915478</v>
      </c>
    </row>
    <row r="189">
      <c r="A189" s="9">
        <f>IFERROR(__xludf.DUMMYFUNCTION("""COMPUTED_VALUE"""),43958.0)</f>
        <v>43958</v>
      </c>
      <c r="B189" s="10" t="str">
        <f>IFERROR(__xludf.DUMMYFUNCTION("""COMPUTED_VALUE"""),"Волгоград")</f>
        <v>Волгоград</v>
      </c>
      <c r="C189" s="10">
        <f>IFERROR(__xludf.DUMMYFUNCTION("""COMPUTED_VALUE"""),71067.0)</f>
        <v>71067</v>
      </c>
      <c r="D189" s="10">
        <f>IFERROR(__xludf.DUMMYFUNCTION("""COMPUTED_VALUE"""),6175837.5)</f>
        <v>6175837.5</v>
      </c>
      <c r="E189" s="10">
        <f>IFERROR(__xludf.DUMMYFUNCTION("""COMPUTED_VALUE"""),4747959.614)</f>
        <v>4747959.614</v>
      </c>
      <c r="F189" s="11">
        <v>157793.27424615383</v>
      </c>
      <c r="G189" s="18">
        <f t="shared" si="1"/>
        <v>19</v>
      </c>
      <c r="H189" s="19">
        <f t="shared" si="2"/>
        <v>30.0735053</v>
      </c>
      <c r="I189" s="19">
        <f t="shared" si="3"/>
        <v>0.02555010138</v>
      </c>
    </row>
    <row r="190">
      <c r="A190" s="6">
        <f>IFERROR(__xludf.DUMMYFUNCTION("""COMPUTED_VALUE"""),43975.0)</f>
        <v>43975</v>
      </c>
      <c r="B190" s="7" t="str">
        <f>IFERROR(__xludf.DUMMYFUNCTION("""COMPUTED_VALUE"""),"Волгоград")</f>
        <v>Волгоград</v>
      </c>
      <c r="C190" s="7">
        <f>IFERROR(__xludf.DUMMYFUNCTION("""COMPUTED_VALUE"""),74649.0)</f>
        <v>74649</v>
      </c>
      <c r="D190" s="7">
        <f>IFERROR(__xludf.DUMMYFUNCTION("""COMPUTED_VALUE"""),6098236.5)</f>
        <v>6098236.5</v>
      </c>
      <c r="E190" s="7">
        <f>IFERROR(__xludf.DUMMYFUNCTION("""COMPUTED_VALUE"""),5042435.841)</f>
        <v>5042435.841</v>
      </c>
      <c r="F190" s="8">
        <v>156805.8346153846</v>
      </c>
      <c r="G190" s="18">
        <f t="shared" si="1"/>
        <v>21</v>
      </c>
      <c r="H190" s="19">
        <f t="shared" si="2"/>
        <v>20.93830625</v>
      </c>
      <c r="I190" s="19">
        <f t="shared" si="3"/>
        <v>0.0257133082</v>
      </c>
    </row>
    <row r="191">
      <c r="A191" s="9">
        <f>IFERROR(__xludf.DUMMYFUNCTION("""COMPUTED_VALUE"""),43967.0)</f>
        <v>43967</v>
      </c>
      <c r="B191" s="10" t="str">
        <f>IFERROR(__xludf.DUMMYFUNCTION("""COMPUTED_VALUE"""),"Казань")</f>
        <v>Казань</v>
      </c>
      <c r="C191" s="10">
        <f>IFERROR(__xludf.DUMMYFUNCTION("""COMPUTED_VALUE"""),44560.5)</f>
        <v>44560.5</v>
      </c>
      <c r="D191" s="10">
        <f>IFERROR(__xludf.DUMMYFUNCTION("""COMPUTED_VALUE"""),4025148.0)</f>
        <v>4025148</v>
      </c>
      <c r="E191" s="10">
        <f>IFERROR(__xludf.DUMMYFUNCTION("""COMPUTED_VALUE"""),3259483.304)</f>
        <v>3259483.304</v>
      </c>
      <c r="F191" s="11">
        <v>145385.33866923075</v>
      </c>
      <c r="G191" s="18">
        <f t="shared" si="1"/>
        <v>20</v>
      </c>
      <c r="H191" s="19">
        <f t="shared" si="2"/>
        <v>23.49037024</v>
      </c>
      <c r="I191" s="19">
        <f t="shared" si="3"/>
        <v>0.03611925292</v>
      </c>
    </row>
    <row r="192">
      <c r="A192" s="6">
        <f>IFERROR(__xludf.DUMMYFUNCTION("""COMPUTED_VALUE"""),43970.0)</f>
        <v>43970</v>
      </c>
      <c r="B192" s="7" t="str">
        <f>IFERROR(__xludf.DUMMYFUNCTION("""COMPUTED_VALUE"""),"Казань")</f>
        <v>Казань</v>
      </c>
      <c r="C192" s="7">
        <f>IFERROR(__xludf.DUMMYFUNCTION("""COMPUTED_VALUE"""),38250.0)</f>
        <v>38250</v>
      </c>
      <c r="D192" s="7">
        <f>IFERROR(__xludf.DUMMYFUNCTION("""COMPUTED_VALUE"""),3552937.5)</f>
        <v>3552937.5</v>
      </c>
      <c r="E192" s="7">
        <f>IFERROR(__xludf.DUMMYFUNCTION("""COMPUTED_VALUE"""),2795344.17)</f>
        <v>2795344.17</v>
      </c>
      <c r="F192" s="8">
        <v>245048.2600769231</v>
      </c>
      <c r="G192" s="18">
        <f t="shared" si="1"/>
        <v>21</v>
      </c>
      <c r="H192" s="19">
        <f t="shared" si="2"/>
        <v>27.1019697</v>
      </c>
      <c r="I192" s="19">
        <f t="shared" si="3"/>
        <v>0.06897060815</v>
      </c>
    </row>
    <row r="193">
      <c r="A193" s="9">
        <f>IFERROR(__xludf.DUMMYFUNCTION("""COMPUTED_VALUE"""),43968.0)</f>
        <v>43968</v>
      </c>
      <c r="B193" s="10" t="str">
        <f>IFERROR(__xludf.DUMMYFUNCTION("""COMPUTED_VALUE"""),"Казань")</f>
        <v>Казань</v>
      </c>
      <c r="C193" s="10">
        <f>IFERROR(__xludf.DUMMYFUNCTION("""COMPUTED_VALUE"""),34830.0)</f>
        <v>34830</v>
      </c>
      <c r="D193" s="10">
        <f>IFERROR(__xludf.DUMMYFUNCTION("""COMPUTED_VALUE"""),3191155.5)</f>
        <v>3191155.5</v>
      </c>
      <c r="E193" s="10">
        <f>IFERROR(__xludf.DUMMYFUNCTION("""COMPUTED_VALUE"""),2528990.584)</f>
        <v>2528990.584</v>
      </c>
      <c r="F193" s="11">
        <v>292821.2230769231</v>
      </c>
      <c r="G193" s="18">
        <f t="shared" si="1"/>
        <v>20</v>
      </c>
      <c r="H193" s="19">
        <f t="shared" si="2"/>
        <v>26.18297277</v>
      </c>
      <c r="I193" s="19">
        <f t="shared" si="3"/>
        <v>0.09176024894</v>
      </c>
    </row>
    <row r="194">
      <c r="A194" s="6">
        <f>IFERROR(__xludf.DUMMYFUNCTION("""COMPUTED_VALUE"""),43960.0)</f>
        <v>43960</v>
      </c>
      <c r="B194" s="7" t="str">
        <f>IFERROR(__xludf.DUMMYFUNCTION("""COMPUTED_VALUE"""),"Казань")</f>
        <v>Казань</v>
      </c>
      <c r="C194" s="7">
        <f>IFERROR(__xludf.DUMMYFUNCTION("""COMPUTED_VALUE"""),32239.5)</f>
        <v>32239.5</v>
      </c>
      <c r="D194" s="7">
        <f>IFERROR(__xludf.DUMMYFUNCTION("""COMPUTED_VALUE"""),3084892.5)</f>
        <v>3084892.5</v>
      </c>
      <c r="E194" s="7">
        <f>IFERROR(__xludf.DUMMYFUNCTION("""COMPUTED_VALUE"""),2384575.363)</f>
        <v>2384575.363</v>
      </c>
      <c r="F194" s="8">
        <v>184346.05176923078</v>
      </c>
      <c r="G194" s="18">
        <f t="shared" si="1"/>
        <v>19</v>
      </c>
      <c r="H194" s="19">
        <f t="shared" si="2"/>
        <v>29.3686309</v>
      </c>
      <c r="I194" s="19">
        <f t="shared" si="3"/>
        <v>0.05975769067</v>
      </c>
    </row>
    <row r="195">
      <c r="A195" s="9">
        <f>IFERROR(__xludf.DUMMYFUNCTION("""COMPUTED_VALUE"""),43955.0)</f>
        <v>43955</v>
      </c>
      <c r="B195" s="10" t="str">
        <f>IFERROR(__xludf.DUMMYFUNCTION("""COMPUTED_VALUE"""),"Казань")</f>
        <v>Казань</v>
      </c>
      <c r="C195" s="10">
        <f>IFERROR(__xludf.DUMMYFUNCTION("""COMPUTED_VALUE"""),30780.0)</f>
        <v>30780</v>
      </c>
      <c r="D195" s="10">
        <f>IFERROR(__xludf.DUMMYFUNCTION("""COMPUTED_VALUE"""),2817853.5)</f>
        <v>2817853.5</v>
      </c>
      <c r="E195" s="10">
        <f>IFERROR(__xludf.DUMMYFUNCTION("""COMPUTED_VALUE"""),2169377.225)</f>
        <v>2169377.225</v>
      </c>
      <c r="F195" s="11">
        <v>215836.18461538458</v>
      </c>
      <c r="G195" s="18">
        <f t="shared" si="1"/>
        <v>19</v>
      </c>
      <c r="H195" s="19">
        <f t="shared" si="2"/>
        <v>29.89227819</v>
      </c>
      <c r="I195" s="19">
        <f t="shared" si="3"/>
        <v>0.07659595668</v>
      </c>
    </row>
    <row r="196">
      <c r="A196" s="6">
        <f>IFERROR(__xludf.DUMMYFUNCTION("""COMPUTED_VALUE"""),43950.0)</f>
        <v>43950</v>
      </c>
      <c r="B196" s="7" t="str">
        <f>IFERROR(__xludf.DUMMYFUNCTION("""COMPUTED_VALUE"""),"Казань")</f>
        <v>Казань</v>
      </c>
      <c r="C196" s="7">
        <f>IFERROR(__xludf.DUMMYFUNCTION("""COMPUTED_VALUE"""),29142.0)</f>
        <v>29142</v>
      </c>
      <c r="D196" s="7">
        <f>IFERROR(__xludf.DUMMYFUNCTION("""COMPUTED_VALUE"""),2627595.0)</f>
        <v>2627595</v>
      </c>
      <c r="E196" s="7">
        <f>IFERROR(__xludf.DUMMYFUNCTION("""COMPUTED_VALUE"""),2033299.2799999998)</f>
        <v>2033299.28</v>
      </c>
      <c r="F196" s="8">
        <v>202681.39594615382</v>
      </c>
      <c r="G196" s="18">
        <f t="shared" si="1"/>
        <v>18</v>
      </c>
      <c r="H196" s="19">
        <f t="shared" si="2"/>
        <v>29.22814786</v>
      </c>
      <c r="I196" s="19">
        <f t="shared" si="3"/>
        <v>0.07713570621</v>
      </c>
    </row>
    <row r="197">
      <c r="A197" s="9">
        <f>IFERROR(__xludf.DUMMYFUNCTION("""COMPUTED_VALUE"""),43953.0)</f>
        <v>43953</v>
      </c>
      <c r="B197" s="10" t="str">
        <f>IFERROR(__xludf.DUMMYFUNCTION("""COMPUTED_VALUE"""),"Казань")</f>
        <v>Казань</v>
      </c>
      <c r="C197" s="10">
        <f>IFERROR(__xludf.DUMMYFUNCTION("""COMPUTED_VALUE"""),26428.5)</f>
        <v>26428.5</v>
      </c>
      <c r="D197" s="10">
        <f>IFERROR(__xludf.DUMMYFUNCTION("""COMPUTED_VALUE"""),2470465.5)</f>
        <v>2470465.5</v>
      </c>
      <c r="E197" s="10">
        <f>IFERROR(__xludf.DUMMYFUNCTION("""COMPUTED_VALUE"""),1911613.144)</f>
        <v>1911613.144</v>
      </c>
      <c r="F197" s="11">
        <v>187667.93086153845</v>
      </c>
      <c r="G197" s="18">
        <f t="shared" si="1"/>
        <v>18</v>
      </c>
      <c r="H197" s="19">
        <f t="shared" si="2"/>
        <v>29.23459476</v>
      </c>
      <c r="I197" s="19">
        <f t="shared" si="3"/>
        <v>0.07596460297</v>
      </c>
    </row>
    <row r="198">
      <c r="A198" s="6">
        <f>IFERROR(__xludf.DUMMYFUNCTION("""COMPUTED_VALUE"""),43977.0)</f>
        <v>43977</v>
      </c>
      <c r="B198" s="7" t="str">
        <f>IFERROR(__xludf.DUMMYFUNCTION("""COMPUTED_VALUE"""),"Казань")</f>
        <v>Казань</v>
      </c>
      <c r="C198" s="7">
        <f>IFERROR(__xludf.DUMMYFUNCTION("""COMPUTED_VALUE"""),40744.5)</f>
        <v>40744.5</v>
      </c>
      <c r="D198" s="7">
        <f>IFERROR(__xludf.DUMMYFUNCTION("""COMPUTED_VALUE"""),3700311.0)</f>
        <v>3700311</v>
      </c>
      <c r="E198" s="7">
        <f>IFERROR(__xludf.DUMMYFUNCTION("""COMPUTED_VALUE"""),2861069.8419999997)</f>
        <v>2861069.842</v>
      </c>
      <c r="F198" s="8">
        <v>170303.62015384613</v>
      </c>
      <c r="G198" s="18">
        <f t="shared" si="1"/>
        <v>22</v>
      </c>
      <c r="H198" s="19">
        <f t="shared" si="2"/>
        <v>29.33312377</v>
      </c>
      <c r="I198" s="19">
        <f t="shared" si="3"/>
        <v>0.04602413693</v>
      </c>
    </row>
    <row r="199">
      <c r="A199" s="9">
        <f>IFERROR(__xludf.DUMMYFUNCTION("""COMPUTED_VALUE"""),43952.0)</f>
        <v>43952</v>
      </c>
      <c r="B199" s="10" t="str">
        <f>IFERROR(__xludf.DUMMYFUNCTION("""COMPUTED_VALUE"""),"Казань")</f>
        <v>Казань</v>
      </c>
      <c r="C199" s="10">
        <f>IFERROR(__xludf.DUMMYFUNCTION("""COMPUTED_VALUE"""),46620.0)</f>
        <v>46620</v>
      </c>
      <c r="D199" s="10">
        <f>IFERROR(__xludf.DUMMYFUNCTION("""COMPUTED_VALUE"""),4293241.5)</f>
        <v>4293241.5</v>
      </c>
      <c r="E199" s="10">
        <f>IFERROR(__xludf.DUMMYFUNCTION("""COMPUTED_VALUE"""),3389723.959)</f>
        <v>3389723.959</v>
      </c>
      <c r="F199" s="11">
        <v>329717.03827692306</v>
      </c>
      <c r="G199" s="18">
        <f t="shared" si="1"/>
        <v>18</v>
      </c>
      <c r="H199" s="19">
        <f t="shared" si="2"/>
        <v>26.65460527</v>
      </c>
      <c r="I199" s="19">
        <f t="shared" si="3"/>
        <v>0.07679908952</v>
      </c>
    </row>
    <row r="200">
      <c r="A200" s="6">
        <f>IFERROR(__xludf.DUMMYFUNCTION("""COMPUTED_VALUE"""),43963.0)</f>
        <v>43963</v>
      </c>
      <c r="B200" s="7" t="str">
        <f>IFERROR(__xludf.DUMMYFUNCTION("""COMPUTED_VALUE"""),"Казань")</f>
        <v>Казань</v>
      </c>
      <c r="C200" s="7">
        <f>IFERROR(__xludf.DUMMYFUNCTION("""COMPUTED_VALUE"""),32419.5)</f>
        <v>32419.5</v>
      </c>
      <c r="D200" s="7">
        <f>IFERROR(__xludf.DUMMYFUNCTION("""COMPUTED_VALUE"""),3080614.5)</f>
        <v>3080614.5</v>
      </c>
      <c r="E200" s="7">
        <f>IFERROR(__xludf.DUMMYFUNCTION("""COMPUTED_VALUE"""),2363955.7909999997)</f>
        <v>2363955.791</v>
      </c>
      <c r="F200" s="8">
        <v>200042.36143846155</v>
      </c>
      <c r="G200" s="18">
        <f t="shared" si="1"/>
        <v>20</v>
      </c>
      <c r="H200" s="19">
        <f t="shared" si="2"/>
        <v>30.31607916</v>
      </c>
      <c r="I200" s="19">
        <f t="shared" si="3"/>
        <v>0.0649358631</v>
      </c>
    </row>
    <row r="201">
      <c r="A201" s="9">
        <f>IFERROR(__xludf.DUMMYFUNCTION("""COMPUTED_VALUE"""),43972.0)</f>
        <v>43972</v>
      </c>
      <c r="B201" s="10" t="str">
        <f>IFERROR(__xludf.DUMMYFUNCTION("""COMPUTED_VALUE"""),"Казань")</f>
        <v>Казань</v>
      </c>
      <c r="C201" s="10">
        <f>IFERROR(__xludf.DUMMYFUNCTION("""COMPUTED_VALUE"""),40819.5)</f>
        <v>40819.5</v>
      </c>
      <c r="D201" s="10">
        <f>IFERROR(__xludf.DUMMYFUNCTION("""COMPUTED_VALUE"""),3810394.5)</f>
        <v>3810394.5</v>
      </c>
      <c r="E201" s="10">
        <f>IFERROR(__xludf.DUMMYFUNCTION("""COMPUTED_VALUE"""),3046897.794)</f>
        <v>3046897.794</v>
      </c>
      <c r="F201" s="11">
        <v>144594.4076923077</v>
      </c>
      <c r="G201" s="18">
        <f t="shared" si="1"/>
        <v>21</v>
      </c>
      <c r="H201" s="19">
        <f t="shared" si="2"/>
        <v>25.05816596</v>
      </c>
      <c r="I201" s="19">
        <f t="shared" si="3"/>
        <v>0.03794735891</v>
      </c>
    </row>
    <row r="202">
      <c r="A202" s="6">
        <f>IFERROR(__xludf.DUMMYFUNCTION("""COMPUTED_VALUE"""),43971.0)</f>
        <v>43971</v>
      </c>
      <c r="B202" s="7" t="str">
        <f>IFERROR(__xludf.DUMMYFUNCTION("""COMPUTED_VALUE"""),"Казань")</f>
        <v>Казань</v>
      </c>
      <c r="C202" s="7">
        <f>IFERROR(__xludf.DUMMYFUNCTION("""COMPUTED_VALUE"""),41391.0)</f>
        <v>41391</v>
      </c>
      <c r="D202" s="7">
        <f>IFERROR(__xludf.DUMMYFUNCTION("""COMPUTED_VALUE"""),3918987.0)</f>
        <v>3918987</v>
      </c>
      <c r="E202" s="7">
        <f>IFERROR(__xludf.DUMMYFUNCTION("""COMPUTED_VALUE"""),3141103.957)</f>
        <v>3141103.957</v>
      </c>
      <c r="F202" s="8">
        <v>205451.17950769232</v>
      </c>
      <c r="G202" s="18">
        <f t="shared" si="1"/>
        <v>21</v>
      </c>
      <c r="H202" s="19">
        <f t="shared" si="2"/>
        <v>24.7646386</v>
      </c>
      <c r="I202" s="19">
        <f t="shared" si="3"/>
        <v>0.05242456265</v>
      </c>
    </row>
    <row r="203">
      <c r="A203" s="9">
        <f>IFERROR(__xludf.DUMMYFUNCTION("""COMPUTED_VALUE"""),43956.0)</f>
        <v>43956</v>
      </c>
      <c r="B203" s="10" t="str">
        <f>IFERROR(__xludf.DUMMYFUNCTION("""COMPUTED_VALUE"""),"Казань")</f>
        <v>Казань</v>
      </c>
      <c r="C203" s="10">
        <f>IFERROR(__xludf.DUMMYFUNCTION("""COMPUTED_VALUE"""),29482.5)</f>
        <v>29482.5</v>
      </c>
      <c r="D203" s="10">
        <f>IFERROR(__xludf.DUMMYFUNCTION("""COMPUTED_VALUE"""),2648688.0)</f>
        <v>2648688</v>
      </c>
      <c r="E203" s="10">
        <f>IFERROR(__xludf.DUMMYFUNCTION("""COMPUTED_VALUE"""),2021918.12)</f>
        <v>2021918.12</v>
      </c>
      <c r="F203" s="11">
        <v>219587.1531846154</v>
      </c>
      <c r="G203" s="18">
        <f t="shared" si="1"/>
        <v>19</v>
      </c>
      <c r="H203" s="19">
        <f t="shared" si="2"/>
        <v>30.99877655</v>
      </c>
      <c r="I203" s="19">
        <f t="shared" si="3"/>
        <v>0.08290412203</v>
      </c>
    </row>
    <row r="204">
      <c r="A204" s="6">
        <f>IFERROR(__xludf.DUMMYFUNCTION("""COMPUTED_VALUE"""),43949.0)</f>
        <v>43949</v>
      </c>
      <c r="B204" s="7" t="str">
        <f>IFERROR(__xludf.DUMMYFUNCTION("""COMPUTED_VALUE"""),"Казань")</f>
        <v>Казань</v>
      </c>
      <c r="C204" s="7">
        <f>IFERROR(__xludf.DUMMYFUNCTION("""COMPUTED_VALUE"""),32181.0)</f>
        <v>32181</v>
      </c>
      <c r="D204" s="7">
        <f>IFERROR(__xludf.DUMMYFUNCTION("""COMPUTED_VALUE"""),2863600.5)</f>
        <v>2863600.5</v>
      </c>
      <c r="E204" s="7">
        <f>IFERROR(__xludf.DUMMYFUNCTION("""COMPUTED_VALUE"""),2246478.617)</f>
        <v>2246478.617</v>
      </c>
      <c r="F204" s="8">
        <v>140503.93076923076</v>
      </c>
      <c r="G204" s="18">
        <f t="shared" si="1"/>
        <v>18</v>
      </c>
      <c r="H204" s="19">
        <f t="shared" si="2"/>
        <v>27.47063241</v>
      </c>
      <c r="I204" s="19">
        <f t="shared" si="3"/>
        <v>0.0490654792</v>
      </c>
    </row>
    <row r="205">
      <c r="A205" s="9">
        <f>IFERROR(__xludf.DUMMYFUNCTION("""COMPUTED_VALUE"""),43964.0)</f>
        <v>43964</v>
      </c>
      <c r="B205" s="10" t="str">
        <f>IFERROR(__xludf.DUMMYFUNCTION("""COMPUTED_VALUE"""),"Казань")</f>
        <v>Казань</v>
      </c>
      <c r="C205" s="10">
        <f>IFERROR(__xludf.DUMMYFUNCTION("""COMPUTED_VALUE"""),35535.0)</f>
        <v>35535</v>
      </c>
      <c r="D205" s="10">
        <f>IFERROR(__xludf.DUMMYFUNCTION("""COMPUTED_VALUE"""),3288069.0)</f>
        <v>3288069</v>
      </c>
      <c r="E205" s="10">
        <f>IFERROR(__xludf.DUMMYFUNCTION("""COMPUTED_VALUE"""),2580984.03)</f>
        <v>2580984.03</v>
      </c>
      <c r="F205" s="11">
        <v>208081.82515384615</v>
      </c>
      <c r="G205" s="18">
        <f t="shared" si="1"/>
        <v>20</v>
      </c>
      <c r="H205" s="19">
        <f t="shared" si="2"/>
        <v>27.39594518</v>
      </c>
      <c r="I205" s="19">
        <f t="shared" si="3"/>
        <v>0.06328389859</v>
      </c>
    </row>
    <row r="206">
      <c r="A206" s="6">
        <f>IFERROR(__xludf.DUMMYFUNCTION("""COMPUTED_VALUE"""),43982.0)</f>
        <v>43982</v>
      </c>
      <c r="B206" s="7" t="str">
        <f>IFERROR(__xludf.DUMMYFUNCTION("""COMPUTED_VALUE"""),"Волгоград")</f>
        <v>Волгоград</v>
      </c>
      <c r="C206" s="7">
        <f>IFERROR(__xludf.DUMMYFUNCTION("""COMPUTED_VALUE"""),76234.5)</f>
        <v>76234.5</v>
      </c>
      <c r="D206" s="7">
        <f>IFERROR(__xludf.DUMMYFUNCTION("""COMPUTED_VALUE"""),6500848.5)</f>
        <v>6500848.5</v>
      </c>
      <c r="E206" s="7">
        <f>IFERROR(__xludf.DUMMYFUNCTION("""COMPUTED_VALUE"""),5172874.443999999)</f>
        <v>5172874.444</v>
      </c>
      <c r="F206" s="8">
        <v>60556.25153846153</v>
      </c>
      <c r="G206" s="18">
        <f t="shared" si="1"/>
        <v>22</v>
      </c>
      <c r="H206" s="19">
        <f t="shared" si="2"/>
        <v>25.67187877</v>
      </c>
      <c r="I206" s="19">
        <f t="shared" si="3"/>
        <v>0.009315130408</v>
      </c>
    </row>
    <row r="207">
      <c r="A207" s="9">
        <f>IFERROR(__xludf.DUMMYFUNCTION("""COMPUTED_VALUE"""),43954.0)</f>
        <v>43954</v>
      </c>
      <c r="B207" s="10" t="str">
        <f>IFERROR(__xludf.DUMMYFUNCTION("""COMPUTED_VALUE"""),"Казань")</f>
        <v>Казань</v>
      </c>
      <c r="C207" s="10">
        <f>IFERROR(__xludf.DUMMYFUNCTION("""COMPUTED_VALUE"""),29935.5)</f>
        <v>29935.5</v>
      </c>
      <c r="D207" s="10">
        <f>IFERROR(__xludf.DUMMYFUNCTION("""COMPUTED_VALUE"""),2720002.5)</f>
        <v>2720002.5</v>
      </c>
      <c r="E207" s="10">
        <f>IFERROR(__xludf.DUMMYFUNCTION("""COMPUTED_VALUE"""),2102974.001)</f>
        <v>2102974.001</v>
      </c>
      <c r="F207" s="11">
        <v>175338.6411076923</v>
      </c>
      <c r="G207" s="18">
        <f t="shared" si="1"/>
        <v>18</v>
      </c>
      <c r="H207" s="19">
        <f t="shared" si="2"/>
        <v>29.34075736</v>
      </c>
      <c r="I207" s="19">
        <f t="shared" si="3"/>
        <v>0.06446267645</v>
      </c>
    </row>
    <row r="208">
      <c r="A208" s="6">
        <f>IFERROR(__xludf.DUMMYFUNCTION("""COMPUTED_VALUE"""),43981.0)</f>
        <v>43981</v>
      </c>
      <c r="B208" s="7" t="str">
        <f>IFERROR(__xludf.DUMMYFUNCTION("""COMPUTED_VALUE"""),"Волгоград")</f>
        <v>Волгоград</v>
      </c>
      <c r="C208" s="7">
        <f>IFERROR(__xludf.DUMMYFUNCTION("""COMPUTED_VALUE"""),106926.0)</f>
        <v>106926</v>
      </c>
      <c r="D208" s="7">
        <f>IFERROR(__xludf.DUMMYFUNCTION("""COMPUTED_VALUE"""),9098386.5)</f>
        <v>9098386.5</v>
      </c>
      <c r="E208" s="7">
        <f>IFERROR(__xludf.DUMMYFUNCTION("""COMPUTED_VALUE"""),7354572.011)</f>
        <v>7354572.011</v>
      </c>
      <c r="F208" s="8">
        <v>193869.5929230769</v>
      </c>
      <c r="G208" s="18">
        <f t="shared" si="1"/>
        <v>22</v>
      </c>
      <c r="H208" s="19">
        <f t="shared" si="2"/>
        <v>23.71061819</v>
      </c>
      <c r="I208" s="19">
        <f t="shared" si="3"/>
        <v>0.02130812897</v>
      </c>
    </row>
    <row r="209">
      <c r="A209" s="9">
        <f>IFERROR(__xludf.DUMMYFUNCTION("""COMPUTED_VALUE"""),43957.0)</f>
        <v>43957</v>
      </c>
      <c r="B209" s="10" t="str">
        <f>IFERROR(__xludf.DUMMYFUNCTION("""COMPUTED_VALUE"""),"Казань")</f>
        <v>Казань</v>
      </c>
      <c r="C209" s="10">
        <f>IFERROR(__xludf.DUMMYFUNCTION("""COMPUTED_VALUE"""),30342.0)</f>
        <v>30342</v>
      </c>
      <c r="D209" s="10">
        <f>IFERROR(__xludf.DUMMYFUNCTION("""COMPUTED_VALUE"""),2738127.0)</f>
        <v>2738127</v>
      </c>
      <c r="E209" s="10">
        <f>IFERROR(__xludf.DUMMYFUNCTION("""COMPUTED_VALUE"""),2094375.01)</f>
        <v>2094375.01</v>
      </c>
      <c r="F209" s="11">
        <v>174068.47879999998</v>
      </c>
      <c r="G209" s="18">
        <f t="shared" si="1"/>
        <v>19</v>
      </c>
      <c r="H209" s="19">
        <f t="shared" si="2"/>
        <v>30.73718827</v>
      </c>
      <c r="I209" s="19">
        <f t="shared" si="3"/>
        <v>0.0635720983</v>
      </c>
    </row>
    <row r="210">
      <c r="A210" s="6">
        <f>IFERROR(__xludf.DUMMYFUNCTION("""COMPUTED_VALUE"""),43974.0)</f>
        <v>43974</v>
      </c>
      <c r="B210" s="7" t="str">
        <f>IFERROR(__xludf.DUMMYFUNCTION("""COMPUTED_VALUE"""),"Казань")</f>
        <v>Казань</v>
      </c>
      <c r="C210" s="7">
        <f>IFERROR(__xludf.DUMMYFUNCTION("""COMPUTED_VALUE"""),42999.0)</f>
        <v>42999</v>
      </c>
      <c r="D210" s="7">
        <f>IFERROR(__xludf.DUMMYFUNCTION("""COMPUTED_VALUE"""),3883215.0)</f>
        <v>3883215</v>
      </c>
      <c r="E210" s="7">
        <f>IFERROR(__xludf.DUMMYFUNCTION("""COMPUTED_VALUE"""),3151914.3419999997)</f>
        <v>3151914.342</v>
      </c>
      <c r="F210" s="8">
        <v>162279.9956153846</v>
      </c>
      <c r="G210" s="18">
        <f t="shared" si="1"/>
        <v>21</v>
      </c>
      <c r="H210" s="19">
        <f t="shared" si="2"/>
        <v>23.20179353</v>
      </c>
      <c r="I210" s="19">
        <f t="shared" si="3"/>
        <v>0.04179011351</v>
      </c>
    </row>
    <row r="211">
      <c r="A211" s="9">
        <f>IFERROR(__xludf.DUMMYFUNCTION("""COMPUTED_VALUE"""),43979.0)</f>
        <v>43979</v>
      </c>
      <c r="B211" s="10" t="str">
        <f>IFERROR(__xludf.DUMMYFUNCTION("""COMPUTED_VALUE"""),"Волгоград")</f>
        <v>Волгоград</v>
      </c>
      <c r="C211" s="10">
        <f>IFERROR(__xludf.DUMMYFUNCTION("""COMPUTED_VALUE"""),69945.0)</f>
        <v>69945</v>
      </c>
      <c r="D211" s="10">
        <f>IFERROR(__xludf.DUMMYFUNCTION("""COMPUTED_VALUE"""),6101931.0)</f>
        <v>6101931</v>
      </c>
      <c r="E211" s="10">
        <f>IFERROR(__xludf.DUMMYFUNCTION("""COMPUTED_VALUE"""),4743581.977999999)</f>
        <v>4743581.978</v>
      </c>
      <c r="F211" s="11">
        <v>226018.5524384615</v>
      </c>
      <c r="G211" s="18">
        <f t="shared" si="1"/>
        <v>22</v>
      </c>
      <c r="H211" s="19">
        <f t="shared" si="2"/>
        <v>28.63551275</v>
      </c>
      <c r="I211" s="19">
        <f t="shared" si="3"/>
        <v>0.03704049627</v>
      </c>
    </row>
    <row r="212">
      <c r="A212" s="6">
        <f>IFERROR(__xludf.DUMMYFUNCTION("""COMPUTED_VALUE"""),43976.0)</f>
        <v>43976</v>
      </c>
      <c r="B212" s="7" t="str">
        <f>IFERROR(__xludf.DUMMYFUNCTION("""COMPUTED_VALUE"""),"Казань")</f>
        <v>Казань</v>
      </c>
      <c r="C212" s="7">
        <f>IFERROR(__xludf.DUMMYFUNCTION("""COMPUTED_VALUE"""),38740.5)</f>
        <v>38740.5</v>
      </c>
      <c r="D212" s="7">
        <f>IFERROR(__xludf.DUMMYFUNCTION("""COMPUTED_VALUE"""),3561655.5)</f>
        <v>3561655.5</v>
      </c>
      <c r="E212" s="7">
        <f>IFERROR(__xludf.DUMMYFUNCTION("""COMPUTED_VALUE"""),2769041.2770000002)</f>
        <v>2769041.277</v>
      </c>
      <c r="F212" s="8">
        <v>180495.52483076922</v>
      </c>
      <c r="G212" s="18">
        <f t="shared" si="1"/>
        <v>22</v>
      </c>
      <c r="H212" s="19">
        <f t="shared" si="2"/>
        <v>28.62413896</v>
      </c>
      <c r="I212" s="19">
        <f t="shared" si="3"/>
        <v>0.0506774237</v>
      </c>
    </row>
    <row r="213">
      <c r="A213" s="9">
        <f>IFERROR(__xludf.DUMMYFUNCTION("""COMPUTED_VALUE"""),43951.0)</f>
        <v>43951</v>
      </c>
      <c r="B213" s="10" t="str">
        <f>IFERROR(__xludf.DUMMYFUNCTION("""COMPUTED_VALUE"""),"Казань")</f>
        <v>Казань</v>
      </c>
      <c r="C213" s="10">
        <f>IFERROR(__xludf.DUMMYFUNCTION("""COMPUTED_VALUE"""),31231.5)</f>
        <v>31231.5</v>
      </c>
      <c r="D213" s="10">
        <f>IFERROR(__xludf.DUMMYFUNCTION("""COMPUTED_VALUE"""),2853310.5)</f>
        <v>2853310.5</v>
      </c>
      <c r="E213" s="10">
        <f>IFERROR(__xludf.DUMMYFUNCTION("""COMPUTED_VALUE"""),2211817.6569999997)</f>
        <v>2211817.657</v>
      </c>
      <c r="F213" s="11">
        <v>63441.68461538461</v>
      </c>
      <c r="G213" s="18">
        <f t="shared" si="1"/>
        <v>18</v>
      </c>
      <c r="H213" s="19">
        <f t="shared" si="2"/>
        <v>29.00297142</v>
      </c>
      <c r="I213" s="19">
        <f t="shared" si="3"/>
        <v>0.02223441319</v>
      </c>
    </row>
    <row r="214">
      <c r="A214" s="6">
        <f>IFERROR(__xludf.DUMMYFUNCTION("""COMPUTED_VALUE"""),43961.0)</f>
        <v>43961</v>
      </c>
      <c r="B214" s="7" t="str">
        <f>IFERROR(__xludf.DUMMYFUNCTION("""COMPUTED_VALUE"""),"Казань")</f>
        <v>Казань</v>
      </c>
      <c r="C214" s="7">
        <f>IFERROR(__xludf.DUMMYFUNCTION("""COMPUTED_VALUE"""),37489.5)</f>
        <v>37489.5</v>
      </c>
      <c r="D214" s="7">
        <f>IFERROR(__xludf.DUMMYFUNCTION("""COMPUTED_VALUE"""),3549097.5)</f>
        <v>3549097.5</v>
      </c>
      <c r="E214" s="7">
        <f>IFERROR(__xludf.DUMMYFUNCTION("""COMPUTED_VALUE"""),2745646.948)</f>
        <v>2745646.948</v>
      </c>
      <c r="F214" s="8">
        <v>258287.05384615384</v>
      </c>
      <c r="G214" s="18">
        <f t="shared" si="1"/>
        <v>19</v>
      </c>
      <c r="H214" s="19">
        <f t="shared" si="2"/>
        <v>29.26270446</v>
      </c>
      <c r="I214" s="19">
        <f t="shared" si="3"/>
        <v>0.07277541793</v>
      </c>
    </row>
    <row r="215">
      <c r="A215" s="9">
        <f>IFERROR(__xludf.DUMMYFUNCTION("""COMPUTED_VALUE"""),43959.0)</f>
        <v>43959</v>
      </c>
      <c r="B215" s="10" t="str">
        <f>IFERROR(__xludf.DUMMYFUNCTION("""COMPUTED_VALUE"""),"Казань")</f>
        <v>Казань</v>
      </c>
      <c r="C215" s="10">
        <f>IFERROR(__xludf.DUMMYFUNCTION("""COMPUTED_VALUE"""),34399.5)</f>
        <v>34399.5</v>
      </c>
      <c r="D215" s="10">
        <f>IFERROR(__xludf.DUMMYFUNCTION("""COMPUTED_VALUE"""),3201358.5)</f>
        <v>3201358.5</v>
      </c>
      <c r="E215" s="10">
        <f>IFERROR(__xludf.DUMMYFUNCTION("""COMPUTED_VALUE"""),2481896.334)</f>
        <v>2481896.334</v>
      </c>
      <c r="F215" s="11">
        <v>156377.12456923077</v>
      </c>
      <c r="G215" s="18">
        <f t="shared" si="1"/>
        <v>19</v>
      </c>
      <c r="H215" s="19">
        <f t="shared" si="2"/>
        <v>28.9884052</v>
      </c>
      <c r="I215" s="19">
        <f t="shared" si="3"/>
        <v>0.0488471143</v>
      </c>
    </row>
    <row r="216">
      <c r="A216" s="6">
        <f>IFERROR(__xludf.DUMMYFUNCTION("""COMPUTED_VALUE"""),43958.0)</f>
        <v>43958</v>
      </c>
      <c r="B216" s="7" t="str">
        <f>IFERROR(__xludf.DUMMYFUNCTION("""COMPUTED_VALUE"""),"Казань")</f>
        <v>Казань</v>
      </c>
      <c r="C216" s="7">
        <f>IFERROR(__xludf.DUMMYFUNCTION("""COMPUTED_VALUE"""),32851.5)</f>
        <v>32851.5</v>
      </c>
      <c r="D216" s="7">
        <f>IFERROR(__xludf.DUMMYFUNCTION("""COMPUTED_VALUE"""),2934504.0)</f>
        <v>2934504</v>
      </c>
      <c r="E216" s="7">
        <f>IFERROR(__xludf.DUMMYFUNCTION("""COMPUTED_VALUE"""),2253872.138)</f>
        <v>2253872.138</v>
      </c>
      <c r="F216" s="8">
        <v>160756.50769230767</v>
      </c>
      <c r="G216" s="18">
        <f t="shared" si="1"/>
        <v>19</v>
      </c>
      <c r="H216" s="19">
        <f t="shared" si="2"/>
        <v>30.19833515</v>
      </c>
      <c r="I216" s="19">
        <f t="shared" si="3"/>
        <v>0.0547814921</v>
      </c>
    </row>
    <row r="217">
      <c r="A217" s="9">
        <f>IFERROR(__xludf.DUMMYFUNCTION("""COMPUTED_VALUE"""),43975.0)</f>
        <v>43975</v>
      </c>
      <c r="B217" s="10" t="str">
        <f>IFERROR(__xludf.DUMMYFUNCTION("""COMPUTED_VALUE"""),"Казань")</f>
        <v>Казань</v>
      </c>
      <c r="C217" s="10">
        <f>IFERROR(__xludf.DUMMYFUNCTION("""COMPUTED_VALUE"""),38194.5)</f>
        <v>38194.5</v>
      </c>
      <c r="D217" s="10">
        <f>IFERROR(__xludf.DUMMYFUNCTION("""COMPUTED_VALUE"""),3449302.5)</f>
        <v>3449302.5</v>
      </c>
      <c r="E217" s="10">
        <f>IFERROR(__xludf.DUMMYFUNCTION("""COMPUTED_VALUE"""),2798056.2479999997)</f>
        <v>2798056.248</v>
      </c>
      <c r="F217" s="11">
        <v>174707.83838461537</v>
      </c>
      <c r="G217" s="18">
        <f t="shared" si="1"/>
        <v>21</v>
      </c>
      <c r="H217" s="19">
        <f t="shared" si="2"/>
        <v>23.27495212</v>
      </c>
      <c r="I217" s="19">
        <f t="shared" si="3"/>
        <v>0.0506501933</v>
      </c>
    </row>
    <row r="218">
      <c r="A218" s="6">
        <f>IFERROR(__xludf.DUMMYFUNCTION("""COMPUTED_VALUE"""),43982.0)</f>
        <v>43982</v>
      </c>
      <c r="B218" s="7" t="str">
        <f>IFERROR(__xludf.DUMMYFUNCTION("""COMPUTED_VALUE"""),"Казань")</f>
        <v>Казань</v>
      </c>
      <c r="C218" s="7">
        <f>IFERROR(__xludf.DUMMYFUNCTION("""COMPUTED_VALUE"""),42423.0)</f>
        <v>42423</v>
      </c>
      <c r="D218" s="7">
        <f>IFERROR(__xludf.DUMMYFUNCTION("""COMPUTED_VALUE"""),3994153.5)</f>
        <v>3994153.5</v>
      </c>
      <c r="E218" s="7">
        <f>IFERROR(__xludf.DUMMYFUNCTION("""COMPUTED_VALUE"""),3105853.9129999997)</f>
        <v>3105853.913</v>
      </c>
      <c r="F218" s="8">
        <v>53605.71215384615</v>
      </c>
      <c r="G218" s="18">
        <f t="shared" si="1"/>
        <v>22</v>
      </c>
      <c r="H218" s="19">
        <f t="shared" si="2"/>
        <v>28.60081678</v>
      </c>
      <c r="I218" s="19">
        <f t="shared" si="3"/>
        <v>0.01342104457</v>
      </c>
    </row>
    <row r="219">
      <c r="A219" s="9">
        <f>IFERROR(__xludf.DUMMYFUNCTION("""COMPUTED_VALUE"""),43981.0)</f>
        <v>43981</v>
      </c>
      <c r="B219" s="10" t="str">
        <f>IFERROR(__xludf.DUMMYFUNCTION("""COMPUTED_VALUE"""),"Казань")</f>
        <v>Казань</v>
      </c>
      <c r="C219" s="10">
        <f>IFERROR(__xludf.DUMMYFUNCTION("""COMPUTED_VALUE"""),48286.5)</f>
        <v>48286.5</v>
      </c>
      <c r="D219" s="10">
        <f>IFERROR(__xludf.DUMMYFUNCTION("""COMPUTED_VALUE"""),4456441.5)</f>
        <v>4456441.5</v>
      </c>
      <c r="E219" s="10">
        <f>IFERROR(__xludf.DUMMYFUNCTION("""COMPUTED_VALUE"""),3473157.545)</f>
        <v>3473157.545</v>
      </c>
      <c r="F219" s="11">
        <v>205639.55141538463</v>
      </c>
      <c r="G219" s="18">
        <f t="shared" si="1"/>
        <v>22</v>
      </c>
      <c r="H219" s="19">
        <f t="shared" si="2"/>
        <v>28.3109517</v>
      </c>
      <c r="I219" s="19">
        <f t="shared" si="3"/>
        <v>0.04614433992</v>
      </c>
    </row>
    <row r="220">
      <c r="A220" s="6">
        <f>IFERROR(__xludf.DUMMYFUNCTION("""COMPUTED_VALUE"""),43979.0)</f>
        <v>43979</v>
      </c>
      <c r="B220" s="7" t="str">
        <f>IFERROR(__xludf.DUMMYFUNCTION("""COMPUTED_VALUE"""),"Казань")</f>
        <v>Казань</v>
      </c>
      <c r="C220" s="7">
        <f>IFERROR(__xludf.DUMMYFUNCTION("""COMPUTED_VALUE"""),41442.0)</f>
        <v>41442</v>
      </c>
      <c r="D220" s="7">
        <f>IFERROR(__xludf.DUMMYFUNCTION("""COMPUTED_VALUE"""),3893680.5)</f>
        <v>3893680.5</v>
      </c>
      <c r="E220" s="7">
        <f>IFERROR(__xludf.DUMMYFUNCTION("""COMPUTED_VALUE"""),3004872.349)</f>
        <v>3004872.349</v>
      </c>
      <c r="F220" s="8">
        <v>190911.88401538462</v>
      </c>
      <c r="G220" s="18">
        <f t="shared" si="1"/>
        <v>22</v>
      </c>
      <c r="H220" s="19">
        <f t="shared" si="2"/>
        <v>29.57889879</v>
      </c>
      <c r="I220" s="19">
        <f t="shared" si="3"/>
        <v>0.04903121456</v>
      </c>
    </row>
    <row r="221">
      <c r="A221" s="9">
        <f>IFERROR(__xludf.DUMMYFUNCTION("""COMPUTED_VALUE"""),43967.0)</f>
        <v>43967</v>
      </c>
      <c r="B221" s="10" t="str">
        <f>IFERROR(__xludf.DUMMYFUNCTION("""COMPUTED_VALUE"""),"Пермь")</f>
        <v>Пермь</v>
      </c>
      <c r="C221" s="10">
        <f>IFERROR(__xludf.DUMMYFUNCTION("""COMPUTED_VALUE"""),18600.0)</f>
        <v>18600</v>
      </c>
      <c r="D221" s="10">
        <f>IFERROR(__xludf.DUMMYFUNCTION("""COMPUTED_VALUE"""),1601425.5)</f>
        <v>1601425.5</v>
      </c>
      <c r="E221" s="10">
        <f>IFERROR(__xludf.DUMMYFUNCTION("""COMPUTED_VALUE"""),1268422.666)</f>
        <v>1268422.666</v>
      </c>
      <c r="F221" s="11">
        <v>189642.93076923076</v>
      </c>
      <c r="G221" s="18">
        <f t="shared" si="1"/>
        <v>20</v>
      </c>
      <c r="H221" s="19">
        <f t="shared" si="2"/>
        <v>26.25330207</v>
      </c>
      <c r="I221" s="19">
        <f t="shared" si="3"/>
        <v>0.1184213257</v>
      </c>
    </row>
    <row r="222">
      <c r="A222" s="6">
        <f>IFERROR(__xludf.DUMMYFUNCTION("""COMPUTED_VALUE"""),43970.0)</f>
        <v>43970</v>
      </c>
      <c r="B222" s="7" t="str">
        <f>IFERROR(__xludf.DUMMYFUNCTION("""COMPUTED_VALUE"""),"Пермь")</f>
        <v>Пермь</v>
      </c>
      <c r="C222" s="7">
        <f>IFERROR(__xludf.DUMMYFUNCTION("""COMPUTED_VALUE"""),16638.0)</f>
        <v>16638</v>
      </c>
      <c r="D222" s="7">
        <f>IFERROR(__xludf.DUMMYFUNCTION("""COMPUTED_VALUE"""),1364847.0)</f>
        <v>1364847</v>
      </c>
      <c r="E222" s="7">
        <f>IFERROR(__xludf.DUMMYFUNCTION("""COMPUTED_VALUE"""),1137103.412)</f>
        <v>1137103.412</v>
      </c>
      <c r="F222" s="8">
        <v>258642.5153846154</v>
      </c>
      <c r="G222" s="18">
        <f t="shared" si="1"/>
        <v>21</v>
      </c>
      <c r="H222" s="19">
        <f t="shared" si="2"/>
        <v>20.02839721</v>
      </c>
      <c r="I222" s="19">
        <f t="shared" si="3"/>
        <v>0.1895029372</v>
      </c>
    </row>
    <row r="223">
      <c r="A223" s="9">
        <f>IFERROR(__xludf.DUMMYFUNCTION("""COMPUTED_VALUE"""),43968.0)</f>
        <v>43968</v>
      </c>
      <c r="B223" s="10" t="str">
        <f>IFERROR(__xludf.DUMMYFUNCTION("""COMPUTED_VALUE"""),"Пермь")</f>
        <v>Пермь</v>
      </c>
      <c r="C223" s="10">
        <f>IFERROR(__xludf.DUMMYFUNCTION("""COMPUTED_VALUE"""),15609.0)</f>
        <v>15609</v>
      </c>
      <c r="D223" s="10">
        <f>IFERROR(__xludf.DUMMYFUNCTION("""COMPUTED_VALUE"""),1377577.5)</f>
        <v>1377577.5</v>
      </c>
      <c r="E223" s="10">
        <f>IFERROR(__xludf.DUMMYFUNCTION("""COMPUTED_VALUE"""),1086345.0159999998)</f>
        <v>1086345.016</v>
      </c>
      <c r="F223" s="11">
        <v>224718.4076923077</v>
      </c>
      <c r="G223" s="18">
        <f t="shared" si="1"/>
        <v>20</v>
      </c>
      <c r="H223" s="19">
        <f t="shared" si="2"/>
        <v>26.80847058</v>
      </c>
      <c r="I223" s="19">
        <f t="shared" si="3"/>
        <v>0.1631257825</v>
      </c>
    </row>
    <row r="224">
      <c r="A224" s="6">
        <f>IFERROR(__xludf.DUMMYFUNCTION("""COMPUTED_VALUE"""),43960.0)</f>
        <v>43960</v>
      </c>
      <c r="B224" s="7" t="str">
        <f>IFERROR(__xludf.DUMMYFUNCTION("""COMPUTED_VALUE"""),"Пермь")</f>
        <v>Пермь</v>
      </c>
      <c r="C224" s="7">
        <f>IFERROR(__xludf.DUMMYFUNCTION("""COMPUTED_VALUE"""),13948.5)</f>
        <v>13948.5</v>
      </c>
      <c r="D224" s="7">
        <f>IFERROR(__xludf.DUMMYFUNCTION("""COMPUTED_VALUE"""),1222932.0)</f>
        <v>1222932</v>
      </c>
      <c r="E224" s="7">
        <f>IFERROR(__xludf.DUMMYFUNCTION("""COMPUTED_VALUE"""),974409.1449999999)</f>
        <v>974409.145</v>
      </c>
      <c r="F224" s="8">
        <v>299208.26923076925</v>
      </c>
      <c r="G224" s="18">
        <f t="shared" si="1"/>
        <v>19</v>
      </c>
      <c r="H224" s="19">
        <f t="shared" si="2"/>
        <v>25.50497974</v>
      </c>
      <c r="I224" s="19">
        <f t="shared" si="3"/>
        <v>0.2446646823</v>
      </c>
    </row>
    <row r="225">
      <c r="A225" s="9">
        <f>IFERROR(__xludf.DUMMYFUNCTION("""COMPUTED_VALUE"""),43955.0)</f>
        <v>43955</v>
      </c>
      <c r="B225" s="10" t="str">
        <f>IFERROR(__xludf.DUMMYFUNCTION("""COMPUTED_VALUE"""),"Пермь")</f>
        <v>Пермь</v>
      </c>
      <c r="C225" s="10">
        <f>IFERROR(__xludf.DUMMYFUNCTION("""COMPUTED_VALUE"""),12301.5)</f>
        <v>12301.5</v>
      </c>
      <c r="D225" s="10">
        <f>IFERROR(__xludf.DUMMYFUNCTION("""COMPUTED_VALUE"""),1085211.0)</f>
        <v>1085211</v>
      </c>
      <c r="E225" s="10">
        <f>IFERROR(__xludf.DUMMYFUNCTION("""COMPUTED_VALUE"""),874153.345)</f>
        <v>874153.345</v>
      </c>
      <c r="F225" s="11">
        <v>243709.4826923077</v>
      </c>
      <c r="G225" s="18">
        <f t="shared" si="1"/>
        <v>19</v>
      </c>
      <c r="H225" s="19">
        <f t="shared" si="2"/>
        <v>24.14423696</v>
      </c>
      <c r="I225" s="19">
        <f t="shared" si="3"/>
        <v>0.2245733619</v>
      </c>
    </row>
    <row r="226">
      <c r="A226" s="6">
        <f>IFERROR(__xludf.DUMMYFUNCTION("""COMPUTED_VALUE"""),43950.0)</f>
        <v>43950</v>
      </c>
      <c r="B226" s="7" t="str">
        <f>IFERROR(__xludf.DUMMYFUNCTION("""COMPUTED_VALUE"""),"Пермь")</f>
        <v>Пермь</v>
      </c>
      <c r="C226" s="7">
        <f>IFERROR(__xludf.DUMMYFUNCTION("""COMPUTED_VALUE"""),13014.0)</f>
        <v>13014</v>
      </c>
      <c r="D226" s="7">
        <f>IFERROR(__xludf.DUMMYFUNCTION("""COMPUTED_VALUE"""),1115992.5)</f>
        <v>1115992.5</v>
      </c>
      <c r="E226" s="7">
        <f>IFERROR(__xludf.DUMMYFUNCTION("""COMPUTED_VALUE"""),928035.2359999999)</f>
        <v>928035.236</v>
      </c>
      <c r="F226" s="8">
        <v>185811.06153846154</v>
      </c>
      <c r="G226" s="18">
        <f t="shared" si="1"/>
        <v>18</v>
      </c>
      <c r="H226" s="19">
        <f t="shared" si="2"/>
        <v>20.2532465</v>
      </c>
      <c r="I226" s="19">
        <f t="shared" si="3"/>
        <v>0.1664984859</v>
      </c>
    </row>
    <row r="227">
      <c r="A227" s="9">
        <f>IFERROR(__xludf.DUMMYFUNCTION("""COMPUTED_VALUE"""),43953.0)</f>
        <v>43953</v>
      </c>
      <c r="B227" s="10" t="str">
        <f>IFERROR(__xludf.DUMMYFUNCTION("""COMPUTED_VALUE"""),"Пермь")</f>
        <v>Пермь</v>
      </c>
      <c r="C227" s="10">
        <f>IFERROR(__xludf.DUMMYFUNCTION("""COMPUTED_VALUE"""),12313.5)</f>
        <v>12313.5</v>
      </c>
      <c r="D227" s="10">
        <f>IFERROR(__xludf.DUMMYFUNCTION("""COMPUTED_VALUE"""),1053220.5)</f>
        <v>1053220.5</v>
      </c>
      <c r="E227" s="10">
        <f>IFERROR(__xludf.DUMMYFUNCTION("""COMPUTED_VALUE"""),843395.109)</f>
        <v>843395.109</v>
      </c>
      <c r="F227" s="11">
        <v>137019.6769230769</v>
      </c>
      <c r="G227" s="18">
        <f t="shared" si="1"/>
        <v>18</v>
      </c>
      <c r="H227" s="19">
        <f t="shared" si="2"/>
        <v>24.87865874</v>
      </c>
      <c r="I227" s="19">
        <f t="shared" si="3"/>
        <v>0.1300959077</v>
      </c>
    </row>
    <row r="228">
      <c r="A228" s="6">
        <f>IFERROR(__xludf.DUMMYFUNCTION("""COMPUTED_VALUE"""),43977.0)</f>
        <v>43977</v>
      </c>
      <c r="B228" s="7" t="str">
        <f>IFERROR(__xludf.DUMMYFUNCTION("""COMPUTED_VALUE"""),"Пермь")</f>
        <v>Пермь</v>
      </c>
      <c r="C228" s="7">
        <f>IFERROR(__xludf.DUMMYFUNCTION("""COMPUTED_VALUE"""),17391.0)</f>
        <v>17391</v>
      </c>
      <c r="D228" s="7">
        <f>IFERROR(__xludf.DUMMYFUNCTION("""COMPUTED_VALUE"""),1489132.5)</f>
        <v>1489132.5</v>
      </c>
      <c r="E228" s="7">
        <f>IFERROR(__xludf.DUMMYFUNCTION("""COMPUTED_VALUE"""),1209901.0159999998)</f>
        <v>1209901.016</v>
      </c>
      <c r="F228" s="8">
        <v>272121.8153846154</v>
      </c>
      <c r="G228" s="18">
        <f t="shared" si="1"/>
        <v>22</v>
      </c>
      <c r="H228" s="19">
        <f t="shared" si="2"/>
        <v>23.07887011</v>
      </c>
      <c r="I228" s="19">
        <f t="shared" si="3"/>
        <v>0.1827384839</v>
      </c>
    </row>
    <row r="229">
      <c r="A229" s="9">
        <f>IFERROR(__xludf.DUMMYFUNCTION("""COMPUTED_VALUE"""),43952.0)</f>
        <v>43952</v>
      </c>
      <c r="B229" s="10" t="str">
        <f>IFERROR(__xludf.DUMMYFUNCTION("""COMPUTED_VALUE"""),"Пермь")</f>
        <v>Пермь</v>
      </c>
      <c r="C229" s="10">
        <f>IFERROR(__xludf.DUMMYFUNCTION("""COMPUTED_VALUE"""),17113.5)</f>
        <v>17113.5</v>
      </c>
      <c r="D229" s="10">
        <f>IFERROR(__xludf.DUMMYFUNCTION("""COMPUTED_VALUE"""),1465842.0)</f>
        <v>1465842</v>
      </c>
      <c r="E229" s="10">
        <f>IFERROR(__xludf.DUMMYFUNCTION("""COMPUTED_VALUE"""),1193019.642)</f>
        <v>1193019.642</v>
      </c>
      <c r="F229" s="11">
        <v>272484.6307692308</v>
      </c>
      <c r="G229" s="18">
        <f t="shared" si="1"/>
        <v>18</v>
      </c>
      <c r="H229" s="19">
        <f t="shared" si="2"/>
        <v>22.86822014</v>
      </c>
      <c r="I229" s="19">
        <f t="shared" si="3"/>
        <v>0.1858894961</v>
      </c>
    </row>
    <row r="230">
      <c r="A230" s="6">
        <f>IFERROR(__xludf.DUMMYFUNCTION("""COMPUTED_VALUE"""),43963.0)</f>
        <v>43963</v>
      </c>
      <c r="B230" s="7" t="str">
        <f>IFERROR(__xludf.DUMMYFUNCTION("""COMPUTED_VALUE"""),"Пермь")</f>
        <v>Пермь</v>
      </c>
      <c r="C230" s="7">
        <f>IFERROR(__xludf.DUMMYFUNCTION("""COMPUTED_VALUE"""),12802.5)</f>
        <v>12802.5</v>
      </c>
      <c r="D230" s="7">
        <f>IFERROR(__xludf.DUMMYFUNCTION("""COMPUTED_VALUE"""),1123830.0)</f>
        <v>1123830</v>
      </c>
      <c r="E230" s="7">
        <f>IFERROR(__xludf.DUMMYFUNCTION("""COMPUTED_VALUE"""),914932.571)</f>
        <v>914932.571</v>
      </c>
      <c r="F230" s="8">
        <v>284287.79007692303</v>
      </c>
      <c r="G230" s="18">
        <f t="shared" si="1"/>
        <v>20</v>
      </c>
      <c r="H230" s="19">
        <f t="shared" si="2"/>
        <v>22.83200267</v>
      </c>
      <c r="I230" s="19">
        <f t="shared" si="3"/>
        <v>0.2529633397</v>
      </c>
    </row>
    <row r="231">
      <c r="A231" s="9">
        <f>IFERROR(__xludf.DUMMYFUNCTION("""COMPUTED_VALUE"""),43972.0)</f>
        <v>43972</v>
      </c>
      <c r="B231" s="10" t="str">
        <f>IFERROR(__xludf.DUMMYFUNCTION("""COMPUTED_VALUE"""),"Пермь")</f>
        <v>Пермь</v>
      </c>
      <c r="C231" s="10">
        <f>IFERROR(__xludf.DUMMYFUNCTION("""COMPUTED_VALUE"""),16554.0)</f>
        <v>16554</v>
      </c>
      <c r="D231" s="10">
        <f>IFERROR(__xludf.DUMMYFUNCTION("""COMPUTED_VALUE"""),1380751.5)</f>
        <v>1380751.5</v>
      </c>
      <c r="E231" s="10">
        <f>IFERROR(__xludf.DUMMYFUNCTION("""COMPUTED_VALUE"""),1137748.7319999998)</f>
        <v>1137748.732</v>
      </c>
      <c r="F231" s="11">
        <v>227139.51416923077</v>
      </c>
      <c r="G231" s="18">
        <f t="shared" si="1"/>
        <v>21</v>
      </c>
      <c r="H231" s="19">
        <f t="shared" si="2"/>
        <v>21.3582104</v>
      </c>
      <c r="I231" s="19">
        <f t="shared" si="3"/>
        <v>0.1645042675</v>
      </c>
    </row>
    <row r="232">
      <c r="A232" s="6">
        <f>IFERROR(__xludf.DUMMYFUNCTION("""COMPUTED_VALUE"""),43971.0)</f>
        <v>43971</v>
      </c>
      <c r="B232" s="7" t="str">
        <f>IFERROR(__xludf.DUMMYFUNCTION("""COMPUTED_VALUE"""),"Пермь")</f>
        <v>Пермь</v>
      </c>
      <c r="C232" s="7">
        <f>IFERROR(__xludf.DUMMYFUNCTION("""COMPUTED_VALUE"""),17329.5)</f>
        <v>17329.5</v>
      </c>
      <c r="D232" s="7">
        <f>IFERROR(__xludf.DUMMYFUNCTION("""COMPUTED_VALUE"""),1430254.5)</f>
        <v>1430254.5</v>
      </c>
      <c r="E232" s="7">
        <f>IFERROR(__xludf.DUMMYFUNCTION("""COMPUTED_VALUE"""),1175778.837)</f>
        <v>1175778.837</v>
      </c>
      <c r="F232" s="8">
        <v>286968.8769230769</v>
      </c>
      <c r="G232" s="18">
        <f t="shared" si="1"/>
        <v>21</v>
      </c>
      <c r="H232" s="19">
        <f t="shared" si="2"/>
        <v>21.64315728</v>
      </c>
      <c r="I232" s="19">
        <f t="shared" si="3"/>
        <v>0.2006418277</v>
      </c>
    </row>
    <row r="233">
      <c r="A233" s="9">
        <f>IFERROR(__xludf.DUMMYFUNCTION("""COMPUTED_VALUE"""),43956.0)</f>
        <v>43956</v>
      </c>
      <c r="B233" s="10" t="str">
        <f>IFERROR(__xludf.DUMMYFUNCTION("""COMPUTED_VALUE"""),"Пермь")</f>
        <v>Пермь</v>
      </c>
      <c r="C233" s="10">
        <f>IFERROR(__xludf.DUMMYFUNCTION("""COMPUTED_VALUE"""),15987.0)</f>
        <v>15987</v>
      </c>
      <c r="D233" s="10">
        <f>IFERROR(__xludf.DUMMYFUNCTION("""COMPUTED_VALUE"""),1384179.0)</f>
        <v>1384179</v>
      </c>
      <c r="E233" s="10">
        <f>IFERROR(__xludf.DUMMYFUNCTION("""COMPUTED_VALUE"""),1116620.792)</f>
        <v>1116620.792</v>
      </c>
      <c r="F233" s="11">
        <v>220298.15353846154</v>
      </c>
      <c r="G233" s="18">
        <f t="shared" si="1"/>
        <v>19</v>
      </c>
      <c r="H233" s="19">
        <f t="shared" si="2"/>
        <v>23.96142092</v>
      </c>
      <c r="I233" s="19">
        <f t="shared" si="3"/>
        <v>0.1591543822</v>
      </c>
    </row>
    <row r="234">
      <c r="A234" s="6">
        <f>IFERROR(__xludf.DUMMYFUNCTION("""COMPUTED_VALUE"""),43949.0)</f>
        <v>43949</v>
      </c>
      <c r="B234" s="7" t="str">
        <f>IFERROR(__xludf.DUMMYFUNCTION("""COMPUTED_VALUE"""),"Пермь")</f>
        <v>Пермь</v>
      </c>
      <c r="C234" s="7">
        <f>IFERROR(__xludf.DUMMYFUNCTION("""COMPUTED_VALUE"""),13303.5)</f>
        <v>13303.5</v>
      </c>
      <c r="D234" s="7">
        <f>IFERROR(__xludf.DUMMYFUNCTION("""COMPUTED_VALUE"""),1102887.0)</f>
        <v>1102887</v>
      </c>
      <c r="E234" s="7">
        <f>IFERROR(__xludf.DUMMYFUNCTION("""COMPUTED_VALUE"""),914116.792)</f>
        <v>914116.792</v>
      </c>
      <c r="F234" s="8">
        <v>173095.92049999998</v>
      </c>
      <c r="G234" s="18">
        <f t="shared" si="1"/>
        <v>18</v>
      </c>
      <c r="H234" s="19">
        <f t="shared" si="2"/>
        <v>20.65055687</v>
      </c>
      <c r="I234" s="19">
        <f t="shared" si="3"/>
        <v>0.1569480105</v>
      </c>
    </row>
    <row r="235">
      <c r="A235" s="9">
        <f>IFERROR(__xludf.DUMMYFUNCTION("""COMPUTED_VALUE"""),43964.0)</f>
        <v>43964</v>
      </c>
      <c r="B235" s="10" t="str">
        <f>IFERROR(__xludf.DUMMYFUNCTION("""COMPUTED_VALUE"""),"Пермь")</f>
        <v>Пермь</v>
      </c>
      <c r="C235" s="10">
        <f>IFERROR(__xludf.DUMMYFUNCTION("""COMPUTED_VALUE"""),14305.5)</f>
        <v>14305.5</v>
      </c>
      <c r="D235" s="10">
        <f>IFERROR(__xludf.DUMMYFUNCTION("""COMPUTED_VALUE"""),1243507.5)</f>
        <v>1243507.5</v>
      </c>
      <c r="E235" s="10">
        <f>IFERROR(__xludf.DUMMYFUNCTION("""COMPUTED_VALUE"""),987216.7409999999)</f>
        <v>987216.741</v>
      </c>
      <c r="F235" s="11">
        <v>233030.6</v>
      </c>
      <c r="G235" s="18">
        <f t="shared" si="1"/>
        <v>20</v>
      </c>
      <c r="H235" s="19">
        <f t="shared" si="2"/>
        <v>25.96094134</v>
      </c>
      <c r="I235" s="19">
        <f t="shared" si="3"/>
        <v>0.1873978243</v>
      </c>
    </row>
    <row r="236">
      <c r="A236" s="6">
        <f>IFERROR(__xludf.DUMMYFUNCTION("""COMPUTED_VALUE"""),43954.0)</f>
        <v>43954</v>
      </c>
      <c r="B236" s="7" t="str">
        <f>IFERROR(__xludf.DUMMYFUNCTION("""COMPUTED_VALUE"""),"Пермь")</f>
        <v>Пермь</v>
      </c>
      <c r="C236" s="7">
        <f>IFERROR(__xludf.DUMMYFUNCTION("""COMPUTED_VALUE"""),12924.0)</f>
        <v>12924</v>
      </c>
      <c r="D236" s="7">
        <f>IFERROR(__xludf.DUMMYFUNCTION("""COMPUTED_VALUE"""),1120009.5)</f>
        <v>1120009.5</v>
      </c>
      <c r="E236" s="7">
        <f>IFERROR(__xludf.DUMMYFUNCTION("""COMPUTED_VALUE"""),902752.717)</f>
        <v>902752.717</v>
      </c>
      <c r="F236" s="8">
        <v>193184.6</v>
      </c>
      <c r="G236" s="18">
        <f t="shared" si="1"/>
        <v>18</v>
      </c>
      <c r="H236" s="19">
        <f t="shared" si="2"/>
        <v>24.0660348</v>
      </c>
      <c r="I236" s="19">
        <f t="shared" si="3"/>
        <v>0.172484787</v>
      </c>
    </row>
    <row r="237">
      <c r="A237" s="9">
        <f>IFERROR(__xludf.DUMMYFUNCTION("""COMPUTED_VALUE"""),43957.0)</f>
        <v>43957</v>
      </c>
      <c r="B237" s="10" t="str">
        <f>IFERROR(__xludf.DUMMYFUNCTION("""COMPUTED_VALUE"""),"Пермь")</f>
        <v>Пермь</v>
      </c>
      <c r="C237" s="10">
        <f>IFERROR(__xludf.DUMMYFUNCTION("""COMPUTED_VALUE"""),14061.0)</f>
        <v>14061</v>
      </c>
      <c r="D237" s="10">
        <f>IFERROR(__xludf.DUMMYFUNCTION("""COMPUTED_VALUE"""),1221057.0)</f>
        <v>1221057</v>
      </c>
      <c r="E237" s="10">
        <f>IFERROR(__xludf.DUMMYFUNCTION("""COMPUTED_VALUE"""),983096.417)</f>
        <v>983096.417</v>
      </c>
      <c r="F237" s="11">
        <v>373408.8334307692</v>
      </c>
      <c r="G237" s="18">
        <f t="shared" si="1"/>
        <v>19</v>
      </c>
      <c r="H237" s="19">
        <f t="shared" si="2"/>
        <v>24.20521313</v>
      </c>
      <c r="I237" s="19">
        <f t="shared" si="3"/>
        <v>0.3058078644</v>
      </c>
    </row>
    <row r="238">
      <c r="A238" s="6">
        <f>IFERROR(__xludf.DUMMYFUNCTION("""COMPUTED_VALUE"""),43974.0)</f>
        <v>43974</v>
      </c>
      <c r="B238" s="7" t="str">
        <f>IFERROR(__xludf.DUMMYFUNCTION("""COMPUTED_VALUE"""),"Пермь")</f>
        <v>Пермь</v>
      </c>
      <c r="C238" s="7">
        <f>IFERROR(__xludf.DUMMYFUNCTION("""COMPUTED_VALUE"""),21958.5)</f>
        <v>21958.5</v>
      </c>
      <c r="D238" s="7">
        <f>IFERROR(__xludf.DUMMYFUNCTION("""COMPUTED_VALUE"""),1854001.5)</f>
        <v>1854001.5</v>
      </c>
      <c r="E238" s="7">
        <f>IFERROR(__xludf.DUMMYFUNCTION("""COMPUTED_VALUE"""),1515956.368)</f>
        <v>1515956.368</v>
      </c>
      <c r="F238" s="8">
        <v>206787.93638461537</v>
      </c>
      <c r="G238" s="18">
        <f t="shared" si="1"/>
        <v>21</v>
      </c>
      <c r="H238" s="19">
        <f t="shared" si="2"/>
        <v>22.29913335</v>
      </c>
      <c r="I238" s="19">
        <f t="shared" si="3"/>
        <v>0.1115360135</v>
      </c>
    </row>
    <row r="239">
      <c r="A239" s="9">
        <f>IFERROR(__xludf.DUMMYFUNCTION("""COMPUTED_VALUE"""),43976.0)</f>
        <v>43976</v>
      </c>
      <c r="B239" s="10" t="str">
        <f>IFERROR(__xludf.DUMMYFUNCTION("""COMPUTED_VALUE"""),"Пермь")</f>
        <v>Пермь</v>
      </c>
      <c r="C239" s="10">
        <f>IFERROR(__xludf.DUMMYFUNCTION("""COMPUTED_VALUE"""),17211.0)</f>
        <v>17211</v>
      </c>
      <c r="D239" s="10">
        <f>IFERROR(__xludf.DUMMYFUNCTION("""COMPUTED_VALUE"""),1507867.5)</f>
        <v>1507867.5</v>
      </c>
      <c r="E239" s="10">
        <f>IFERROR(__xludf.DUMMYFUNCTION("""COMPUTED_VALUE"""),1217527.6069999998)</f>
        <v>1217527.607</v>
      </c>
      <c r="F239" s="11">
        <v>246242.8615384615</v>
      </c>
      <c r="G239" s="18">
        <f t="shared" si="1"/>
        <v>22</v>
      </c>
      <c r="H239" s="19">
        <f t="shared" si="2"/>
        <v>23.84667841</v>
      </c>
      <c r="I239" s="19">
        <f t="shared" si="3"/>
        <v>0.163305371</v>
      </c>
    </row>
    <row r="240">
      <c r="A240" s="6">
        <f>IFERROR(__xludf.DUMMYFUNCTION("""COMPUTED_VALUE"""),43951.0)</f>
        <v>43951</v>
      </c>
      <c r="B240" s="7" t="str">
        <f>IFERROR(__xludf.DUMMYFUNCTION("""COMPUTED_VALUE"""),"Пермь")</f>
        <v>Пермь</v>
      </c>
      <c r="C240" s="7">
        <f>IFERROR(__xludf.DUMMYFUNCTION("""COMPUTED_VALUE"""),12753.0)</f>
        <v>12753</v>
      </c>
      <c r="D240" s="7">
        <f>IFERROR(__xludf.DUMMYFUNCTION("""COMPUTED_VALUE"""),1103068.5)</f>
        <v>1103068.5</v>
      </c>
      <c r="E240" s="7">
        <f>IFERROR(__xludf.DUMMYFUNCTION("""COMPUTED_VALUE"""),904501.456)</f>
        <v>904501.456</v>
      </c>
      <c r="F240" s="8">
        <v>58978.55866923076</v>
      </c>
      <c r="G240" s="18">
        <f t="shared" si="1"/>
        <v>18</v>
      </c>
      <c r="H240" s="19">
        <f t="shared" si="2"/>
        <v>21.95320336</v>
      </c>
      <c r="I240" s="19">
        <f t="shared" si="3"/>
        <v>0.05346772088</v>
      </c>
    </row>
    <row r="241">
      <c r="A241" s="9">
        <f>IFERROR(__xludf.DUMMYFUNCTION("""COMPUTED_VALUE"""),43961.0)</f>
        <v>43961</v>
      </c>
      <c r="B241" s="10" t="str">
        <f>IFERROR(__xludf.DUMMYFUNCTION("""COMPUTED_VALUE"""),"Пермь")</f>
        <v>Пермь</v>
      </c>
      <c r="C241" s="10">
        <f>IFERROR(__xludf.DUMMYFUNCTION("""COMPUTED_VALUE"""),16435.5)</f>
        <v>16435.5</v>
      </c>
      <c r="D241" s="10">
        <f>IFERROR(__xludf.DUMMYFUNCTION("""COMPUTED_VALUE"""),1471537.5)</f>
        <v>1471537.5</v>
      </c>
      <c r="E241" s="10">
        <f>IFERROR(__xludf.DUMMYFUNCTION("""COMPUTED_VALUE"""),1176721.164)</f>
        <v>1176721.164</v>
      </c>
      <c r="F241" s="11">
        <v>252262.82307692306</v>
      </c>
      <c r="G241" s="18">
        <f t="shared" si="1"/>
        <v>19</v>
      </c>
      <c r="H241" s="19">
        <f t="shared" si="2"/>
        <v>25.05405231</v>
      </c>
      <c r="I241" s="19">
        <f t="shared" si="3"/>
        <v>0.1714280629</v>
      </c>
    </row>
    <row r="242">
      <c r="A242" s="6">
        <f>IFERROR(__xludf.DUMMYFUNCTION("""COMPUTED_VALUE"""),43959.0)</f>
        <v>43959</v>
      </c>
      <c r="B242" s="7" t="str">
        <f>IFERROR(__xludf.DUMMYFUNCTION("""COMPUTED_VALUE"""),"Пермь")</f>
        <v>Пермь</v>
      </c>
      <c r="C242" s="7">
        <f>IFERROR(__xludf.DUMMYFUNCTION("""COMPUTED_VALUE"""),14494.5)</f>
        <v>14494.5</v>
      </c>
      <c r="D242" s="7">
        <f>IFERROR(__xludf.DUMMYFUNCTION("""COMPUTED_VALUE"""),1269786.0)</f>
        <v>1269786</v>
      </c>
      <c r="E242" s="7">
        <f>IFERROR(__xludf.DUMMYFUNCTION("""COMPUTED_VALUE"""),1018857.6680000001)</f>
        <v>1018857.668</v>
      </c>
      <c r="F242" s="8">
        <v>197493.53076923077</v>
      </c>
      <c r="G242" s="18">
        <f t="shared" si="1"/>
        <v>19</v>
      </c>
      <c r="H242" s="19">
        <f t="shared" si="2"/>
        <v>24.62839903</v>
      </c>
      <c r="I242" s="19">
        <f t="shared" si="3"/>
        <v>0.1555329251</v>
      </c>
    </row>
    <row r="243">
      <c r="A243" s="9">
        <f>IFERROR(__xludf.DUMMYFUNCTION("""COMPUTED_VALUE"""),43958.0)</f>
        <v>43958</v>
      </c>
      <c r="B243" s="10" t="str">
        <f>IFERROR(__xludf.DUMMYFUNCTION("""COMPUTED_VALUE"""),"Пермь")</f>
        <v>Пермь</v>
      </c>
      <c r="C243" s="10">
        <f>IFERROR(__xludf.DUMMYFUNCTION("""COMPUTED_VALUE"""),12705.0)</f>
        <v>12705</v>
      </c>
      <c r="D243" s="10">
        <f>IFERROR(__xludf.DUMMYFUNCTION("""COMPUTED_VALUE"""),1123894.5)</f>
        <v>1123894.5</v>
      </c>
      <c r="E243" s="10">
        <f>IFERROR(__xludf.DUMMYFUNCTION("""COMPUTED_VALUE"""),898508.497)</f>
        <v>898508.497</v>
      </c>
      <c r="F243" s="11">
        <v>273904.8153076923</v>
      </c>
      <c r="G243" s="18">
        <f t="shared" si="1"/>
        <v>19</v>
      </c>
      <c r="H243" s="19">
        <f t="shared" si="2"/>
        <v>25.08445983</v>
      </c>
      <c r="I243" s="19">
        <f t="shared" si="3"/>
        <v>0.2437104331</v>
      </c>
    </row>
    <row r="244">
      <c r="A244" s="6">
        <f>IFERROR(__xludf.DUMMYFUNCTION("""COMPUTED_VALUE"""),43975.0)</f>
        <v>43975</v>
      </c>
      <c r="B244" s="7" t="str">
        <f>IFERROR(__xludf.DUMMYFUNCTION("""COMPUTED_VALUE"""),"Пермь")</f>
        <v>Пермь</v>
      </c>
      <c r="C244" s="7">
        <f>IFERROR(__xludf.DUMMYFUNCTION("""COMPUTED_VALUE"""),18075.0)</f>
        <v>18075</v>
      </c>
      <c r="D244" s="7">
        <f>IFERROR(__xludf.DUMMYFUNCTION("""COMPUTED_VALUE"""),1548099.0)</f>
        <v>1548099</v>
      </c>
      <c r="E244" s="7">
        <f>IFERROR(__xludf.DUMMYFUNCTION("""COMPUTED_VALUE"""),1256993.4810000001)</f>
        <v>1256993.481</v>
      </c>
      <c r="F244" s="8">
        <v>213288.93846153846</v>
      </c>
      <c r="G244" s="18">
        <f t="shared" si="1"/>
        <v>21</v>
      </c>
      <c r="H244" s="19">
        <f t="shared" si="2"/>
        <v>23.15887261</v>
      </c>
      <c r="I244" s="19">
        <f t="shared" si="3"/>
        <v>0.1377747408</v>
      </c>
    </row>
    <row r="245">
      <c r="A245" s="9">
        <f>IFERROR(__xludf.DUMMYFUNCTION("""COMPUTED_VALUE"""),43967.0)</f>
        <v>43967</v>
      </c>
      <c r="B245" s="10" t="str">
        <f>IFERROR(__xludf.DUMMYFUNCTION("""COMPUTED_VALUE"""),"Ростов-на-Дону")</f>
        <v>Ростов-на-Дону</v>
      </c>
      <c r="C245" s="10">
        <f>IFERROR(__xludf.DUMMYFUNCTION("""COMPUTED_VALUE"""),13120.5)</f>
        <v>13120.5</v>
      </c>
      <c r="D245" s="10">
        <f>IFERROR(__xludf.DUMMYFUNCTION("""COMPUTED_VALUE"""),1215033.0)</f>
        <v>1215033</v>
      </c>
      <c r="E245" s="10">
        <f>IFERROR(__xludf.DUMMYFUNCTION("""COMPUTED_VALUE"""),985281.0359999998)</f>
        <v>985281.036</v>
      </c>
      <c r="F245" s="11">
        <v>143418.86295384614</v>
      </c>
      <c r="G245" s="18">
        <f t="shared" si="1"/>
        <v>20</v>
      </c>
      <c r="H245" s="19">
        <f t="shared" si="2"/>
        <v>23.31841938</v>
      </c>
      <c r="I245" s="19">
        <f t="shared" si="3"/>
        <v>0.1180370105</v>
      </c>
    </row>
    <row r="246">
      <c r="A246" s="6">
        <f>IFERROR(__xludf.DUMMYFUNCTION("""COMPUTED_VALUE"""),43970.0)</f>
        <v>43970</v>
      </c>
      <c r="B246" s="7" t="str">
        <f>IFERROR(__xludf.DUMMYFUNCTION("""COMPUTED_VALUE"""),"Ростов-на-Дону")</f>
        <v>Ростов-на-Дону</v>
      </c>
      <c r="C246" s="7">
        <f>IFERROR(__xludf.DUMMYFUNCTION("""COMPUTED_VALUE"""),16237.5)</f>
        <v>16237.5</v>
      </c>
      <c r="D246" s="7">
        <f>IFERROR(__xludf.DUMMYFUNCTION("""COMPUTED_VALUE"""),1403047.5)</f>
        <v>1403047.5</v>
      </c>
      <c r="E246" s="7">
        <f>IFERROR(__xludf.DUMMYFUNCTION("""COMPUTED_VALUE"""),1195875.8800000001)</f>
        <v>1195875.88</v>
      </c>
      <c r="F246" s="8">
        <v>173178.52204615384</v>
      </c>
      <c r="G246" s="18">
        <f t="shared" si="1"/>
        <v>21</v>
      </c>
      <c r="H246" s="19">
        <f t="shared" si="2"/>
        <v>17.32383966</v>
      </c>
      <c r="I246" s="19">
        <f t="shared" si="3"/>
        <v>0.1234302631</v>
      </c>
    </row>
    <row r="247">
      <c r="A247" s="9">
        <f>IFERROR(__xludf.DUMMYFUNCTION("""COMPUTED_VALUE"""),43968.0)</f>
        <v>43968</v>
      </c>
      <c r="B247" s="10" t="str">
        <f>IFERROR(__xludf.DUMMYFUNCTION("""COMPUTED_VALUE"""),"Ростов-на-Дону")</f>
        <v>Ростов-на-Дону</v>
      </c>
      <c r="C247" s="10">
        <f>IFERROR(__xludf.DUMMYFUNCTION("""COMPUTED_VALUE"""),11967.0)</f>
        <v>11967</v>
      </c>
      <c r="D247" s="10">
        <f>IFERROR(__xludf.DUMMYFUNCTION("""COMPUTED_VALUE"""),1060489.5)</f>
        <v>1060489.5</v>
      </c>
      <c r="E247" s="10">
        <f>IFERROR(__xludf.DUMMYFUNCTION("""COMPUTED_VALUE"""),851805.179)</f>
        <v>851805.179</v>
      </c>
      <c r="F247" s="11">
        <v>171981.49101538458</v>
      </c>
      <c r="G247" s="18">
        <f t="shared" si="1"/>
        <v>20</v>
      </c>
      <c r="H247" s="19">
        <f t="shared" si="2"/>
        <v>24.49906694</v>
      </c>
      <c r="I247" s="19">
        <f t="shared" si="3"/>
        <v>0.1621717999</v>
      </c>
    </row>
    <row r="248">
      <c r="A248" s="6">
        <f>IFERROR(__xludf.DUMMYFUNCTION("""COMPUTED_VALUE"""),43960.0)</f>
        <v>43960</v>
      </c>
      <c r="B248" s="7" t="str">
        <f>IFERROR(__xludf.DUMMYFUNCTION("""COMPUTED_VALUE"""),"Ростов-на-Дону")</f>
        <v>Ростов-на-Дону</v>
      </c>
      <c r="C248" s="7">
        <f>IFERROR(__xludf.DUMMYFUNCTION("""COMPUTED_VALUE"""),12037.5)</f>
        <v>12037.5</v>
      </c>
      <c r="D248" s="7">
        <f>IFERROR(__xludf.DUMMYFUNCTION("""COMPUTED_VALUE"""),1081216.5)</f>
        <v>1081216.5</v>
      </c>
      <c r="E248" s="7">
        <f>IFERROR(__xludf.DUMMYFUNCTION("""COMPUTED_VALUE"""),910141.155)</f>
        <v>910141.155</v>
      </c>
      <c r="F248" s="8">
        <v>143296.04318461538</v>
      </c>
      <c r="G248" s="18">
        <f t="shared" si="1"/>
        <v>19</v>
      </c>
      <c r="H248" s="19">
        <f t="shared" si="2"/>
        <v>18.79657282</v>
      </c>
      <c r="I248" s="19">
        <f t="shared" si="3"/>
        <v>0.1325322386</v>
      </c>
    </row>
    <row r="249">
      <c r="A249" s="9">
        <f>IFERROR(__xludf.DUMMYFUNCTION("""COMPUTED_VALUE"""),43955.0)</f>
        <v>43955</v>
      </c>
      <c r="B249" s="10" t="str">
        <f>IFERROR(__xludf.DUMMYFUNCTION("""COMPUTED_VALUE"""),"Ростов-на-Дону")</f>
        <v>Ростов-на-Дону</v>
      </c>
      <c r="C249" s="10">
        <f>IFERROR(__xludf.DUMMYFUNCTION("""COMPUTED_VALUE"""),7087.5)</f>
        <v>7087.5</v>
      </c>
      <c r="D249" s="10">
        <f>IFERROR(__xludf.DUMMYFUNCTION("""COMPUTED_VALUE"""),610855.5)</f>
        <v>610855.5</v>
      </c>
      <c r="E249" s="10">
        <f>IFERROR(__xludf.DUMMYFUNCTION("""COMPUTED_VALUE"""),541946.128)</f>
        <v>541946.128</v>
      </c>
      <c r="F249" s="11">
        <v>150795.5846153846</v>
      </c>
      <c r="G249" s="18">
        <f t="shared" si="1"/>
        <v>19</v>
      </c>
      <c r="H249" s="19">
        <f t="shared" si="2"/>
        <v>12.7151701</v>
      </c>
      <c r="I249" s="19">
        <f t="shared" si="3"/>
        <v>0.2468596659</v>
      </c>
    </row>
    <row r="250">
      <c r="A250" s="6">
        <f>IFERROR(__xludf.DUMMYFUNCTION("""COMPUTED_VALUE"""),43950.0)</f>
        <v>43950</v>
      </c>
      <c r="B250" s="7" t="str">
        <f>IFERROR(__xludf.DUMMYFUNCTION("""COMPUTED_VALUE"""),"Краснодар")</f>
        <v>Краснодар</v>
      </c>
      <c r="C250" s="7">
        <f>IFERROR(__xludf.DUMMYFUNCTION("""COMPUTED_VALUE"""),25816.5)</f>
        <v>25816.5</v>
      </c>
      <c r="D250" s="7">
        <f>IFERROR(__xludf.DUMMYFUNCTION("""COMPUTED_VALUE"""),2360914.5)</f>
        <v>2360914.5</v>
      </c>
      <c r="E250" s="7">
        <f>IFERROR(__xludf.DUMMYFUNCTION("""COMPUTED_VALUE"""),1868643.6719999998)</f>
        <v>1868643.672</v>
      </c>
      <c r="F250" s="8">
        <v>137636.84266153845</v>
      </c>
      <c r="G250" s="18">
        <f t="shared" si="1"/>
        <v>18</v>
      </c>
      <c r="H250" s="19">
        <f t="shared" si="2"/>
        <v>26.34375057</v>
      </c>
      <c r="I250" s="19">
        <f t="shared" si="3"/>
        <v>0.05829810553</v>
      </c>
    </row>
    <row r="251">
      <c r="A251" s="9">
        <f>IFERROR(__xludf.DUMMYFUNCTION("""COMPUTED_VALUE"""),43953.0)</f>
        <v>43953</v>
      </c>
      <c r="B251" s="10" t="str">
        <f>IFERROR(__xludf.DUMMYFUNCTION("""COMPUTED_VALUE"""),"Ростов-на-Дону")</f>
        <v>Ростов-на-Дону</v>
      </c>
      <c r="C251" s="10">
        <f>IFERROR(__xludf.DUMMYFUNCTION("""COMPUTED_VALUE"""),4624.5)</f>
        <v>4624.5</v>
      </c>
      <c r="D251" s="10">
        <f>IFERROR(__xludf.DUMMYFUNCTION("""COMPUTED_VALUE"""),433243.5)</f>
        <v>433243.5</v>
      </c>
      <c r="E251" s="10">
        <f>IFERROR(__xludf.DUMMYFUNCTION("""COMPUTED_VALUE"""),377401.46199999994)</f>
        <v>377401.462</v>
      </c>
      <c r="F251" s="11">
        <v>65936.34336923076</v>
      </c>
      <c r="G251" s="18">
        <f t="shared" si="1"/>
        <v>18</v>
      </c>
      <c r="H251" s="19">
        <f t="shared" si="2"/>
        <v>14.79645513</v>
      </c>
      <c r="I251" s="19">
        <f t="shared" si="3"/>
        <v>0.152192343</v>
      </c>
    </row>
    <row r="252">
      <c r="A252" s="6">
        <f>IFERROR(__xludf.DUMMYFUNCTION("""COMPUTED_VALUE"""),43977.0)</f>
        <v>43977</v>
      </c>
      <c r="B252" s="7" t="str">
        <f>IFERROR(__xludf.DUMMYFUNCTION("""COMPUTED_VALUE"""),"Ростов-на-Дону")</f>
        <v>Ростов-на-Дону</v>
      </c>
      <c r="C252" s="7">
        <f>IFERROR(__xludf.DUMMYFUNCTION("""COMPUTED_VALUE"""),12259.5)</f>
        <v>12259.5</v>
      </c>
      <c r="D252" s="7">
        <f>IFERROR(__xludf.DUMMYFUNCTION("""COMPUTED_VALUE"""),1152054.0)</f>
        <v>1152054</v>
      </c>
      <c r="E252" s="7">
        <f>IFERROR(__xludf.DUMMYFUNCTION("""COMPUTED_VALUE"""),906579.6209999999)</f>
        <v>906579.621</v>
      </c>
      <c r="F252" s="8">
        <v>217611.18753846153</v>
      </c>
      <c r="G252" s="18">
        <f t="shared" si="1"/>
        <v>22</v>
      </c>
      <c r="H252" s="19">
        <f t="shared" si="2"/>
        <v>27.0769796</v>
      </c>
      <c r="I252" s="19">
        <f t="shared" si="3"/>
        <v>0.1888897461</v>
      </c>
    </row>
    <row r="253">
      <c r="A253" s="9">
        <f>IFERROR(__xludf.DUMMYFUNCTION("""COMPUTED_VALUE"""),43952.0)</f>
        <v>43952</v>
      </c>
      <c r="B253" s="10" t="str">
        <f>IFERROR(__xludf.DUMMYFUNCTION("""COMPUTED_VALUE"""),"Ростов-на-Дону")</f>
        <v>Ростов-на-Дону</v>
      </c>
      <c r="C253" s="10">
        <f>IFERROR(__xludf.DUMMYFUNCTION("""COMPUTED_VALUE"""),5446.5)</f>
        <v>5446.5</v>
      </c>
      <c r="D253" s="10">
        <f>IFERROR(__xludf.DUMMYFUNCTION("""COMPUTED_VALUE"""),505572.0)</f>
        <v>505572</v>
      </c>
      <c r="E253" s="10">
        <f>IFERROR(__xludf.DUMMYFUNCTION("""COMPUTED_VALUE"""),422390.908)</f>
        <v>422390.908</v>
      </c>
      <c r="F253" s="11">
        <v>42729.218369230766</v>
      </c>
      <c r="G253" s="18">
        <f t="shared" si="1"/>
        <v>18</v>
      </c>
      <c r="H253" s="19">
        <f t="shared" si="2"/>
        <v>19.69291725</v>
      </c>
      <c r="I253" s="19">
        <f t="shared" si="3"/>
        <v>0.08451658393</v>
      </c>
    </row>
    <row r="254">
      <c r="A254" s="6">
        <f>IFERROR(__xludf.DUMMYFUNCTION("""COMPUTED_VALUE"""),43963.0)</f>
        <v>43963</v>
      </c>
      <c r="B254" s="7" t="str">
        <f>IFERROR(__xludf.DUMMYFUNCTION("""COMPUTED_VALUE"""),"Ростов-на-Дону")</f>
        <v>Ростов-на-Дону</v>
      </c>
      <c r="C254" s="7">
        <f>IFERROR(__xludf.DUMMYFUNCTION("""COMPUTED_VALUE"""),11296.5)</f>
        <v>11296.5</v>
      </c>
      <c r="D254" s="7">
        <f>IFERROR(__xludf.DUMMYFUNCTION("""COMPUTED_VALUE"""),989632.5)</f>
        <v>989632.5</v>
      </c>
      <c r="E254" s="7">
        <f>IFERROR(__xludf.DUMMYFUNCTION("""COMPUTED_VALUE"""),829947.412)</f>
        <v>829947.412</v>
      </c>
      <c r="F254" s="8">
        <v>196319.5046923077</v>
      </c>
      <c r="G254" s="18">
        <f t="shared" si="1"/>
        <v>20</v>
      </c>
      <c r="H254" s="19">
        <f t="shared" si="2"/>
        <v>19.24038628</v>
      </c>
      <c r="I254" s="19">
        <f t="shared" si="3"/>
        <v>0.1983761696</v>
      </c>
    </row>
    <row r="255">
      <c r="A255" s="9">
        <f>IFERROR(__xludf.DUMMYFUNCTION("""COMPUTED_VALUE"""),43972.0)</f>
        <v>43972</v>
      </c>
      <c r="B255" s="10" t="str">
        <f>IFERROR(__xludf.DUMMYFUNCTION("""COMPUTED_VALUE"""),"Ростов-на-Дону")</f>
        <v>Ростов-на-Дону</v>
      </c>
      <c r="C255" s="10">
        <f>IFERROR(__xludf.DUMMYFUNCTION("""COMPUTED_VALUE"""),12135.0)</f>
        <v>12135</v>
      </c>
      <c r="D255" s="10">
        <f>IFERROR(__xludf.DUMMYFUNCTION("""COMPUTED_VALUE"""),1103623.5)</f>
        <v>1103623.5</v>
      </c>
      <c r="E255" s="10">
        <f>IFERROR(__xludf.DUMMYFUNCTION("""COMPUTED_VALUE"""),899589.3060000001)</f>
        <v>899589.306</v>
      </c>
      <c r="F255" s="11">
        <v>184440.53076923077</v>
      </c>
      <c r="G255" s="18">
        <f t="shared" si="1"/>
        <v>21</v>
      </c>
      <c r="H255" s="19">
        <f t="shared" si="2"/>
        <v>22.68081586</v>
      </c>
      <c r="I255" s="19">
        <f t="shared" si="3"/>
        <v>0.1671226924</v>
      </c>
    </row>
    <row r="256">
      <c r="A256" s="6">
        <f>IFERROR(__xludf.DUMMYFUNCTION("""COMPUTED_VALUE"""),43971.0)</f>
        <v>43971</v>
      </c>
      <c r="B256" s="7" t="str">
        <f>IFERROR(__xludf.DUMMYFUNCTION("""COMPUTED_VALUE"""),"Ростов-на-Дону")</f>
        <v>Ростов-на-Дону</v>
      </c>
      <c r="C256" s="7">
        <f>IFERROR(__xludf.DUMMYFUNCTION("""COMPUTED_VALUE"""),12630.0)</f>
        <v>12630</v>
      </c>
      <c r="D256" s="7">
        <f>IFERROR(__xludf.DUMMYFUNCTION("""COMPUTED_VALUE"""),1104858.0)</f>
        <v>1104858</v>
      </c>
      <c r="E256" s="7">
        <f>IFERROR(__xludf.DUMMYFUNCTION("""COMPUTED_VALUE"""),915994.1189999998)</f>
        <v>915994.119</v>
      </c>
      <c r="F256" s="8">
        <v>161654.46923076923</v>
      </c>
      <c r="G256" s="18">
        <f t="shared" si="1"/>
        <v>21</v>
      </c>
      <c r="H256" s="19">
        <f t="shared" si="2"/>
        <v>20.61846</v>
      </c>
      <c r="I256" s="19">
        <f t="shared" si="3"/>
        <v>0.1463124395</v>
      </c>
    </row>
    <row r="257">
      <c r="A257" s="9">
        <f>IFERROR(__xludf.DUMMYFUNCTION("""COMPUTED_VALUE"""),43956.0)</f>
        <v>43956</v>
      </c>
      <c r="B257" s="10" t="str">
        <f>IFERROR(__xludf.DUMMYFUNCTION("""COMPUTED_VALUE"""),"Ростов-на-Дону")</f>
        <v>Ростов-на-Дону</v>
      </c>
      <c r="C257" s="10">
        <f>IFERROR(__xludf.DUMMYFUNCTION("""COMPUTED_VALUE"""),8223.0)</f>
        <v>8223</v>
      </c>
      <c r="D257" s="10">
        <f>IFERROR(__xludf.DUMMYFUNCTION("""COMPUTED_VALUE"""),694593.0)</f>
        <v>694593</v>
      </c>
      <c r="E257" s="10">
        <f>IFERROR(__xludf.DUMMYFUNCTION("""COMPUTED_VALUE"""),622755.0499999999)</f>
        <v>622755.05</v>
      </c>
      <c r="F257" s="11">
        <v>172368.62218461538</v>
      </c>
      <c r="G257" s="18">
        <f t="shared" si="1"/>
        <v>19</v>
      </c>
      <c r="H257" s="19">
        <f t="shared" si="2"/>
        <v>11.53550662</v>
      </c>
      <c r="I257" s="19">
        <f t="shared" si="3"/>
        <v>0.24815773</v>
      </c>
    </row>
    <row r="258">
      <c r="A258" s="6">
        <f>IFERROR(__xludf.DUMMYFUNCTION("""COMPUTED_VALUE"""),43949.0)</f>
        <v>43949</v>
      </c>
      <c r="B258" s="7" t="str">
        <f>IFERROR(__xludf.DUMMYFUNCTION("""COMPUTED_VALUE"""),"Краснодар")</f>
        <v>Краснодар</v>
      </c>
      <c r="C258" s="7">
        <f>IFERROR(__xludf.DUMMYFUNCTION("""COMPUTED_VALUE"""),25149.0)</f>
        <v>25149</v>
      </c>
      <c r="D258" s="7">
        <f>IFERROR(__xludf.DUMMYFUNCTION("""COMPUTED_VALUE"""),2277072.0)</f>
        <v>2277072</v>
      </c>
      <c r="E258" s="7">
        <f>IFERROR(__xludf.DUMMYFUNCTION("""COMPUTED_VALUE"""),1804070.1239999998)</f>
        <v>1804070.124</v>
      </c>
      <c r="F258" s="8">
        <v>125553.02143076922</v>
      </c>
      <c r="G258" s="18">
        <f t="shared" si="1"/>
        <v>18</v>
      </c>
      <c r="H258" s="19">
        <f t="shared" si="2"/>
        <v>26.21859703</v>
      </c>
      <c r="I258" s="19">
        <f t="shared" si="3"/>
        <v>0.05513792336</v>
      </c>
    </row>
    <row r="259">
      <c r="A259" s="9">
        <f>IFERROR(__xludf.DUMMYFUNCTION("""COMPUTED_VALUE"""),43964.0)</f>
        <v>43964</v>
      </c>
      <c r="B259" s="10" t="str">
        <f>IFERROR(__xludf.DUMMYFUNCTION("""COMPUTED_VALUE"""),"Ростов-на-Дону")</f>
        <v>Ростов-на-Дону</v>
      </c>
      <c r="C259" s="10">
        <f>IFERROR(__xludf.DUMMYFUNCTION("""COMPUTED_VALUE"""),10401.0)</f>
        <v>10401</v>
      </c>
      <c r="D259" s="10">
        <f>IFERROR(__xludf.DUMMYFUNCTION("""COMPUTED_VALUE"""),949912.5)</f>
        <v>949912.5</v>
      </c>
      <c r="E259" s="10">
        <f>IFERROR(__xludf.DUMMYFUNCTION("""COMPUTED_VALUE"""),785961.289)</f>
        <v>785961.289</v>
      </c>
      <c r="F259" s="11">
        <v>253438.94004615385</v>
      </c>
      <c r="G259" s="18">
        <f t="shared" si="1"/>
        <v>20</v>
      </c>
      <c r="H259" s="19">
        <f t="shared" si="2"/>
        <v>20.85996006</v>
      </c>
      <c r="I259" s="19">
        <f t="shared" si="3"/>
        <v>0.2668024055</v>
      </c>
    </row>
    <row r="260">
      <c r="A260" s="6">
        <f>IFERROR(__xludf.DUMMYFUNCTION("""COMPUTED_VALUE"""),43982.0)</f>
        <v>43982</v>
      </c>
      <c r="B260" s="7" t="str">
        <f>IFERROR(__xludf.DUMMYFUNCTION("""COMPUTED_VALUE"""),"Пермь")</f>
        <v>Пермь</v>
      </c>
      <c r="C260" s="7">
        <f>IFERROR(__xludf.DUMMYFUNCTION("""COMPUTED_VALUE"""),17689.5)</f>
        <v>17689.5</v>
      </c>
      <c r="D260" s="7">
        <f>IFERROR(__xludf.DUMMYFUNCTION("""COMPUTED_VALUE"""),1592119.5)</f>
        <v>1592119.5</v>
      </c>
      <c r="E260" s="7">
        <f>IFERROR(__xludf.DUMMYFUNCTION("""COMPUTED_VALUE"""),1279369.153)</f>
        <v>1279369.153</v>
      </c>
      <c r="F260" s="8">
        <v>119890.85384615383</v>
      </c>
      <c r="G260" s="18">
        <f t="shared" si="1"/>
        <v>22</v>
      </c>
      <c r="H260" s="19">
        <f t="shared" si="2"/>
        <v>24.44566889</v>
      </c>
      <c r="I260" s="19">
        <f t="shared" si="3"/>
        <v>0.07530267285</v>
      </c>
    </row>
    <row r="261">
      <c r="A261" s="9">
        <f>IFERROR(__xludf.DUMMYFUNCTION("""COMPUTED_VALUE"""),43954.0)</f>
        <v>43954</v>
      </c>
      <c r="B261" s="10" t="str">
        <f>IFERROR(__xludf.DUMMYFUNCTION("""COMPUTED_VALUE"""),"Ростов-на-Дону")</f>
        <v>Ростов-на-Дону</v>
      </c>
      <c r="C261" s="10">
        <f>IFERROR(__xludf.DUMMYFUNCTION("""COMPUTED_VALUE"""),8127.0)</f>
        <v>8127</v>
      </c>
      <c r="D261" s="10">
        <f>IFERROR(__xludf.DUMMYFUNCTION("""COMPUTED_VALUE"""),665302.5)</f>
        <v>665302.5</v>
      </c>
      <c r="E261" s="10">
        <f>IFERROR(__xludf.DUMMYFUNCTION("""COMPUTED_VALUE"""),644221.494)</f>
        <v>644221.494</v>
      </c>
      <c r="F261" s="11">
        <v>95245.72713846153</v>
      </c>
      <c r="G261" s="18">
        <f t="shared" si="1"/>
        <v>18</v>
      </c>
      <c r="H261" s="19">
        <f t="shared" si="2"/>
        <v>3.272322671</v>
      </c>
      <c r="I261" s="19">
        <f t="shared" si="3"/>
        <v>0.143161535</v>
      </c>
    </row>
    <row r="262">
      <c r="A262" s="6">
        <f>IFERROR(__xludf.DUMMYFUNCTION("""COMPUTED_VALUE"""),43981.0)</f>
        <v>43981</v>
      </c>
      <c r="B262" s="7" t="str">
        <f>IFERROR(__xludf.DUMMYFUNCTION("""COMPUTED_VALUE"""),"Пермь")</f>
        <v>Пермь</v>
      </c>
      <c r="C262" s="7">
        <f>IFERROR(__xludf.DUMMYFUNCTION("""COMPUTED_VALUE"""),27250.5)</f>
        <v>27250.5</v>
      </c>
      <c r="D262" s="7">
        <f>IFERROR(__xludf.DUMMYFUNCTION("""COMPUTED_VALUE"""),2457252.0)</f>
        <v>2457252</v>
      </c>
      <c r="E262" s="7">
        <f>IFERROR(__xludf.DUMMYFUNCTION("""COMPUTED_VALUE"""),1983435.05)</f>
        <v>1983435.05</v>
      </c>
      <c r="F262" s="8">
        <v>175066.50692307693</v>
      </c>
      <c r="G262" s="18">
        <f t="shared" si="1"/>
        <v>22</v>
      </c>
      <c r="H262" s="19">
        <f t="shared" si="2"/>
        <v>23.8887051</v>
      </c>
      <c r="I262" s="19">
        <f t="shared" si="3"/>
        <v>0.07124483241</v>
      </c>
    </row>
    <row r="263">
      <c r="A263" s="9">
        <f>IFERROR(__xludf.DUMMYFUNCTION("""COMPUTED_VALUE"""),43957.0)</f>
        <v>43957</v>
      </c>
      <c r="B263" s="10" t="str">
        <f>IFERROR(__xludf.DUMMYFUNCTION("""COMPUTED_VALUE"""),"Ростов-на-Дону")</f>
        <v>Ростов-на-Дону</v>
      </c>
      <c r="C263" s="10">
        <f>IFERROR(__xludf.DUMMYFUNCTION("""COMPUTED_VALUE"""),8464.5)</f>
        <v>8464.5</v>
      </c>
      <c r="D263" s="10">
        <f>IFERROR(__xludf.DUMMYFUNCTION("""COMPUTED_VALUE"""),739291.5)</f>
        <v>739291.5</v>
      </c>
      <c r="E263" s="10">
        <f>IFERROR(__xludf.DUMMYFUNCTION("""COMPUTED_VALUE"""),651727.3679999999)</f>
        <v>651727.368</v>
      </c>
      <c r="F263" s="11">
        <v>154318.62433846152</v>
      </c>
      <c r="G263" s="18">
        <f t="shared" si="1"/>
        <v>19</v>
      </c>
      <c r="H263" s="19">
        <f t="shared" si="2"/>
        <v>13.4356997</v>
      </c>
      <c r="I263" s="19">
        <f t="shared" si="3"/>
        <v>0.2087385346</v>
      </c>
    </row>
    <row r="264">
      <c r="A264" s="6">
        <f>IFERROR(__xludf.DUMMYFUNCTION("""COMPUTED_VALUE"""),43974.0)</f>
        <v>43974</v>
      </c>
      <c r="B264" s="7" t="str">
        <f>IFERROR(__xludf.DUMMYFUNCTION("""COMPUTED_VALUE"""),"Ростов-на-Дону")</f>
        <v>Ростов-на-Дону</v>
      </c>
      <c r="C264" s="7">
        <f>IFERROR(__xludf.DUMMYFUNCTION("""COMPUTED_VALUE"""),14167.5)</f>
        <v>14167.5</v>
      </c>
      <c r="D264" s="7">
        <f>IFERROR(__xludf.DUMMYFUNCTION("""COMPUTED_VALUE"""),1315075.5)</f>
        <v>1315075.5</v>
      </c>
      <c r="E264" s="7">
        <f>IFERROR(__xludf.DUMMYFUNCTION("""COMPUTED_VALUE"""),1074904.135)</f>
        <v>1074904.135</v>
      </c>
      <c r="F264" s="8">
        <v>269233.3443692308</v>
      </c>
      <c r="G264" s="18">
        <f t="shared" si="1"/>
        <v>21</v>
      </c>
      <c r="H264" s="19">
        <f t="shared" si="2"/>
        <v>22.34351485</v>
      </c>
      <c r="I264" s="19">
        <f t="shared" si="3"/>
        <v>0.2047284315</v>
      </c>
    </row>
    <row r="265">
      <c r="A265" s="9">
        <f>IFERROR(__xludf.DUMMYFUNCTION("""COMPUTED_VALUE"""),43979.0)</f>
        <v>43979</v>
      </c>
      <c r="B265" s="10" t="str">
        <f>IFERROR(__xludf.DUMMYFUNCTION("""COMPUTED_VALUE"""),"Пермь")</f>
        <v>Пермь</v>
      </c>
      <c r="C265" s="10">
        <f>IFERROR(__xludf.DUMMYFUNCTION("""COMPUTED_VALUE"""),16500.0)</f>
        <v>16500</v>
      </c>
      <c r="D265" s="10">
        <f>IFERROR(__xludf.DUMMYFUNCTION("""COMPUTED_VALUE"""),1487928.0)</f>
        <v>1487928</v>
      </c>
      <c r="E265" s="10">
        <f>IFERROR(__xludf.DUMMYFUNCTION("""COMPUTED_VALUE"""),1187884.8939999999)</f>
        <v>1187884.894</v>
      </c>
      <c r="F265" s="11">
        <v>279400.0153846154</v>
      </c>
      <c r="G265" s="18">
        <f t="shared" si="1"/>
        <v>22</v>
      </c>
      <c r="H265" s="19">
        <f t="shared" si="2"/>
        <v>25.25860102</v>
      </c>
      <c r="I265" s="19">
        <f t="shared" si="3"/>
        <v>0.1877779136</v>
      </c>
    </row>
    <row r="266">
      <c r="A266" s="6">
        <f>IFERROR(__xludf.DUMMYFUNCTION("""COMPUTED_VALUE"""),43976.0)</f>
        <v>43976</v>
      </c>
      <c r="B266" s="7" t="str">
        <f>IFERROR(__xludf.DUMMYFUNCTION("""COMPUTED_VALUE"""),"Ростов-на-Дону")</f>
        <v>Ростов-на-Дону</v>
      </c>
      <c r="C266" s="7">
        <f>IFERROR(__xludf.DUMMYFUNCTION("""COMPUTED_VALUE"""),13260.0)</f>
        <v>13260</v>
      </c>
      <c r="D266" s="7">
        <f>IFERROR(__xludf.DUMMYFUNCTION("""COMPUTED_VALUE"""),1230687.0)</f>
        <v>1230687</v>
      </c>
      <c r="E266" s="7">
        <f>IFERROR(__xludf.DUMMYFUNCTION("""COMPUTED_VALUE"""),985675.487)</f>
        <v>985675.487</v>
      </c>
      <c r="F266" s="8">
        <v>224353.45695384615</v>
      </c>
      <c r="G266" s="18">
        <f t="shared" si="1"/>
        <v>22</v>
      </c>
      <c r="H266" s="19">
        <f t="shared" si="2"/>
        <v>24.85721885</v>
      </c>
      <c r="I266" s="19">
        <f t="shared" si="3"/>
        <v>0.1822993637</v>
      </c>
    </row>
    <row r="267">
      <c r="A267" s="9">
        <f>IFERROR(__xludf.DUMMYFUNCTION("""COMPUTED_VALUE"""),43951.0)</f>
        <v>43951</v>
      </c>
      <c r="B267" s="10" t="str">
        <f>IFERROR(__xludf.DUMMYFUNCTION("""COMPUTED_VALUE"""),"Ростов-на-Дону")</f>
        <v>Ростов-на-Дону</v>
      </c>
      <c r="C267" s="10">
        <f>IFERROR(__xludf.DUMMYFUNCTION("""COMPUTED_VALUE"""),4285.5)</f>
        <v>4285.5</v>
      </c>
      <c r="D267" s="10">
        <f>IFERROR(__xludf.DUMMYFUNCTION("""COMPUTED_VALUE"""),404691.0)</f>
        <v>404691</v>
      </c>
      <c r="E267" s="10">
        <f>IFERROR(__xludf.DUMMYFUNCTION("""COMPUTED_VALUE"""),333054.548)</f>
        <v>333054.548</v>
      </c>
      <c r="F267" s="11">
        <v>11494.63076923077</v>
      </c>
      <c r="G267" s="18">
        <f t="shared" si="1"/>
        <v>18</v>
      </c>
      <c r="H267" s="19">
        <f t="shared" si="2"/>
        <v>21.50892472</v>
      </c>
      <c r="I267" s="19">
        <f t="shared" si="3"/>
        <v>0.02840347517</v>
      </c>
    </row>
    <row r="268">
      <c r="A268" s="6">
        <f>IFERROR(__xludf.DUMMYFUNCTION("""COMPUTED_VALUE"""),43961.0)</f>
        <v>43961</v>
      </c>
      <c r="B268" s="7" t="str">
        <f>IFERROR(__xludf.DUMMYFUNCTION("""COMPUTED_VALUE"""),"Ростов-на-Дону")</f>
        <v>Ростов-на-Дону</v>
      </c>
      <c r="C268" s="7">
        <f>IFERROR(__xludf.DUMMYFUNCTION("""COMPUTED_VALUE"""),13440.0)</f>
        <v>13440</v>
      </c>
      <c r="D268" s="7">
        <f>IFERROR(__xludf.DUMMYFUNCTION("""COMPUTED_VALUE"""),1198285.5)</f>
        <v>1198285.5</v>
      </c>
      <c r="E268" s="7">
        <f>IFERROR(__xludf.DUMMYFUNCTION("""COMPUTED_VALUE"""),1018063.802)</f>
        <v>1018063.802</v>
      </c>
      <c r="F268" s="8">
        <v>178012.59307692308</v>
      </c>
      <c r="G268" s="18">
        <f t="shared" si="1"/>
        <v>19</v>
      </c>
      <c r="H268" s="19">
        <f t="shared" si="2"/>
        <v>17.7023972</v>
      </c>
      <c r="I268" s="19">
        <f t="shared" si="3"/>
        <v>0.1485560771</v>
      </c>
    </row>
    <row r="269">
      <c r="A269" s="9">
        <f>IFERROR(__xludf.DUMMYFUNCTION("""COMPUTED_VALUE"""),43959.0)</f>
        <v>43959</v>
      </c>
      <c r="B269" s="10" t="str">
        <f>IFERROR(__xludf.DUMMYFUNCTION("""COMPUTED_VALUE"""),"Ростов-на-Дону")</f>
        <v>Ростов-на-Дону</v>
      </c>
      <c r="C269" s="10">
        <f>IFERROR(__xludf.DUMMYFUNCTION("""COMPUTED_VALUE"""),9058.5)</f>
        <v>9058.5</v>
      </c>
      <c r="D269" s="10">
        <f>IFERROR(__xludf.DUMMYFUNCTION("""COMPUTED_VALUE"""),798759.0)</f>
        <v>798759</v>
      </c>
      <c r="E269" s="10">
        <f>IFERROR(__xludf.DUMMYFUNCTION("""COMPUTED_VALUE"""),669115.9369999999)</f>
        <v>669115.937</v>
      </c>
      <c r="F269" s="11">
        <v>171987.47030000002</v>
      </c>
      <c r="G269" s="18">
        <f t="shared" si="1"/>
        <v>19</v>
      </c>
      <c r="H269" s="19">
        <f t="shared" si="2"/>
        <v>19.37527652</v>
      </c>
      <c r="I269" s="19">
        <f t="shared" si="3"/>
        <v>0.2153183505</v>
      </c>
    </row>
    <row r="270">
      <c r="A270" s="6">
        <f>IFERROR(__xludf.DUMMYFUNCTION("""COMPUTED_VALUE"""),43958.0)</f>
        <v>43958</v>
      </c>
      <c r="B270" s="7" t="str">
        <f>IFERROR(__xludf.DUMMYFUNCTION("""COMPUTED_VALUE"""),"Ростов-на-Дону")</f>
        <v>Ростов-на-Дону</v>
      </c>
      <c r="C270" s="7">
        <f>IFERROR(__xludf.DUMMYFUNCTION("""COMPUTED_VALUE"""),8719.5)</f>
        <v>8719.5</v>
      </c>
      <c r="D270" s="7">
        <f>IFERROR(__xludf.DUMMYFUNCTION("""COMPUTED_VALUE"""),769276.5)</f>
        <v>769276.5</v>
      </c>
      <c r="E270" s="7">
        <f>IFERROR(__xludf.DUMMYFUNCTION("""COMPUTED_VALUE"""),654599.977)</f>
        <v>654599.977</v>
      </c>
      <c r="F270" s="8">
        <v>184385.1884923077</v>
      </c>
      <c r="G270" s="18">
        <f t="shared" si="1"/>
        <v>19</v>
      </c>
      <c r="H270" s="19">
        <f t="shared" si="2"/>
        <v>17.51856508</v>
      </c>
      <c r="I270" s="19">
        <f t="shared" si="3"/>
        <v>0.2396864957</v>
      </c>
    </row>
    <row r="271">
      <c r="A271" s="9">
        <f>IFERROR(__xludf.DUMMYFUNCTION("""COMPUTED_VALUE"""),43975.0)</f>
        <v>43975</v>
      </c>
      <c r="B271" s="10" t="str">
        <f>IFERROR(__xludf.DUMMYFUNCTION("""COMPUTED_VALUE"""),"Ростов-на-Дону")</f>
        <v>Ростов-на-Дону</v>
      </c>
      <c r="C271" s="10">
        <f>IFERROR(__xludf.DUMMYFUNCTION("""COMPUTED_VALUE"""),12666.0)</f>
        <v>12666</v>
      </c>
      <c r="D271" s="10">
        <f>IFERROR(__xludf.DUMMYFUNCTION("""COMPUTED_VALUE"""),1184865.0)</f>
        <v>1184865</v>
      </c>
      <c r="E271" s="10">
        <f>IFERROR(__xludf.DUMMYFUNCTION("""COMPUTED_VALUE"""),953822.6209999999)</f>
        <v>953822.621</v>
      </c>
      <c r="F271" s="11">
        <v>340158.78723076923</v>
      </c>
      <c r="G271" s="18">
        <f t="shared" si="1"/>
        <v>21</v>
      </c>
      <c r="H271" s="19">
        <f t="shared" si="2"/>
        <v>24.22278251</v>
      </c>
      <c r="I271" s="19">
        <f t="shared" si="3"/>
        <v>0.2870865349</v>
      </c>
    </row>
    <row r="272">
      <c r="A272" s="6">
        <f>IFERROR(__xludf.DUMMYFUNCTION("""COMPUTED_VALUE"""),43967.0)</f>
        <v>43967</v>
      </c>
      <c r="B272" s="7" t="str">
        <f>IFERROR(__xludf.DUMMYFUNCTION("""COMPUTED_VALUE"""),"Краснодар")</f>
        <v>Краснодар</v>
      </c>
      <c r="C272" s="7">
        <f>IFERROR(__xludf.DUMMYFUNCTION("""COMPUTED_VALUE"""),34563.0)</f>
        <v>34563</v>
      </c>
      <c r="D272" s="7">
        <f>IFERROR(__xludf.DUMMYFUNCTION("""COMPUTED_VALUE"""),2922883.5)</f>
        <v>2922883.5</v>
      </c>
      <c r="E272" s="7">
        <f>IFERROR(__xludf.DUMMYFUNCTION("""COMPUTED_VALUE"""),2340316.3049999997)</f>
        <v>2340316.305</v>
      </c>
      <c r="F272" s="8">
        <v>109812.45384615385</v>
      </c>
      <c r="G272" s="18">
        <f t="shared" si="1"/>
        <v>20</v>
      </c>
      <c r="H272" s="19">
        <f t="shared" si="2"/>
        <v>24.89266916</v>
      </c>
      <c r="I272" s="19">
        <f t="shared" si="3"/>
        <v>0.03756990446</v>
      </c>
    </row>
    <row r="273">
      <c r="A273" s="9">
        <f>IFERROR(__xludf.DUMMYFUNCTION("""COMPUTED_VALUE"""),43970.0)</f>
        <v>43970</v>
      </c>
      <c r="B273" s="10" t="str">
        <f>IFERROR(__xludf.DUMMYFUNCTION("""COMPUTED_VALUE"""),"Краснодар")</f>
        <v>Краснодар</v>
      </c>
      <c r="C273" s="10">
        <f>IFERROR(__xludf.DUMMYFUNCTION("""COMPUTED_VALUE"""),28882.5)</f>
        <v>28882.5</v>
      </c>
      <c r="D273" s="10">
        <f>IFERROR(__xludf.DUMMYFUNCTION("""COMPUTED_VALUE"""),2446530.0)</f>
        <v>2446530</v>
      </c>
      <c r="E273" s="10">
        <f>IFERROR(__xludf.DUMMYFUNCTION("""COMPUTED_VALUE"""),1956748.2629999998)</f>
        <v>1956748.263</v>
      </c>
      <c r="F273" s="11">
        <v>108543.03143076923</v>
      </c>
      <c r="G273" s="18">
        <f t="shared" si="1"/>
        <v>21</v>
      </c>
      <c r="H273" s="19">
        <f t="shared" si="2"/>
        <v>25.03039079</v>
      </c>
      <c r="I273" s="19">
        <f t="shared" si="3"/>
        <v>0.04436611504</v>
      </c>
    </row>
    <row r="274">
      <c r="A274" s="6">
        <f>IFERROR(__xludf.DUMMYFUNCTION("""COMPUTED_VALUE"""),43968.0)</f>
        <v>43968</v>
      </c>
      <c r="B274" s="7" t="str">
        <f>IFERROR(__xludf.DUMMYFUNCTION("""COMPUTED_VALUE"""),"Краснодар")</f>
        <v>Краснодар</v>
      </c>
      <c r="C274" s="7">
        <f>IFERROR(__xludf.DUMMYFUNCTION("""COMPUTED_VALUE"""),28275.0)</f>
        <v>28275</v>
      </c>
      <c r="D274" s="7">
        <f>IFERROR(__xludf.DUMMYFUNCTION("""COMPUTED_VALUE"""),2435632.5)</f>
        <v>2435632.5</v>
      </c>
      <c r="E274" s="7">
        <f>IFERROR(__xludf.DUMMYFUNCTION("""COMPUTED_VALUE"""),1954139.7149999999)</f>
        <v>1954139.715</v>
      </c>
      <c r="F274" s="8">
        <v>79541.98461538462</v>
      </c>
      <c r="G274" s="18">
        <f t="shared" si="1"/>
        <v>20</v>
      </c>
      <c r="H274" s="19">
        <f t="shared" si="2"/>
        <v>24.63962946</v>
      </c>
      <c r="I274" s="19">
        <f t="shared" si="3"/>
        <v>0.03265762984</v>
      </c>
    </row>
    <row r="275">
      <c r="A275" s="9">
        <f>IFERROR(__xludf.DUMMYFUNCTION("""COMPUTED_VALUE"""),43960.0)</f>
        <v>43960</v>
      </c>
      <c r="B275" s="10" t="str">
        <f>IFERROR(__xludf.DUMMYFUNCTION("""COMPUTED_VALUE"""),"Краснодар")</f>
        <v>Краснодар</v>
      </c>
      <c r="C275" s="10">
        <f>IFERROR(__xludf.DUMMYFUNCTION("""COMPUTED_VALUE"""),26271.0)</f>
        <v>26271</v>
      </c>
      <c r="D275" s="10">
        <f>IFERROR(__xludf.DUMMYFUNCTION("""COMPUTED_VALUE"""),2384937.0)</f>
        <v>2384937</v>
      </c>
      <c r="E275" s="10">
        <f>IFERROR(__xludf.DUMMYFUNCTION("""COMPUTED_VALUE"""),1880070.5110000002)</f>
        <v>1880070.511</v>
      </c>
      <c r="F275" s="11">
        <v>141472.14615384614</v>
      </c>
      <c r="G275" s="18">
        <f t="shared" si="1"/>
        <v>19</v>
      </c>
      <c r="H275" s="19">
        <f t="shared" si="2"/>
        <v>26.85359331</v>
      </c>
      <c r="I275" s="19">
        <f t="shared" si="3"/>
        <v>0.05931902862</v>
      </c>
    </row>
    <row r="276">
      <c r="A276" s="6">
        <f>IFERROR(__xludf.DUMMYFUNCTION("""COMPUTED_VALUE"""),43955.0)</f>
        <v>43955</v>
      </c>
      <c r="B276" s="7" t="str">
        <f>IFERROR(__xludf.DUMMYFUNCTION("""COMPUTED_VALUE"""),"Краснодар")</f>
        <v>Краснодар</v>
      </c>
      <c r="C276" s="7">
        <f>IFERROR(__xludf.DUMMYFUNCTION("""COMPUTED_VALUE"""),23587.5)</f>
        <v>23587.5</v>
      </c>
      <c r="D276" s="7">
        <f>IFERROR(__xludf.DUMMYFUNCTION("""COMPUTED_VALUE"""),2155668.0)</f>
        <v>2155668</v>
      </c>
      <c r="E276" s="7">
        <f>IFERROR(__xludf.DUMMYFUNCTION("""COMPUTED_VALUE"""),1685753.184)</f>
        <v>1685753.184</v>
      </c>
      <c r="F276" s="8">
        <v>135489.1581153846</v>
      </c>
      <c r="G276" s="18">
        <f t="shared" si="1"/>
        <v>19</v>
      </c>
      <c r="H276" s="19">
        <f t="shared" si="2"/>
        <v>27.87565941</v>
      </c>
      <c r="I276" s="19">
        <f t="shared" si="3"/>
        <v>0.0628525163</v>
      </c>
    </row>
    <row r="277">
      <c r="A277" s="9">
        <f>IFERROR(__xludf.DUMMYFUNCTION("""COMPUTED_VALUE"""),43953.0)</f>
        <v>43953</v>
      </c>
      <c r="B277" s="10" t="str">
        <f>IFERROR(__xludf.DUMMYFUNCTION("""COMPUTED_VALUE"""),"Краснодар")</f>
        <v>Краснодар</v>
      </c>
      <c r="C277" s="10">
        <f>IFERROR(__xludf.DUMMYFUNCTION("""COMPUTED_VALUE"""),18427.5)</f>
        <v>18427.5</v>
      </c>
      <c r="D277" s="10">
        <f>IFERROR(__xludf.DUMMYFUNCTION("""COMPUTED_VALUE"""),1682851.5)</f>
        <v>1682851.5</v>
      </c>
      <c r="E277" s="10">
        <f>IFERROR(__xludf.DUMMYFUNCTION("""COMPUTED_VALUE"""),1337535.2989999999)</f>
        <v>1337535.299</v>
      </c>
      <c r="F277" s="11">
        <v>121636.08074615385</v>
      </c>
      <c r="G277" s="18">
        <f t="shared" si="1"/>
        <v>18</v>
      </c>
      <c r="H277" s="19">
        <f t="shared" si="2"/>
        <v>25.81735235</v>
      </c>
      <c r="I277" s="19">
        <f t="shared" si="3"/>
        <v>0.07227974705</v>
      </c>
    </row>
    <row r="278">
      <c r="A278" s="6">
        <f>IFERROR(__xludf.DUMMYFUNCTION("""COMPUTED_VALUE"""),43977.0)</f>
        <v>43977</v>
      </c>
      <c r="B278" s="7" t="str">
        <f>IFERROR(__xludf.DUMMYFUNCTION("""COMPUTED_VALUE"""),"Краснодар")</f>
        <v>Краснодар</v>
      </c>
      <c r="C278" s="7">
        <f>IFERROR(__xludf.DUMMYFUNCTION("""COMPUTED_VALUE"""),27156.0)</f>
        <v>27156</v>
      </c>
      <c r="D278" s="7">
        <f>IFERROR(__xludf.DUMMYFUNCTION("""COMPUTED_VALUE"""),2410803.0)</f>
        <v>2410803</v>
      </c>
      <c r="E278" s="7">
        <f>IFERROR(__xludf.DUMMYFUNCTION("""COMPUTED_VALUE"""),1897998.252)</f>
        <v>1897998.252</v>
      </c>
      <c r="F278" s="8">
        <v>96303.4</v>
      </c>
      <c r="G278" s="18">
        <f t="shared" si="1"/>
        <v>22</v>
      </c>
      <c r="H278" s="19">
        <f t="shared" si="2"/>
        <v>27.01818863</v>
      </c>
      <c r="I278" s="19">
        <f t="shared" si="3"/>
        <v>0.039946607</v>
      </c>
    </row>
    <row r="279">
      <c r="A279" s="9">
        <f>IFERROR(__xludf.DUMMYFUNCTION("""COMPUTED_VALUE"""),43952.0)</f>
        <v>43952</v>
      </c>
      <c r="B279" s="10" t="str">
        <f>IFERROR(__xludf.DUMMYFUNCTION("""COMPUTED_VALUE"""),"Краснодар")</f>
        <v>Краснодар</v>
      </c>
      <c r="C279" s="10">
        <f>IFERROR(__xludf.DUMMYFUNCTION("""COMPUTED_VALUE"""),35190.0)</f>
        <v>35190</v>
      </c>
      <c r="D279" s="10">
        <f>IFERROR(__xludf.DUMMYFUNCTION("""COMPUTED_VALUE"""),3168510.0)</f>
        <v>3168510</v>
      </c>
      <c r="E279" s="10">
        <f>IFERROR(__xludf.DUMMYFUNCTION("""COMPUTED_VALUE"""),2533138.72)</f>
        <v>2533138.72</v>
      </c>
      <c r="F279" s="11">
        <v>102615.49999999999</v>
      </c>
      <c r="G279" s="18">
        <f t="shared" si="1"/>
        <v>18</v>
      </c>
      <c r="H279" s="19">
        <f t="shared" si="2"/>
        <v>25.08237212</v>
      </c>
      <c r="I279" s="19">
        <f t="shared" si="3"/>
        <v>0.03238604265</v>
      </c>
    </row>
    <row r="280">
      <c r="A280" s="6">
        <f>IFERROR(__xludf.DUMMYFUNCTION("""COMPUTED_VALUE"""),43963.0)</f>
        <v>43963</v>
      </c>
      <c r="B280" s="7" t="str">
        <f>IFERROR(__xludf.DUMMYFUNCTION("""COMPUTED_VALUE"""),"Краснодар")</f>
        <v>Краснодар</v>
      </c>
      <c r="C280" s="7">
        <f>IFERROR(__xludf.DUMMYFUNCTION("""COMPUTED_VALUE"""),25483.5)</f>
        <v>25483.5</v>
      </c>
      <c r="D280" s="7">
        <f>IFERROR(__xludf.DUMMYFUNCTION("""COMPUTED_VALUE"""),2243160.0)</f>
        <v>2243160</v>
      </c>
      <c r="E280" s="7">
        <f>IFERROR(__xludf.DUMMYFUNCTION("""COMPUTED_VALUE"""),1757185.7729999998)</f>
        <v>1757185.773</v>
      </c>
      <c r="F280" s="8">
        <v>114933.5923076923</v>
      </c>
      <c r="G280" s="18">
        <f t="shared" si="1"/>
        <v>20</v>
      </c>
      <c r="H280" s="19">
        <f t="shared" si="2"/>
        <v>27.65639436</v>
      </c>
      <c r="I280" s="19">
        <f t="shared" si="3"/>
        <v>0.05123735815</v>
      </c>
    </row>
    <row r="281">
      <c r="A281" s="9">
        <f>IFERROR(__xludf.DUMMYFUNCTION("""COMPUTED_VALUE"""),43972.0)</f>
        <v>43972</v>
      </c>
      <c r="B281" s="10" t="str">
        <f>IFERROR(__xludf.DUMMYFUNCTION("""COMPUTED_VALUE"""),"Краснодар")</f>
        <v>Краснодар</v>
      </c>
      <c r="C281" s="10">
        <f>IFERROR(__xludf.DUMMYFUNCTION("""COMPUTED_VALUE"""),25362.0)</f>
        <v>25362</v>
      </c>
      <c r="D281" s="10">
        <f>IFERROR(__xludf.DUMMYFUNCTION("""COMPUTED_VALUE"""),2198935.5)</f>
        <v>2198935.5</v>
      </c>
      <c r="E281" s="10">
        <f>IFERROR(__xludf.DUMMYFUNCTION("""COMPUTED_VALUE"""),1755958.305)</f>
        <v>1755958.305</v>
      </c>
      <c r="F281" s="11">
        <v>102833.37792307691</v>
      </c>
      <c r="G281" s="18">
        <f t="shared" si="1"/>
        <v>21</v>
      </c>
      <c r="H281" s="19">
        <f t="shared" si="2"/>
        <v>25.22709074</v>
      </c>
      <c r="I281" s="19">
        <f t="shared" si="3"/>
        <v>0.04676507243</v>
      </c>
    </row>
    <row r="282">
      <c r="A282" s="6">
        <f>IFERROR(__xludf.DUMMYFUNCTION("""COMPUTED_VALUE"""),43971.0)</f>
        <v>43971</v>
      </c>
      <c r="B282" s="7" t="str">
        <f>IFERROR(__xludf.DUMMYFUNCTION("""COMPUTED_VALUE"""),"Краснодар")</f>
        <v>Краснодар</v>
      </c>
      <c r="C282" s="7">
        <f>IFERROR(__xludf.DUMMYFUNCTION("""COMPUTED_VALUE"""),28849.5)</f>
        <v>28849.5</v>
      </c>
      <c r="D282" s="7">
        <f>IFERROR(__xludf.DUMMYFUNCTION("""COMPUTED_VALUE"""),2520759.0)</f>
        <v>2520759</v>
      </c>
      <c r="E282" s="7">
        <f>IFERROR(__xludf.DUMMYFUNCTION("""COMPUTED_VALUE"""),2010739.0729999999)</f>
        <v>2010739.073</v>
      </c>
      <c r="F282" s="8">
        <v>106300.0107076923</v>
      </c>
      <c r="G282" s="18">
        <f t="shared" si="1"/>
        <v>21</v>
      </c>
      <c r="H282" s="19">
        <f t="shared" si="2"/>
        <v>25.36479914</v>
      </c>
      <c r="I282" s="19">
        <f t="shared" si="3"/>
        <v>0.04216984278</v>
      </c>
    </row>
    <row r="283">
      <c r="A283" s="9">
        <f>IFERROR(__xludf.DUMMYFUNCTION("""COMPUTED_VALUE"""),43956.0)</f>
        <v>43956</v>
      </c>
      <c r="B283" s="10" t="str">
        <f>IFERROR(__xludf.DUMMYFUNCTION("""COMPUTED_VALUE"""),"Краснодар")</f>
        <v>Краснодар</v>
      </c>
      <c r="C283" s="10">
        <f>IFERROR(__xludf.DUMMYFUNCTION("""COMPUTED_VALUE"""),26367.0)</f>
        <v>26367</v>
      </c>
      <c r="D283" s="10">
        <f>IFERROR(__xludf.DUMMYFUNCTION("""COMPUTED_VALUE"""),2380333.5)</f>
        <v>2380333.5</v>
      </c>
      <c r="E283" s="10">
        <f>IFERROR(__xludf.DUMMYFUNCTION("""COMPUTED_VALUE"""),1873451.2719999999)</f>
        <v>1873451.272</v>
      </c>
      <c r="F283" s="11">
        <v>149632.4937</v>
      </c>
      <c r="G283" s="18">
        <f t="shared" si="1"/>
        <v>19</v>
      </c>
      <c r="H283" s="19">
        <f t="shared" si="2"/>
        <v>27.05606682</v>
      </c>
      <c r="I283" s="19">
        <f t="shared" si="3"/>
        <v>0.06286198707</v>
      </c>
    </row>
    <row r="284">
      <c r="A284" s="6">
        <f>IFERROR(__xludf.DUMMYFUNCTION("""COMPUTED_VALUE"""),43964.0)</f>
        <v>43964</v>
      </c>
      <c r="B284" s="7" t="str">
        <f>IFERROR(__xludf.DUMMYFUNCTION("""COMPUTED_VALUE"""),"Краснодар")</f>
        <v>Краснодар</v>
      </c>
      <c r="C284" s="7">
        <f>IFERROR(__xludf.DUMMYFUNCTION("""COMPUTED_VALUE"""),25539.0)</f>
        <v>25539</v>
      </c>
      <c r="D284" s="7">
        <f>IFERROR(__xludf.DUMMYFUNCTION("""COMPUTED_VALUE"""),2263651.5)</f>
        <v>2263651.5</v>
      </c>
      <c r="E284" s="7">
        <f>IFERROR(__xludf.DUMMYFUNCTION("""COMPUTED_VALUE"""),1783039.3049999997)</f>
        <v>1783039.305</v>
      </c>
      <c r="F284" s="8">
        <v>139331.3192923077</v>
      </c>
      <c r="G284" s="18">
        <f t="shared" si="1"/>
        <v>20</v>
      </c>
      <c r="H284" s="19">
        <f t="shared" si="2"/>
        <v>26.95466071</v>
      </c>
      <c r="I284" s="19">
        <f t="shared" si="3"/>
        <v>0.06155157686</v>
      </c>
    </row>
    <row r="285">
      <c r="A285" s="9">
        <f>IFERROR(__xludf.DUMMYFUNCTION("""COMPUTED_VALUE"""),43982.0)</f>
        <v>43982</v>
      </c>
      <c r="B285" s="10" t="str">
        <f>IFERROR(__xludf.DUMMYFUNCTION("""COMPUTED_VALUE"""),"Ростов-на-Дону")</f>
        <v>Ростов-на-Дону</v>
      </c>
      <c r="C285" s="10">
        <f>IFERROR(__xludf.DUMMYFUNCTION("""COMPUTED_VALUE"""),14808.0)</f>
        <v>14808</v>
      </c>
      <c r="D285" s="10">
        <f>IFERROR(__xludf.DUMMYFUNCTION("""COMPUTED_VALUE"""),1336789.5)</f>
        <v>1336789.5</v>
      </c>
      <c r="E285" s="10">
        <f>IFERROR(__xludf.DUMMYFUNCTION("""COMPUTED_VALUE"""),1084824.9949999999)</f>
        <v>1084824.995</v>
      </c>
      <c r="F285" s="11">
        <v>167974.06755384614</v>
      </c>
      <c r="G285" s="18">
        <f t="shared" si="1"/>
        <v>22</v>
      </c>
      <c r="H285" s="19">
        <f t="shared" si="2"/>
        <v>23.2262813</v>
      </c>
      <c r="I285" s="19">
        <f t="shared" si="3"/>
        <v>0.1256548376</v>
      </c>
    </row>
    <row r="286">
      <c r="A286" s="6">
        <f>IFERROR(__xludf.DUMMYFUNCTION("""COMPUTED_VALUE"""),43954.0)</f>
        <v>43954</v>
      </c>
      <c r="B286" s="7" t="str">
        <f>IFERROR(__xludf.DUMMYFUNCTION("""COMPUTED_VALUE"""),"Краснодар")</f>
        <v>Краснодар</v>
      </c>
      <c r="C286" s="7">
        <f>IFERROR(__xludf.DUMMYFUNCTION("""COMPUTED_VALUE"""),21343.5)</f>
        <v>21343.5</v>
      </c>
      <c r="D286" s="7">
        <f>IFERROR(__xludf.DUMMYFUNCTION("""COMPUTED_VALUE"""),1906557.0)</f>
        <v>1906557</v>
      </c>
      <c r="E286" s="7">
        <f>IFERROR(__xludf.DUMMYFUNCTION("""COMPUTED_VALUE"""),1485927.8739999998)</f>
        <v>1485927.874</v>
      </c>
      <c r="F286" s="8">
        <v>100092.68052307691</v>
      </c>
      <c r="G286" s="18">
        <f t="shared" si="1"/>
        <v>18</v>
      </c>
      <c r="H286" s="19">
        <f t="shared" si="2"/>
        <v>28.30750626</v>
      </c>
      <c r="I286" s="19">
        <f t="shared" si="3"/>
        <v>0.05249918073</v>
      </c>
    </row>
    <row r="287">
      <c r="A287" s="9">
        <f>IFERROR(__xludf.DUMMYFUNCTION("""COMPUTED_VALUE"""),43981.0)</f>
        <v>43981</v>
      </c>
      <c r="B287" s="10" t="str">
        <f>IFERROR(__xludf.DUMMYFUNCTION("""COMPUTED_VALUE"""),"Ростов-на-Дону")</f>
        <v>Ростов-на-Дону</v>
      </c>
      <c r="C287" s="10">
        <f>IFERROR(__xludf.DUMMYFUNCTION("""COMPUTED_VALUE"""),17946.0)</f>
        <v>17946</v>
      </c>
      <c r="D287" s="10">
        <f>IFERROR(__xludf.DUMMYFUNCTION("""COMPUTED_VALUE"""),1609090.5)</f>
        <v>1609090.5</v>
      </c>
      <c r="E287" s="10">
        <f>IFERROR(__xludf.DUMMYFUNCTION("""COMPUTED_VALUE"""),1298844.2)</f>
        <v>1298844.2</v>
      </c>
      <c r="F287" s="11">
        <v>137945.5276</v>
      </c>
      <c r="G287" s="18">
        <f t="shared" si="1"/>
        <v>22</v>
      </c>
      <c r="H287" s="19">
        <f t="shared" si="2"/>
        <v>23.88633679</v>
      </c>
      <c r="I287" s="19">
        <f t="shared" si="3"/>
        <v>0.08572888076</v>
      </c>
    </row>
    <row r="288">
      <c r="A288" s="6">
        <f>IFERROR(__xludf.DUMMYFUNCTION("""COMPUTED_VALUE"""),43957.0)</f>
        <v>43957</v>
      </c>
      <c r="B288" s="7" t="str">
        <f>IFERROR(__xludf.DUMMYFUNCTION("""COMPUTED_VALUE"""),"Краснодар")</f>
        <v>Краснодар</v>
      </c>
      <c r="C288" s="7">
        <f>IFERROR(__xludf.DUMMYFUNCTION("""COMPUTED_VALUE"""),24337.5)</f>
        <v>24337.5</v>
      </c>
      <c r="D288" s="7">
        <f>IFERROR(__xludf.DUMMYFUNCTION("""COMPUTED_VALUE"""),2159350.5)</f>
        <v>2159350.5</v>
      </c>
      <c r="E288" s="7">
        <f>IFERROR(__xludf.DUMMYFUNCTION("""COMPUTED_VALUE"""),1715939.5399999998)</f>
        <v>1715939.54</v>
      </c>
      <c r="F288" s="8">
        <v>115138.50836153845</v>
      </c>
      <c r="G288" s="18">
        <f t="shared" si="1"/>
        <v>19</v>
      </c>
      <c r="H288" s="19">
        <f t="shared" si="2"/>
        <v>25.84070998</v>
      </c>
      <c r="I288" s="19">
        <f t="shared" si="3"/>
        <v>0.05332089828</v>
      </c>
    </row>
    <row r="289">
      <c r="A289" s="9">
        <f>IFERROR(__xludf.DUMMYFUNCTION("""COMPUTED_VALUE"""),43974.0)</f>
        <v>43974</v>
      </c>
      <c r="B289" s="10" t="str">
        <f>IFERROR(__xludf.DUMMYFUNCTION("""COMPUTED_VALUE"""),"Краснодар")</f>
        <v>Краснодар</v>
      </c>
      <c r="C289" s="10">
        <f>IFERROR(__xludf.DUMMYFUNCTION("""COMPUTED_VALUE"""),36997.5)</f>
        <v>36997.5</v>
      </c>
      <c r="D289" s="10">
        <f>IFERROR(__xludf.DUMMYFUNCTION("""COMPUTED_VALUE"""),3089140.5)</f>
        <v>3089140.5</v>
      </c>
      <c r="E289" s="10">
        <f>IFERROR(__xludf.DUMMYFUNCTION("""COMPUTED_VALUE"""),2533823.174)</f>
        <v>2533823.174</v>
      </c>
      <c r="F289" s="11">
        <v>109891.53846153845</v>
      </c>
      <c r="G289" s="18">
        <f t="shared" si="1"/>
        <v>21</v>
      </c>
      <c r="H289" s="19">
        <f t="shared" si="2"/>
        <v>21.91618309</v>
      </c>
      <c r="I289" s="19">
        <f t="shared" si="3"/>
        <v>0.03557349964</v>
      </c>
    </row>
    <row r="290">
      <c r="A290" s="6">
        <f>IFERROR(__xludf.DUMMYFUNCTION("""COMPUTED_VALUE"""),43979.0)</f>
        <v>43979</v>
      </c>
      <c r="B290" s="7" t="str">
        <f>IFERROR(__xludf.DUMMYFUNCTION("""COMPUTED_VALUE"""),"Ростов-на-Дону")</f>
        <v>Ростов-на-Дону</v>
      </c>
      <c r="C290" s="7">
        <f>IFERROR(__xludf.DUMMYFUNCTION("""COMPUTED_VALUE"""),13864.5)</f>
        <v>13864.5</v>
      </c>
      <c r="D290" s="7">
        <f>IFERROR(__xludf.DUMMYFUNCTION("""COMPUTED_VALUE"""),1239747.0)</f>
        <v>1239747</v>
      </c>
      <c r="E290" s="7">
        <f>IFERROR(__xludf.DUMMYFUNCTION("""COMPUTED_VALUE"""),995597.5199999999)</f>
        <v>995597.52</v>
      </c>
      <c r="F290" s="8">
        <v>216733.44615384613</v>
      </c>
      <c r="G290" s="18">
        <f t="shared" si="1"/>
        <v>22</v>
      </c>
      <c r="H290" s="19">
        <f t="shared" si="2"/>
        <v>24.52290962</v>
      </c>
      <c r="I290" s="19">
        <f t="shared" si="3"/>
        <v>0.1748207063</v>
      </c>
    </row>
    <row r="291">
      <c r="A291" s="9">
        <f>IFERROR(__xludf.DUMMYFUNCTION("""COMPUTED_VALUE"""),43976.0)</f>
        <v>43976</v>
      </c>
      <c r="B291" s="10" t="str">
        <f>IFERROR(__xludf.DUMMYFUNCTION("""COMPUTED_VALUE"""),"Краснодар")</f>
        <v>Краснодар</v>
      </c>
      <c r="C291" s="10">
        <f>IFERROR(__xludf.DUMMYFUNCTION("""COMPUTED_VALUE"""),28494.0)</f>
        <v>28494</v>
      </c>
      <c r="D291" s="10">
        <f>IFERROR(__xludf.DUMMYFUNCTION("""COMPUTED_VALUE"""),2512803.0)</f>
        <v>2512803</v>
      </c>
      <c r="E291" s="10">
        <f>IFERROR(__xludf.DUMMYFUNCTION("""COMPUTED_VALUE"""),1972327.267)</f>
        <v>1972327.267</v>
      </c>
      <c r="F291" s="11">
        <v>174025.3846153846</v>
      </c>
      <c r="G291" s="18">
        <f t="shared" si="1"/>
        <v>22</v>
      </c>
      <c r="H291" s="19">
        <f t="shared" si="2"/>
        <v>27.40294382</v>
      </c>
      <c r="I291" s="19">
        <f t="shared" si="3"/>
        <v>0.06925548267</v>
      </c>
    </row>
    <row r="292">
      <c r="A292" s="6">
        <f>IFERROR(__xludf.DUMMYFUNCTION("""COMPUTED_VALUE"""),43951.0)</f>
        <v>43951</v>
      </c>
      <c r="B292" s="7" t="str">
        <f>IFERROR(__xludf.DUMMYFUNCTION("""COMPUTED_VALUE"""),"Краснодар")</f>
        <v>Краснодар</v>
      </c>
      <c r="C292" s="7">
        <f>IFERROR(__xludf.DUMMYFUNCTION("""COMPUTED_VALUE"""),27883.5)</f>
        <v>27883.5</v>
      </c>
      <c r="D292" s="7">
        <f>IFERROR(__xludf.DUMMYFUNCTION("""COMPUTED_VALUE"""),2560080.0)</f>
        <v>2560080</v>
      </c>
      <c r="E292" s="7">
        <f>IFERROR(__xludf.DUMMYFUNCTION("""COMPUTED_VALUE"""),2016381.645)</f>
        <v>2016381.645</v>
      </c>
      <c r="F292" s="8">
        <v>41912.70769230769</v>
      </c>
      <c r="G292" s="18">
        <f t="shared" si="1"/>
        <v>18</v>
      </c>
      <c r="H292" s="19">
        <f t="shared" si="2"/>
        <v>26.96405992</v>
      </c>
      <c r="I292" s="19">
        <f t="shared" si="3"/>
        <v>0.01637163983</v>
      </c>
    </row>
    <row r="293">
      <c r="A293" s="9">
        <f>IFERROR(__xludf.DUMMYFUNCTION("""COMPUTED_VALUE"""),43961.0)</f>
        <v>43961</v>
      </c>
      <c r="B293" s="10" t="str">
        <f>IFERROR(__xludf.DUMMYFUNCTION("""COMPUTED_VALUE"""),"Краснодар")</f>
        <v>Краснодар</v>
      </c>
      <c r="C293" s="10">
        <f>IFERROR(__xludf.DUMMYFUNCTION("""COMPUTED_VALUE"""),31224.0)</f>
        <v>31224</v>
      </c>
      <c r="D293" s="10">
        <f>IFERROR(__xludf.DUMMYFUNCTION("""COMPUTED_VALUE"""),2767270.5)</f>
        <v>2767270.5</v>
      </c>
      <c r="E293" s="10">
        <f>IFERROR(__xludf.DUMMYFUNCTION("""COMPUTED_VALUE"""),2174380.5969999996)</f>
        <v>2174380.597</v>
      </c>
      <c r="F293" s="11">
        <v>80170.9809076923</v>
      </c>
      <c r="G293" s="18">
        <f t="shared" si="1"/>
        <v>19</v>
      </c>
      <c r="H293" s="19">
        <f t="shared" si="2"/>
        <v>27.26707108</v>
      </c>
      <c r="I293" s="19">
        <f t="shared" si="3"/>
        <v>0.02897113994</v>
      </c>
    </row>
    <row r="294">
      <c r="A294" s="6">
        <f>IFERROR(__xludf.DUMMYFUNCTION("""COMPUTED_VALUE"""),43959.0)</f>
        <v>43959</v>
      </c>
      <c r="B294" s="7" t="str">
        <f>IFERROR(__xludf.DUMMYFUNCTION("""COMPUTED_VALUE"""),"Краснодар")</f>
        <v>Краснодар</v>
      </c>
      <c r="C294" s="7">
        <f>IFERROR(__xludf.DUMMYFUNCTION("""COMPUTED_VALUE"""),25020.0)</f>
        <v>25020</v>
      </c>
      <c r="D294" s="7">
        <f>IFERROR(__xludf.DUMMYFUNCTION("""COMPUTED_VALUE"""),2235960.0)</f>
        <v>2235960</v>
      </c>
      <c r="E294" s="7">
        <f>IFERROR(__xludf.DUMMYFUNCTION("""COMPUTED_VALUE"""),1780335.608)</f>
        <v>1780335.608</v>
      </c>
      <c r="F294" s="8">
        <v>140320.89928461539</v>
      </c>
      <c r="G294" s="18">
        <f t="shared" si="1"/>
        <v>19</v>
      </c>
      <c r="H294" s="19">
        <f t="shared" si="2"/>
        <v>25.59205073</v>
      </c>
      <c r="I294" s="19">
        <f t="shared" si="3"/>
        <v>0.06275644434</v>
      </c>
    </row>
    <row r="295">
      <c r="A295" s="9">
        <f>IFERROR(__xludf.DUMMYFUNCTION("""COMPUTED_VALUE"""),43958.0)</f>
        <v>43958</v>
      </c>
      <c r="B295" s="10" t="str">
        <f>IFERROR(__xludf.DUMMYFUNCTION("""COMPUTED_VALUE"""),"Краснодар")</f>
        <v>Краснодар</v>
      </c>
      <c r="C295" s="10">
        <f>IFERROR(__xludf.DUMMYFUNCTION("""COMPUTED_VALUE"""),26184.0)</f>
        <v>26184</v>
      </c>
      <c r="D295" s="10">
        <f>IFERROR(__xludf.DUMMYFUNCTION("""COMPUTED_VALUE"""),2308336.5)</f>
        <v>2308336.5</v>
      </c>
      <c r="E295" s="10">
        <f>IFERROR(__xludf.DUMMYFUNCTION("""COMPUTED_VALUE"""),1837113.1940000001)</f>
        <v>1837113.194</v>
      </c>
      <c r="F295" s="11">
        <v>115064.43612307693</v>
      </c>
      <c r="G295" s="18">
        <f t="shared" si="1"/>
        <v>19</v>
      </c>
      <c r="H295" s="19">
        <f t="shared" si="2"/>
        <v>25.65020531</v>
      </c>
      <c r="I295" s="19">
        <f t="shared" si="3"/>
        <v>0.04984734077</v>
      </c>
    </row>
    <row r="296">
      <c r="A296" s="6">
        <f>IFERROR(__xludf.DUMMYFUNCTION("""COMPUTED_VALUE"""),43975.0)</f>
        <v>43975</v>
      </c>
      <c r="B296" s="7" t="str">
        <f>IFERROR(__xludf.DUMMYFUNCTION("""COMPUTED_VALUE"""),"Краснодар")</f>
        <v>Краснодар</v>
      </c>
      <c r="C296" s="7">
        <f>IFERROR(__xludf.DUMMYFUNCTION("""COMPUTED_VALUE"""),29824.5)</f>
        <v>29824.5</v>
      </c>
      <c r="D296" s="7">
        <f>IFERROR(__xludf.DUMMYFUNCTION("""COMPUTED_VALUE"""),2526909.0)</f>
        <v>2526909</v>
      </c>
      <c r="E296" s="7">
        <f>IFERROR(__xludf.DUMMYFUNCTION("""COMPUTED_VALUE"""),2092407.26)</f>
        <v>2092407.26</v>
      </c>
      <c r="F296" s="8">
        <v>62346.41538461538</v>
      </c>
      <c r="G296" s="18">
        <f t="shared" si="1"/>
        <v>21</v>
      </c>
      <c r="H296" s="19">
        <f t="shared" si="2"/>
        <v>20.76563909</v>
      </c>
      <c r="I296" s="19">
        <f t="shared" si="3"/>
        <v>0.0246729959</v>
      </c>
    </row>
    <row r="297">
      <c r="A297" s="9">
        <f>IFERROR(__xludf.DUMMYFUNCTION("""COMPUTED_VALUE"""),43950.0)</f>
        <v>43950</v>
      </c>
      <c r="B297" s="10" t="str">
        <f>IFERROR(__xludf.DUMMYFUNCTION("""COMPUTED_VALUE"""),"Москва Запад")</f>
        <v>Москва Запад</v>
      </c>
      <c r="C297" s="10">
        <f>IFERROR(__xludf.DUMMYFUNCTION("""COMPUTED_VALUE"""),208351.5)</f>
        <v>208351.5</v>
      </c>
      <c r="D297" s="10">
        <f>IFERROR(__xludf.DUMMYFUNCTION("""COMPUTED_VALUE"""),2.1615333E7)</f>
        <v>21615333</v>
      </c>
      <c r="E297" s="10">
        <f>IFERROR(__xludf.DUMMYFUNCTION("""COMPUTED_VALUE"""),1.5729720814999998E7)</f>
        <v>15729720.82</v>
      </c>
      <c r="F297" s="11">
        <v>273156.72</v>
      </c>
      <c r="G297" s="18">
        <f t="shared" si="1"/>
        <v>18</v>
      </c>
      <c r="H297" s="19">
        <f t="shared" si="2"/>
        <v>37.41714334</v>
      </c>
      <c r="I297" s="19">
        <f t="shared" si="3"/>
        <v>0.01263717381</v>
      </c>
    </row>
    <row r="298">
      <c r="A298" s="6">
        <f>IFERROR(__xludf.DUMMYFUNCTION("""COMPUTED_VALUE"""),43949.0)</f>
        <v>43949</v>
      </c>
      <c r="B298" s="7" t="str">
        <f>IFERROR(__xludf.DUMMYFUNCTION("""COMPUTED_VALUE"""),"Москва Запад")</f>
        <v>Москва Запад</v>
      </c>
      <c r="C298" s="7">
        <f>IFERROR(__xludf.DUMMYFUNCTION("""COMPUTED_VALUE"""),204637.5)</f>
        <v>204637.5</v>
      </c>
      <c r="D298" s="7">
        <f>IFERROR(__xludf.DUMMYFUNCTION("""COMPUTED_VALUE"""),2.11148985E7)</f>
        <v>21114898.5</v>
      </c>
      <c r="E298" s="7">
        <f>IFERROR(__xludf.DUMMYFUNCTION("""COMPUTED_VALUE"""),1.5426373359E7)</f>
        <v>15426373.36</v>
      </c>
      <c r="F298" s="8">
        <v>255889.23846153845</v>
      </c>
      <c r="G298" s="18">
        <f t="shared" si="1"/>
        <v>18</v>
      </c>
      <c r="H298" s="19">
        <f t="shared" si="2"/>
        <v>36.87532389</v>
      </c>
      <c r="I298" s="19">
        <f t="shared" si="3"/>
        <v>0.01211889503</v>
      </c>
    </row>
    <row r="299">
      <c r="A299" s="9">
        <f>IFERROR(__xludf.DUMMYFUNCTION("""COMPUTED_VALUE"""),43982.0)</f>
        <v>43982</v>
      </c>
      <c r="B299" s="10" t="str">
        <f>IFERROR(__xludf.DUMMYFUNCTION("""COMPUTED_VALUE"""),"Краснодар")</f>
        <v>Краснодар</v>
      </c>
      <c r="C299" s="10">
        <f>IFERROR(__xludf.DUMMYFUNCTION("""COMPUTED_VALUE"""),31372.5)</f>
        <v>31372.5</v>
      </c>
      <c r="D299" s="10">
        <f>IFERROR(__xludf.DUMMYFUNCTION("""COMPUTED_VALUE"""),2794324.5)</f>
        <v>2794324.5</v>
      </c>
      <c r="E299" s="10">
        <f>IFERROR(__xludf.DUMMYFUNCTION("""COMPUTED_VALUE"""),2251714.549)</f>
        <v>2251714.549</v>
      </c>
      <c r="F299" s="11">
        <v>37852.04366923077</v>
      </c>
      <c r="G299" s="18">
        <f t="shared" si="1"/>
        <v>22</v>
      </c>
      <c r="H299" s="19">
        <f t="shared" si="2"/>
        <v>24.0976349</v>
      </c>
      <c r="I299" s="19">
        <f t="shared" si="3"/>
        <v>0.01354604437</v>
      </c>
    </row>
    <row r="300">
      <c r="A300" s="6">
        <f>IFERROR(__xludf.DUMMYFUNCTION("""COMPUTED_VALUE"""),43981.0)</f>
        <v>43981</v>
      </c>
      <c r="B300" s="7" t="str">
        <f>IFERROR(__xludf.DUMMYFUNCTION("""COMPUTED_VALUE"""),"Краснодар")</f>
        <v>Краснодар</v>
      </c>
      <c r="C300" s="7">
        <f>IFERROR(__xludf.DUMMYFUNCTION("""COMPUTED_VALUE"""),34681.5)</f>
        <v>34681.5</v>
      </c>
      <c r="D300" s="7">
        <f>IFERROR(__xludf.DUMMYFUNCTION("""COMPUTED_VALUE"""),3005334.0)</f>
        <v>3005334</v>
      </c>
      <c r="E300" s="7">
        <f>IFERROR(__xludf.DUMMYFUNCTION("""COMPUTED_VALUE"""),2408136.819)</f>
        <v>2408136.819</v>
      </c>
      <c r="F300" s="8">
        <v>113231.09230769232</v>
      </c>
      <c r="G300" s="18">
        <f t="shared" si="1"/>
        <v>22</v>
      </c>
      <c r="H300" s="19">
        <f t="shared" si="2"/>
        <v>24.79913833</v>
      </c>
      <c r="I300" s="19">
        <f t="shared" si="3"/>
        <v>0.03767670825</v>
      </c>
    </row>
    <row r="301">
      <c r="A301" s="9">
        <f>IFERROR(__xludf.DUMMYFUNCTION("""COMPUTED_VALUE"""),43979.0)</f>
        <v>43979</v>
      </c>
      <c r="B301" s="10" t="str">
        <f>IFERROR(__xludf.DUMMYFUNCTION("""COMPUTED_VALUE"""),"Краснодар")</f>
        <v>Краснодар</v>
      </c>
      <c r="C301" s="10">
        <f>IFERROR(__xludf.DUMMYFUNCTION("""COMPUTED_VALUE"""),28197.0)</f>
        <v>28197</v>
      </c>
      <c r="D301" s="10">
        <f>IFERROR(__xludf.DUMMYFUNCTION("""COMPUTED_VALUE"""),2559211.5)</f>
        <v>2559211.5</v>
      </c>
      <c r="E301" s="10">
        <f>IFERROR(__xludf.DUMMYFUNCTION("""COMPUTED_VALUE"""),2038847.009)</f>
        <v>2038847.009</v>
      </c>
      <c r="F301" s="11">
        <v>74270.53076923077</v>
      </c>
      <c r="G301" s="18">
        <f t="shared" si="1"/>
        <v>22</v>
      </c>
      <c r="H301" s="19">
        <f t="shared" si="2"/>
        <v>25.52248838</v>
      </c>
      <c r="I301" s="19">
        <f t="shared" si="3"/>
        <v>0.02902086473</v>
      </c>
    </row>
    <row r="302">
      <c r="A302" s="6">
        <f>IFERROR(__xludf.DUMMYFUNCTION("""COMPUTED_VALUE"""),43967.0)</f>
        <v>43967</v>
      </c>
      <c r="B302" s="7" t="str">
        <f>IFERROR(__xludf.DUMMYFUNCTION("""COMPUTED_VALUE"""),"Москва Запад")</f>
        <v>Москва Запад</v>
      </c>
      <c r="C302" s="7">
        <f>IFERROR(__xludf.DUMMYFUNCTION("""COMPUTED_VALUE"""),236551.5)</f>
        <v>236551.5</v>
      </c>
      <c r="D302" s="7">
        <f>IFERROR(__xludf.DUMMYFUNCTION("""COMPUTED_VALUE"""),2.3689383E7)</f>
        <v>23689383</v>
      </c>
      <c r="E302" s="7">
        <f>IFERROR(__xludf.DUMMYFUNCTION("""COMPUTED_VALUE"""),1.7329462176E7)</f>
        <v>17329462.18</v>
      </c>
      <c r="F302" s="8">
        <v>258177.63846153844</v>
      </c>
      <c r="G302" s="18">
        <f t="shared" si="1"/>
        <v>20</v>
      </c>
      <c r="H302" s="19">
        <f t="shared" si="2"/>
        <v>36.70004735</v>
      </c>
      <c r="I302" s="19">
        <f t="shared" si="3"/>
        <v>0.01089845347</v>
      </c>
    </row>
    <row r="303">
      <c r="A303" s="9">
        <f>IFERROR(__xludf.DUMMYFUNCTION("""COMPUTED_VALUE"""),43970.0)</f>
        <v>43970</v>
      </c>
      <c r="B303" s="10" t="str">
        <f>IFERROR(__xludf.DUMMYFUNCTION("""COMPUTED_VALUE"""),"Москва Запад")</f>
        <v>Москва Запад</v>
      </c>
      <c r="C303" s="10">
        <f>IFERROR(__xludf.DUMMYFUNCTION("""COMPUTED_VALUE"""),223597.5)</f>
        <v>223597.5</v>
      </c>
      <c r="D303" s="10">
        <f>IFERROR(__xludf.DUMMYFUNCTION("""COMPUTED_VALUE"""),2.1945858E7)</f>
        <v>21945858</v>
      </c>
      <c r="E303" s="10">
        <f>IFERROR(__xludf.DUMMYFUNCTION("""COMPUTED_VALUE"""),1.5975681728E7)</f>
        <v>15975681.73</v>
      </c>
      <c r="F303" s="11">
        <v>296759.42307692306</v>
      </c>
      <c r="G303" s="18">
        <f t="shared" si="1"/>
        <v>21</v>
      </c>
      <c r="H303" s="19">
        <f t="shared" si="2"/>
        <v>37.37040067</v>
      </c>
      <c r="I303" s="19">
        <f t="shared" si="3"/>
        <v>0.01352234317</v>
      </c>
    </row>
    <row r="304">
      <c r="A304" s="6">
        <f>IFERROR(__xludf.DUMMYFUNCTION("""COMPUTED_VALUE"""),43968.0)</f>
        <v>43968</v>
      </c>
      <c r="B304" s="7" t="str">
        <f>IFERROR(__xludf.DUMMYFUNCTION("""COMPUTED_VALUE"""),"Москва Запад")</f>
        <v>Москва Запад</v>
      </c>
      <c r="C304" s="7">
        <f>IFERROR(__xludf.DUMMYFUNCTION("""COMPUTED_VALUE"""),193363.5)</f>
        <v>193363.5</v>
      </c>
      <c r="D304" s="7">
        <f>IFERROR(__xludf.DUMMYFUNCTION("""COMPUTED_VALUE"""),1.9546386E7)</f>
        <v>19546386</v>
      </c>
      <c r="E304" s="7">
        <f>IFERROR(__xludf.DUMMYFUNCTION("""COMPUTED_VALUE"""),1.4278298844E7)</f>
        <v>14278298.84</v>
      </c>
      <c r="F304" s="8">
        <v>264289.06153846154</v>
      </c>
      <c r="G304" s="18">
        <f t="shared" si="1"/>
        <v>20</v>
      </c>
      <c r="H304" s="19">
        <f t="shared" si="2"/>
        <v>36.89576198</v>
      </c>
      <c r="I304" s="19">
        <f t="shared" si="3"/>
        <v>0.01352112158</v>
      </c>
    </row>
    <row r="305">
      <c r="A305" s="9">
        <f>IFERROR(__xludf.DUMMYFUNCTION("""COMPUTED_VALUE"""),43960.0)</f>
        <v>43960</v>
      </c>
      <c r="B305" s="10" t="str">
        <f>IFERROR(__xludf.DUMMYFUNCTION("""COMPUTED_VALUE"""),"Москва Запад")</f>
        <v>Москва Запад</v>
      </c>
      <c r="C305" s="10">
        <f>IFERROR(__xludf.DUMMYFUNCTION("""COMPUTED_VALUE"""),188319.0)</f>
        <v>188319</v>
      </c>
      <c r="D305" s="10">
        <f>IFERROR(__xludf.DUMMYFUNCTION("""COMPUTED_VALUE"""),1.92186315E7)</f>
        <v>19218631.5</v>
      </c>
      <c r="E305" s="10">
        <f>IFERROR(__xludf.DUMMYFUNCTION("""COMPUTED_VALUE"""),1.3973128512E7)</f>
        <v>13973128.51</v>
      </c>
      <c r="F305" s="11">
        <v>403874.8839461538</v>
      </c>
      <c r="G305" s="18">
        <f t="shared" si="1"/>
        <v>19</v>
      </c>
      <c r="H305" s="19">
        <f t="shared" si="2"/>
        <v>37.53993233</v>
      </c>
      <c r="I305" s="19">
        <f t="shared" si="3"/>
        <v>0.02101475768</v>
      </c>
    </row>
    <row r="306">
      <c r="A306" s="6">
        <f>IFERROR(__xludf.DUMMYFUNCTION("""COMPUTED_VALUE"""),43955.0)</f>
        <v>43955</v>
      </c>
      <c r="B306" s="7" t="str">
        <f>IFERROR(__xludf.DUMMYFUNCTION("""COMPUTED_VALUE"""),"Москва Запад")</f>
        <v>Москва Запад</v>
      </c>
      <c r="C306" s="7">
        <f>IFERROR(__xludf.DUMMYFUNCTION("""COMPUTED_VALUE"""),237544.5)</f>
        <v>237544.5</v>
      </c>
      <c r="D306" s="7">
        <f>IFERROR(__xludf.DUMMYFUNCTION("""COMPUTED_VALUE"""),2.4292218E7)</f>
        <v>24292218</v>
      </c>
      <c r="E306" s="7">
        <f>IFERROR(__xludf.DUMMYFUNCTION("""COMPUTED_VALUE"""),1.7650186029E7)</f>
        <v>17650186.03</v>
      </c>
      <c r="F306" s="8">
        <v>347608.6384615384</v>
      </c>
      <c r="G306" s="18">
        <f t="shared" si="1"/>
        <v>19</v>
      </c>
      <c r="H306" s="19">
        <f t="shared" si="2"/>
        <v>37.63151255</v>
      </c>
      <c r="I306" s="19">
        <f t="shared" si="3"/>
        <v>0.0143094648</v>
      </c>
    </row>
    <row r="307">
      <c r="A307" s="9">
        <f>IFERROR(__xludf.DUMMYFUNCTION("""COMPUTED_VALUE"""),43950.0)</f>
        <v>43950</v>
      </c>
      <c r="B307" s="10" t="str">
        <f>IFERROR(__xludf.DUMMYFUNCTION("""COMPUTED_VALUE"""),"Москва Восток")</f>
        <v>Москва Восток</v>
      </c>
      <c r="C307" s="10">
        <f>IFERROR(__xludf.DUMMYFUNCTION("""COMPUTED_VALUE"""),203209.5)</f>
        <v>203209.5</v>
      </c>
      <c r="D307" s="10">
        <f>IFERROR(__xludf.DUMMYFUNCTION("""COMPUTED_VALUE"""),2.08713915E7)</f>
        <v>20871391.5</v>
      </c>
      <c r="E307" s="10">
        <f>IFERROR(__xludf.DUMMYFUNCTION("""COMPUTED_VALUE"""),1.5206983089E7)</f>
        <v>15206983.09</v>
      </c>
      <c r="F307" s="11">
        <v>284467.6615384616</v>
      </c>
      <c r="G307" s="18">
        <f t="shared" si="1"/>
        <v>18</v>
      </c>
      <c r="H307" s="19">
        <f t="shared" si="2"/>
        <v>37.24873223</v>
      </c>
      <c r="I307" s="19">
        <f t="shared" si="3"/>
        <v>0.0136295494</v>
      </c>
    </row>
    <row r="308">
      <c r="A308" s="6">
        <f>IFERROR(__xludf.DUMMYFUNCTION("""COMPUTED_VALUE"""),43953.0)</f>
        <v>43953</v>
      </c>
      <c r="B308" s="7" t="str">
        <f>IFERROR(__xludf.DUMMYFUNCTION("""COMPUTED_VALUE"""),"Москва Запад")</f>
        <v>Москва Запад</v>
      </c>
      <c r="C308" s="7">
        <f>IFERROR(__xludf.DUMMYFUNCTION("""COMPUTED_VALUE"""),185979.0)</f>
        <v>185979</v>
      </c>
      <c r="D308" s="7">
        <f>IFERROR(__xludf.DUMMYFUNCTION("""COMPUTED_VALUE"""),1.9625364E7)</f>
        <v>19625364</v>
      </c>
      <c r="E308" s="7">
        <f>IFERROR(__xludf.DUMMYFUNCTION("""COMPUTED_VALUE"""),1.4386025838000001E7)</f>
        <v>14386025.84</v>
      </c>
      <c r="F308" s="8">
        <v>361439.69230769225</v>
      </c>
      <c r="G308" s="18">
        <f t="shared" si="1"/>
        <v>18</v>
      </c>
      <c r="H308" s="19">
        <f t="shared" si="2"/>
        <v>36.41963542</v>
      </c>
      <c r="I308" s="19">
        <f t="shared" si="3"/>
        <v>0.01841696757</v>
      </c>
    </row>
    <row r="309">
      <c r="A309" s="9">
        <f>IFERROR(__xludf.DUMMYFUNCTION("""COMPUTED_VALUE"""),43977.0)</f>
        <v>43977</v>
      </c>
      <c r="B309" s="10" t="str">
        <f>IFERROR(__xludf.DUMMYFUNCTION("""COMPUTED_VALUE"""),"Москва Запад")</f>
        <v>Москва Запад</v>
      </c>
      <c r="C309" s="10">
        <f>IFERROR(__xludf.DUMMYFUNCTION("""COMPUTED_VALUE"""),244905.0)</f>
        <v>244905</v>
      </c>
      <c r="D309" s="10">
        <f>IFERROR(__xludf.DUMMYFUNCTION("""COMPUTED_VALUE"""),2.51634315E7)</f>
        <v>25163431.5</v>
      </c>
      <c r="E309" s="10">
        <f>IFERROR(__xludf.DUMMYFUNCTION("""COMPUTED_VALUE"""),1.8210825697E7)</f>
        <v>18210825.7</v>
      </c>
      <c r="F309" s="11">
        <v>272401.2</v>
      </c>
      <c r="G309" s="18">
        <f t="shared" si="1"/>
        <v>22</v>
      </c>
      <c r="H309" s="19">
        <f t="shared" si="2"/>
        <v>38.17842155</v>
      </c>
      <c r="I309" s="19">
        <f t="shared" si="3"/>
        <v>0.01082528033</v>
      </c>
    </row>
    <row r="310">
      <c r="A310" s="6">
        <f>IFERROR(__xludf.DUMMYFUNCTION("""COMPUTED_VALUE"""),43952.0)</f>
        <v>43952</v>
      </c>
      <c r="B310" s="7" t="str">
        <f>IFERROR(__xludf.DUMMYFUNCTION("""COMPUTED_VALUE"""),"Москва Запад")</f>
        <v>Москва Запад</v>
      </c>
      <c r="C310" s="7">
        <f>IFERROR(__xludf.DUMMYFUNCTION("""COMPUTED_VALUE"""),239409.0)</f>
        <v>239409</v>
      </c>
      <c r="D310" s="7">
        <f>IFERROR(__xludf.DUMMYFUNCTION("""COMPUTED_VALUE"""),2.5413351E7)</f>
        <v>25413351</v>
      </c>
      <c r="E310" s="7">
        <f>IFERROR(__xludf.DUMMYFUNCTION("""COMPUTED_VALUE"""),1.8463277771E7)</f>
        <v>18463277.77</v>
      </c>
      <c r="F310" s="8">
        <v>369443.39999999997</v>
      </c>
      <c r="G310" s="18">
        <f t="shared" si="1"/>
        <v>18</v>
      </c>
      <c r="H310" s="19">
        <f t="shared" si="2"/>
        <v>37.64268358</v>
      </c>
      <c r="I310" s="19">
        <f t="shared" si="3"/>
        <v>0.01453737447</v>
      </c>
    </row>
    <row r="311">
      <c r="A311" s="9">
        <f>IFERROR(__xludf.DUMMYFUNCTION("""COMPUTED_VALUE"""),43963.0)</f>
        <v>43963</v>
      </c>
      <c r="B311" s="10" t="str">
        <f>IFERROR(__xludf.DUMMYFUNCTION("""COMPUTED_VALUE"""),"Москва Запад")</f>
        <v>Москва Запад</v>
      </c>
      <c r="C311" s="10">
        <f>IFERROR(__xludf.DUMMYFUNCTION("""COMPUTED_VALUE"""),192886.5)</f>
        <v>192886.5</v>
      </c>
      <c r="D311" s="10">
        <f>IFERROR(__xludf.DUMMYFUNCTION("""COMPUTED_VALUE"""),1.92051795E7)</f>
        <v>19205179.5</v>
      </c>
      <c r="E311" s="10">
        <f>IFERROR(__xludf.DUMMYFUNCTION("""COMPUTED_VALUE"""),1.3834210462E7)</f>
        <v>13834210.46</v>
      </c>
      <c r="F311" s="11">
        <v>383344.65076923074</v>
      </c>
      <c r="G311" s="18">
        <f t="shared" si="1"/>
        <v>20</v>
      </c>
      <c r="H311" s="19">
        <f t="shared" si="2"/>
        <v>38.8238205</v>
      </c>
      <c r="I311" s="19">
        <f t="shared" si="3"/>
        <v>0.01996048258</v>
      </c>
    </row>
    <row r="312">
      <c r="A312" s="6">
        <f>IFERROR(__xludf.DUMMYFUNCTION("""COMPUTED_VALUE"""),43972.0)</f>
        <v>43972</v>
      </c>
      <c r="B312" s="7" t="str">
        <f>IFERROR(__xludf.DUMMYFUNCTION("""COMPUTED_VALUE"""),"Москва Запад")</f>
        <v>Москва Запад</v>
      </c>
      <c r="C312" s="7">
        <f>IFERROR(__xludf.DUMMYFUNCTION("""COMPUTED_VALUE"""),224233.5)</f>
        <v>224233.5</v>
      </c>
      <c r="D312" s="7">
        <f>IFERROR(__xludf.DUMMYFUNCTION("""COMPUTED_VALUE"""),2.2253295E7)</f>
        <v>22253295</v>
      </c>
      <c r="E312" s="7">
        <f>IFERROR(__xludf.DUMMYFUNCTION("""COMPUTED_VALUE"""),1.6496134314E7)</f>
        <v>16496134.31</v>
      </c>
      <c r="F312" s="8">
        <v>334550.50769230764</v>
      </c>
      <c r="G312" s="18">
        <f t="shared" si="1"/>
        <v>21</v>
      </c>
      <c r="H312" s="19">
        <f t="shared" si="2"/>
        <v>34.90005947</v>
      </c>
      <c r="I312" s="19">
        <f t="shared" si="3"/>
        <v>0.01503375153</v>
      </c>
    </row>
    <row r="313">
      <c r="A313" s="9">
        <f>IFERROR(__xludf.DUMMYFUNCTION("""COMPUTED_VALUE"""),43971.0)</f>
        <v>43971</v>
      </c>
      <c r="B313" s="10" t="str">
        <f>IFERROR(__xludf.DUMMYFUNCTION("""COMPUTED_VALUE"""),"Москва Запад")</f>
        <v>Москва Запад</v>
      </c>
      <c r="C313" s="10">
        <f>IFERROR(__xludf.DUMMYFUNCTION("""COMPUTED_VALUE"""),219622.5)</f>
        <v>219622.5</v>
      </c>
      <c r="D313" s="10">
        <f>IFERROR(__xludf.DUMMYFUNCTION("""COMPUTED_VALUE"""),2.1959286E7)</f>
        <v>21959286</v>
      </c>
      <c r="E313" s="10">
        <f>IFERROR(__xludf.DUMMYFUNCTION("""COMPUTED_VALUE"""),1.5958453928E7)</f>
        <v>15958453.93</v>
      </c>
      <c r="F313" s="11">
        <v>417117.17692307686</v>
      </c>
      <c r="G313" s="18">
        <f t="shared" si="1"/>
        <v>21</v>
      </c>
      <c r="H313" s="19">
        <f t="shared" si="2"/>
        <v>37.6028411</v>
      </c>
      <c r="I313" s="19">
        <f t="shared" si="3"/>
        <v>0.01899502456</v>
      </c>
    </row>
    <row r="314">
      <c r="A314" s="6">
        <f>IFERROR(__xludf.DUMMYFUNCTION("""COMPUTED_VALUE"""),43956.0)</f>
        <v>43956</v>
      </c>
      <c r="B314" s="7" t="str">
        <f>IFERROR(__xludf.DUMMYFUNCTION("""COMPUTED_VALUE"""),"Москва Запад")</f>
        <v>Москва Запад</v>
      </c>
      <c r="C314" s="7">
        <f>IFERROR(__xludf.DUMMYFUNCTION("""COMPUTED_VALUE"""),213582.0)</f>
        <v>213582</v>
      </c>
      <c r="D314" s="7">
        <f>IFERROR(__xludf.DUMMYFUNCTION("""COMPUTED_VALUE"""),2.19194355E7)</f>
        <v>21919435.5</v>
      </c>
      <c r="E314" s="7">
        <f>IFERROR(__xludf.DUMMYFUNCTION("""COMPUTED_VALUE"""),1.5790923194999998E7)</f>
        <v>15790923.2</v>
      </c>
      <c r="F314" s="8">
        <v>365011.0806153846</v>
      </c>
      <c r="G314" s="18">
        <f t="shared" si="1"/>
        <v>19</v>
      </c>
      <c r="H314" s="19">
        <f t="shared" si="2"/>
        <v>38.81034838</v>
      </c>
      <c r="I314" s="19">
        <f t="shared" si="3"/>
        <v>0.0166523942</v>
      </c>
    </row>
    <row r="315">
      <c r="A315" s="9">
        <f>IFERROR(__xludf.DUMMYFUNCTION("""COMPUTED_VALUE"""),43949.0)</f>
        <v>43949</v>
      </c>
      <c r="B315" s="10" t="str">
        <f>IFERROR(__xludf.DUMMYFUNCTION("""COMPUTED_VALUE"""),"Москва Восток")</f>
        <v>Москва Восток</v>
      </c>
      <c r="C315" s="10">
        <f>IFERROR(__xludf.DUMMYFUNCTION("""COMPUTED_VALUE"""),195705.0)</f>
        <v>195705</v>
      </c>
      <c r="D315" s="10">
        <f>IFERROR(__xludf.DUMMYFUNCTION("""COMPUTED_VALUE"""),2.00032635E7)</f>
        <v>20003263.5</v>
      </c>
      <c r="E315" s="10">
        <f>IFERROR(__xludf.DUMMYFUNCTION("""COMPUTED_VALUE"""),1.4633542982E7)</f>
        <v>14633542.98</v>
      </c>
      <c r="F315" s="11">
        <v>268185.43076923076</v>
      </c>
      <c r="G315" s="18">
        <f t="shared" si="1"/>
        <v>18</v>
      </c>
      <c r="H315" s="19">
        <f t="shared" si="2"/>
        <v>36.69460311</v>
      </c>
      <c r="I315" s="19">
        <f t="shared" si="3"/>
        <v>0.01340708384</v>
      </c>
    </row>
    <row r="316">
      <c r="A316" s="6">
        <f>IFERROR(__xludf.DUMMYFUNCTION("""COMPUTED_VALUE"""),43964.0)</f>
        <v>43964</v>
      </c>
      <c r="B316" s="7" t="str">
        <f>IFERROR(__xludf.DUMMYFUNCTION("""COMPUTED_VALUE"""),"Москва Запад")</f>
        <v>Москва Запад</v>
      </c>
      <c r="C316" s="7">
        <f>IFERROR(__xludf.DUMMYFUNCTION("""COMPUTED_VALUE"""),193722.0)</f>
        <v>193722</v>
      </c>
      <c r="D316" s="7">
        <f>IFERROR(__xludf.DUMMYFUNCTION("""COMPUTED_VALUE"""),1.9437273E7)</f>
        <v>19437273</v>
      </c>
      <c r="E316" s="7">
        <f>IFERROR(__xludf.DUMMYFUNCTION("""COMPUTED_VALUE"""),1.3979092230999999E7)</f>
        <v>13979092.23</v>
      </c>
      <c r="F316" s="8">
        <v>418713.96153846156</v>
      </c>
      <c r="G316" s="18">
        <f t="shared" si="1"/>
        <v>20</v>
      </c>
      <c r="H316" s="19">
        <f t="shared" si="2"/>
        <v>39.04531624</v>
      </c>
      <c r="I316" s="19">
        <f t="shared" si="3"/>
        <v>0.02154180587</v>
      </c>
    </row>
    <row r="317">
      <c r="A317" s="9">
        <f>IFERROR(__xludf.DUMMYFUNCTION("""COMPUTED_VALUE"""),43954.0)</f>
        <v>43954</v>
      </c>
      <c r="B317" s="10" t="str">
        <f>IFERROR(__xludf.DUMMYFUNCTION("""COMPUTED_VALUE"""),"Москва Запад")</f>
        <v>Москва Запад</v>
      </c>
      <c r="C317" s="10">
        <f>IFERROR(__xludf.DUMMYFUNCTION("""COMPUTED_VALUE"""),257215.5)</f>
        <v>257215.5</v>
      </c>
      <c r="D317" s="10">
        <f>IFERROR(__xludf.DUMMYFUNCTION("""COMPUTED_VALUE"""),2.64922785E7)</f>
        <v>26492278.5</v>
      </c>
      <c r="E317" s="10">
        <f>IFERROR(__xludf.DUMMYFUNCTION("""COMPUTED_VALUE"""),1.9179229932E7)</f>
        <v>19179229.93</v>
      </c>
      <c r="F317" s="11">
        <v>254778.07384615383</v>
      </c>
      <c r="G317" s="18">
        <f t="shared" si="1"/>
        <v>18</v>
      </c>
      <c r="H317" s="19">
        <f t="shared" si="2"/>
        <v>38.13004273</v>
      </c>
      <c r="I317" s="19">
        <f t="shared" si="3"/>
        <v>0.009617069134</v>
      </c>
    </row>
    <row r="318">
      <c r="A318" s="6">
        <f>IFERROR(__xludf.DUMMYFUNCTION("""COMPUTED_VALUE"""),43957.0)</f>
        <v>43957</v>
      </c>
      <c r="B318" s="7" t="str">
        <f>IFERROR(__xludf.DUMMYFUNCTION("""COMPUTED_VALUE"""),"Москва Запад")</f>
        <v>Москва Запад</v>
      </c>
      <c r="C318" s="7">
        <f>IFERROR(__xludf.DUMMYFUNCTION("""COMPUTED_VALUE"""),224779.5)</f>
        <v>224779.5</v>
      </c>
      <c r="D318" s="7">
        <f>IFERROR(__xludf.DUMMYFUNCTION("""COMPUTED_VALUE"""),2.3032992E7)</f>
        <v>23032992</v>
      </c>
      <c r="E318" s="7">
        <f>IFERROR(__xludf.DUMMYFUNCTION("""COMPUTED_VALUE"""),1.6792969817999996E7)</f>
        <v>16792969.82</v>
      </c>
      <c r="F318" s="8">
        <v>443086.2530307692</v>
      </c>
      <c r="G318" s="18">
        <f t="shared" si="1"/>
        <v>19</v>
      </c>
      <c r="H318" s="19">
        <f t="shared" si="2"/>
        <v>37.15853866</v>
      </c>
      <c r="I318" s="19">
        <f t="shared" si="3"/>
        <v>0.01923702544</v>
      </c>
    </row>
    <row r="319">
      <c r="A319" s="9">
        <f>IFERROR(__xludf.DUMMYFUNCTION("""COMPUTED_VALUE"""),43974.0)</f>
        <v>43974</v>
      </c>
      <c r="B319" s="10" t="str">
        <f>IFERROR(__xludf.DUMMYFUNCTION("""COMPUTED_VALUE"""),"Москва Запад")</f>
        <v>Москва Запад</v>
      </c>
      <c r="C319" s="10">
        <f>IFERROR(__xludf.DUMMYFUNCTION("""COMPUTED_VALUE"""),292018.5)</f>
        <v>292018.5</v>
      </c>
      <c r="D319" s="10">
        <f>IFERROR(__xludf.DUMMYFUNCTION("""COMPUTED_VALUE"""),2.85909105E7)</f>
        <v>28590910.5</v>
      </c>
      <c r="E319" s="10">
        <f>IFERROR(__xludf.DUMMYFUNCTION("""COMPUTED_VALUE"""),2.1740920338999998E7)</f>
        <v>21740920.34</v>
      </c>
      <c r="F319" s="11">
        <v>206427.73076923075</v>
      </c>
      <c r="G319" s="18">
        <f t="shared" si="1"/>
        <v>21</v>
      </c>
      <c r="H319" s="19">
        <f t="shared" si="2"/>
        <v>31.50736056</v>
      </c>
      <c r="I319" s="19">
        <f t="shared" si="3"/>
        <v>0.007220047461</v>
      </c>
    </row>
    <row r="320">
      <c r="A320" s="6">
        <f>IFERROR(__xludf.DUMMYFUNCTION("""COMPUTED_VALUE"""),43976.0)</f>
        <v>43976</v>
      </c>
      <c r="B320" s="7" t="str">
        <f>IFERROR(__xludf.DUMMYFUNCTION("""COMPUTED_VALUE"""),"Москва Запад")</f>
        <v>Москва Запад</v>
      </c>
      <c r="C320" s="7">
        <f>IFERROR(__xludf.DUMMYFUNCTION("""COMPUTED_VALUE"""),198751.5)</f>
        <v>198751.5</v>
      </c>
      <c r="D320" s="7">
        <f>IFERROR(__xludf.DUMMYFUNCTION("""COMPUTED_VALUE"""),2.05827435E7)</f>
        <v>20582743.5</v>
      </c>
      <c r="E320" s="7">
        <f>IFERROR(__xludf.DUMMYFUNCTION("""COMPUTED_VALUE"""),1.4894008652E7)</f>
        <v>14894008.65</v>
      </c>
      <c r="F320" s="8">
        <v>316452.6615384616</v>
      </c>
      <c r="G320" s="18">
        <f t="shared" si="1"/>
        <v>22</v>
      </c>
      <c r="H320" s="19">
        <f t="shared" si="2"/>
        <v>38.19478678</v>
      </c>
      <c r="I320" s="19">
        <f t="shared" si="3"/>
        <v>0.01537465895</v>
      </c>
    </row>
    <row r="321">
      <c r="A321" s="9">
        <f>IFERROR(__xludf.DUMMYFUNCTION("""COMPUTED_VALUE"""),43951.0)</f>
        <v>43951</v>
      </c>
      <c r="B321" s="10" t="str">
        <f>IFERROR(__xludf.DUMMYFUNCTION("""COMPUTED_VALUE"""),"Москва Запад")</f>
        <v>Москва Запад</v>
      </c>
      <c r="C321" s="10">
        <f>IFERROR(__xludf.DUMMYFUNCTION("""COMPUTED_VALUE"""),214386.0)</f>
        <v>214386</v>
      </c>
      <c r="D321" s="10">
        <f>IFERROR(__xludf.DUMMYFUNCTION("""COMPUTED_VALUE"""),2.253E7)</f>
        <v>22530000</v>
      </c>
      <c r="E321" s="10">
        <f>IFERROR(__xludf.DUMMYFUNCTION("""COMPUTED_VALUE"""),1.6370527077E7)</f>
        <v>16370527.08</v>
      </c>
      <c r="F321" s="11">
        <v>115618.05384615384</v>
      </c>
      <c r="G321" s="18">
        <f t="shared" si="1"/>
        <v>18</v>
      </c>
      <c r="H321" s="19">
        <f t="shared" si="2"/>
        <v>37.6253794</v>
      </c>
      <c r="I321" s="19">
        <f t="shared" si="3"/>
        <v>0.005131737854</v>
      </c>
    </row>
    <row r="322">
      <c r="A322" s="6">
        <f>IFERROR(__xludf.DUMMYFUNCTION("""COMPUTED_VALUE"""),43961.0)</f>
        <v>43961</v>
      </c>
      <c r="B322" s="7" t="str">
        <f>IFERROR(__xludf.DUMMYFUNCTION("""COMPUTED_VALUE"""),"Москва Запад")</f>
        <v>Москва Запад</v>
      </c>
      <c r="C322" s="7">
        <f>IFERROR(__xludf.DUMMYFUNCTION("""COMPUTED_VALUE"""),243825.0)</f>
        <v>243825</v>
      </c>
      <c r="D322" s="7">
        <f>IFERROR(__xludf.DUMMYFUNCTION("""COMPUTED_VALUE"""),2.48904045E7)</f>
        <v>24890404.5</v>
      </c>
      <c r="E322" s="7">
        <f>IFERROR(__xludf.DUMMYFUNCTION("""COMPUTED_VALUE"""),1.8159589108E7)</f>
        <v>18159589.11</v>
      </c>
      <c r="F322" s="8">
        <v>258558.49999999997</v>
      </c>
      <c r="G322" s="18">
        <f t="shared" si="1"/>
        <v>19</v>
      </c>
      <c r="H322" s="19">
        <f t="shared" si="2"/>
        <v>37.06480005</v>
      </c>
      <c r="I322" s="19">
        <f t="shared" si="3"/>
        <v>0.01038787859</v>
      </c>
    </row>
    <row r="323">
      <c r="A323" s="9">
        <f>IFERROR(__xludf.DUMMYFUNCTION("""COMPUTED_VALUE"""),43959.0)</f>
        <v>43959</v>
      </c>
      <c r="B323" s="10" t="str">
        <f>IFERROR(__xludf.DUMMYFUNCTION("""COMPUTED_VALUE"""),"Москва Запад")</f>
        <v>Москва Запад</v>
      </c>
      <c r="C323" s="10">
        <f>IFERROR(__xludf.DUMMYFUNCTION("""COMPUTED_VALUE"""),232701.0)</f>
        <v>232701</v>
      </c>
      <c r="D323" s="10">
        <f>IFERROR(__xludf.DUMMYFUNCTION("""COMPUTED_VALUE"""),2.38819485E7)</f>
        <v>23881948.5</v>
      </c>
      <c r="E323" s="10">
        <f>IFERROR(__xludf.DUMMYFUNCTION("""COMPUTED_VALUE"""),1.7462223404E7)</f>
        <v>17462223.4</v>
      </c>
      <c r="F323" s="11">
        <v>512464.9846153846</v>
      </c>
      <c r="G323" s="18">
        <f t="shared" si="1"/>
        <v>19</v>
      </c>
      <c r="H323" s="19">
        <f t="shared" si="2"/>
        <v>36.76350341</v>
      </c>
      <c r="I323" s="19">
        <f t="shared" si="3"/>
        <v>0.02145825683</v>
      </c>
    </row>
    <row r="324">
      <c r="A324" s="6">
        <f>IFERROR(__xludf.DUMMYFUNCTION("""COMPUTED_VALUE"""),43958.0)</f>
        <v>43958</v>
      </c>
      <c r="B324" s="7" t="str">
        <f>IFERROR(__xludf.DUMMYFUNCTION("""COMPUTED_VALUE"""),"Москва Запад")</f>
        <v>Москва Запад</v>
      </c>
      <c r="C324" s="7">
        <f>IFERROR(__xludf.DUMMYFUNCTION("""COMPUTED_VALUE"""),219411.0)</f>
        <v>219411</v>
      </c>
      <c r="D324" s="7">
        <f>IFERROR(__xludf.DUMMYFUNCTION("""COMPUTED_VALUE"""),2.246013E7)</f>
        <v>22460130</v>
      </c>
      <c r="E324" s="7">
        <f>IFERROR(__xludf.DUMMYFUNCTION("""COMPUTED_VALUE"""),1.6627687641E7)</f>
        <v>16627687.64</v>
      </c>
      <c r="F324" s="8">
        <v>518998.75384615385</v>
      </c>
      <c r="G324" s="18">
        <f t="shared" si="1"/>
        <v>19</v>
      </c>
      <c r="H324" s="19">
        <f t="shared" si="2"/>
        <v>35.07668946</v>
      </c>
      <c r="I324" s="19">
        <f t="shared" si="3"/>
        <v>0.02310755787</v>
      </c>
    </row>
    <row r="325">
      <c r="A325" s="9">
        <f>IFERROR(__xludf.DUMMYFUNCTION("""COMPUTED_VALUE"""),43975.0)</f>
        <v>43975</v>
      </c>
      <c r="B325" s="10" t="str">
        <f>IFERROR(__xludf.DUMMYFUNCTION("""COMPUTED_VALUE"""),"Москва Запад")</f>
        <v>Москва Запад</v>
      </c>
      <c r="C325" s="10">
        <f>IFERROR(__xludf.DUMMYFUNCTION("""COMPUTED_VALUE"""),200029.5)</f>
        <v>200029.5</v>
      </c>
      <c r="D325" s="10">
        <f>IFERROR(__xludf.DUMMYFUNCTION("""COMPUTED_VALUE"""),1.9959801E7)</f>
        <v>19959801</v>
      </c>
      <c r="E325" s="10">
        <f>IFERROR(__xludf.DUMMYFUNCTION("""COMPUTED_VALUE"""),1.5125624641999999E7)</f>
        <v>15125624.64</v>
      </c>
      <c r="F325" s="11">
        <v>318671.8546538461</v>
      </c>
      <c r="G325" s="18">
        <f t="shared" si="1"/>
        <v>21</v>
      </c>
      <c r="H325" s="19">
        <f t="shared" si="2"/>
        <v>31.96017667</v>
      </c>
      <c r="I325" s="19">
        <f t="shared" si="3"/>
        <v>0.01596568296</v>
      </c>
    </row>
    <row r="326">
      <c r="A326" s="6">
        <f>IFERROR(__xludf.DUMMYFUNCTION("""COMPUTED_VALUE"""),43967.0)</f>
        <v>43967</v>
      </c>
      <c r="B326" s="7" t="str">
        <f>IFERROR(__xludf.DUMMYFUNCTION("""COMPUTED_VALUE"""),"Москва Восток")</f>
        <v>Москва Восток</v>
      </c>
      <c r="C326" s="7">
        <f>IFERROR(__xludf.DUMMYFUNCTION("""COMPUTED_VALUE"""),225480.0)</f>
        <v>225480</v>
      </c>
      <c r="D326" s="7">
        <f>IFERROR(__xludf.DUMMYFUNCTION("""COMPUTED_VALUE"""),2.23553385E7)</f>
        <v>22355338.5</v>
      </c>
      <c r="E326" s="7">
        <f>IFERROR(__xludf.DUMMYFUNCTION("""COMPUTED_VALUE"""),1.6443448491999999E7)</f>
        <v>16443448.49</v>
      </c>
      <c r="F326" s="8">
        <v>291468.6</v>
      </c>
      <c r="G326" s="18">
        <f t="shared" si="1"/>
        <v>20</v>
      </c>
      <c r="H326" s="19">
        <f t="shared" si="2"/>
        <v>35.95285995</v>
      </c>
      <c r="I326" s="19">
        <f t="shared" si="3"/>
        <v>0.01303798643</v>
      </c>
    </row>
    <row r="327">
      <c r="A327" s="9">
        <f>IFERROR(__xludf.DUMMYFUNCTION("""COMPUTED_VALUE"""),43970.0)</f>
        <v>43970</v>
      </c>
      <c r="B327" s="10" t="str">
        <f>IFERROR(__xludf.DUMMYFUNCTION("""COMPUTED_VALUE"""),"Москва Восток")</f>
        <v>Москва Восток</v>
      </c>
      <c r="C327" s="10">
        <f>IFERROR(__xludf.DUMMYFUNCTION("""COMPUTED_VALUE"""),211453.5)</f>
        <v>211453.5</v>
      </c>
      <c r="D327" s="10">
        <f>IFERROR(__xludf.DUMMYFUNCTION("""COMPUTED_VALUE"""),2.05900725E7)</f>
        <v>20590072.5</v>
      </c>
      <c r="E327" s="10">
        <f>IFERROR(__xludf.DUMMYFUNCTION("""COMPUTED_VALUE"""),1.5078027685E7)</f>
        <v>15078027.69</v>
      </c>
      <c r="F327" s="11">
        <v>293452.2923769231</v>
      </c>
      <c r="G327" s="18">
        <f t="shared" si="1"/>
        <v>21</v>
      </c>
      <c r="H327" s="19">
        <f t="shared" si="2"/>
        <v>36.55680259</v>
      </c>
      <c r="I327" s="19">
        <f t="shared" si="3"/>
        <v>0.01425212526</v>
      </c>
    </row>
    <row r="328">
      <c r="A328" s="6">
        <f>IFERROR(__xludf.DUMMYFUNCTION("""COMPUTED_VALUE"""),43968.0)</f>
        <v>43968</v>
      </c>
      <c r="B328" s="7" t="str">
        <f>IFERROR(__xludf.DUMMYFUNCTION("""COMPUTED_VALUE"""),"Москва Восток")</f>
        <v>Москва Восток</v>
      </c>
      <c r="C328" s="7">
        <f>IFERROR(__xludf.DUMMYFUNCTION("""COMPUTED_VALUE"""),184801.5)</f>
        <v>184801.5</v>
      </c>
      <c r="D328" s="7">
        <f>IFERROR(__xludf.DUMMYFUNCTION("""COMPUTED_VALUE"""),1.8449091E7)</f>
        <v>18449091</v>
      </c>
      <c r="E328" s="7">
        <f>IFERROR(__xludf.DUMMYFUNCTION("""COMPUTED_VALUE"""),1.3533023127999999E7)</f>
        <v>13533023.13</v>
      </c>
      <c r="F328" s="8">
        <v>246229.69714615386</v>
      </c>
      <c r="G328" s="18">
        <f t="shared" si="1"/>
        <v>20</v>
      </c>
      <c r="H328" s="19">
        <f t="shared" si="2"/>
        <v>36.32645733</v>
      </c>
      <c r="I328" s="19">
        <f t="shared" si="3"/>
        <v>0.0133464406</v>
      </c>
    </row>
    <row r="329">
      <c r="A329" s="9">
        <f>IFERROR(__xludf.DUMMYFUNCTION("""COMPUTED_VALUE"""),43960.0)</f>
        <v>43960</v>
      </c>
      <c r="B329" s="10" t="str">
        <f>IFERROR(__xludf.DUMMYFUNCTION("""COMPUTED_VALUE"""),"Москва Восток")</f>
        <v>Москва Восток</v>
      </c>
      <c r="C329" s="10">
        <f>IFERROR(__xludf.DUMMYFUNCTION("""COMPUTED_VALUE"""),177976.5)</f>
        <v>177976.5</v>
      </c>
      <c r="D329" s="10">
        <f>IFERROR(__xludf.DUMMYFUNCTION("""COMPUTED_VALUE"""),1.80857985E7)</f>
        <v>18085798.5</v>
      </c>
      <c r="E329" s="10">
        <f>IFERROR(__xludf.DUMMYFUNCTION("""COMPUTED_VALUE"""),1.3150397668E7)</f>
        <v>13150397.67</v>
      </c>
      <c r="F329" s="11">
        <v>444057.733476923</v>
      </c>
      <c r="G329" s="18">
        <f t="shared" si="1"/>
        <v>19</v>
      </c>
      <c r="H329" s="19">
        <f t="shared" si="2"/>
        <v>37.53043031</v>
      </c>
      <c r="I329" s="19">
        <f t="shared" si="3"/>
        <v>0.02455284092</v>
      </c>
    </row>
    <row r="330">
      <c r="A330" s="6">
        <f>IFERROR(__xludf.DUMMYFUNCTION("""COMPUTED_VALUE"""),43955.0)</f>
        <v>43955</v>
      </c>
      <c r="B330" s="7" t="str">
        <f>IFERROR(__xludf.DUMMYFUNCTION("""COMPUTED_VALUE"""),"Москва Восток")</f>
        <v>Москва Восток</v>
      </c>
      <c r="C330" s="7">
        <f>IFERROR(__xludf.DUMMYFUNCTION("""COMPUTED_VALUE"""),223617.0)</f>
        <v>223617</v>
      </c>
      <c r="D330" s="7">
        <f>IFERROR(__xludf.DUMMYFUNCTION("""COMPUTED_VALUE"""),2.27968275E7)</f>
        <v>22796827.5</v>
      </c>
      <c r="E330" s="7">
        <f>IFERROR(__xludf.DUMMYFUNCTION("""COMPUTED_VALUE"""),1.6597666014999999E7)</f>
        <v>16597666.02</v>
      </c>
      <c r="F330" s="8">
        <v>404297.7461538461</v>
      </c>
      <c r="G330" s="18">
        <f t="shared" si="1"/>
        <v>19</v>
      </c>
      <c r="H330" s="19">
        <f t="shared" si="2"/>
        <v>37.3495977</v>
      </c>
      <c r="I330" s="19">
        <f t="shared" si="3"/>
        <v>0.017734825</v>
      </c>
    </row>
    <row r="331">
      <c r="A331" s="9">
        <f>IFERROR(__xludf.DUMMYFUNCTION("""COMPUTED_VALUE"""),43953.0)</f>
        <v>43953</v>
      </c>
      <c r="B331" s="10" t="str">
        <f>IFERROR(__xludf.DUMMYFUNCTION("""COMPUTED_VALUE"""),"Москва Восток")</f>
        <v>Москва Восток</v>
      </c>
      <c r="C331" s="10">
        <f>IFERROR(__xludf.DUMMYFUNCTION("""COMPUTED_VALUE"""),176397.0)</f>
        <v>176397</v>
      </c>
      <c r="D331" s="10">
        <f>IFERROR(__xludf.DUMMYFUNCTION("""COMPUTED_VALUE"""),1.86259215E7)</f>
        <v>18625921.5</v>
      </c>
      <c r="E331" s="10">
        <f>IFERROR(__xludf.DUMMYFUNCTION("""COMPUTED_VALUE"""),1.3628439163999999E7)</f>
        <v>13628439.16</v>
      </c>
      <c r="F331" s="11">
        <v>370802.93846153846</v>
      </c>
      <c r="G331" s="18">
        <f t="shared" si="1"/>
        <v>18</v>
      </c>
      <c r="H331" s="19">
        <f t="shared" si="2"/>
        <v>36.66951348</v>
      </c>
      <c r="I331" s="19">
        <f t="shared" si="3"/>
        <v>0.01990789763</v>
      </c>
    </row>
    <row r="332">
      <c r="A332" s="6">
        <f>IFERROR(__xludf.DUMMYFUNCTION("""COMPUTED_VALUE"""),43977.0)</f>
        <v>43977</v>
      </c>
      <c r="B332" s="7" t="str">
        <f>IFERROR(__xludf.DUMMYFUNCTION("""COMPUTED_VALUE"""),"Москва Восток")</f>
        <v>Москва Восток</v>
      </c>
      <c r="C332" s="7">
        <f>IFERROR(__xludf.DUMMYFUNCTION("""COMPUTED_VALUE"""),232369.5)</f>
        <v>232369.5</v>
      </c>
      <c r="D332" s="7">
        <f>IFERROR(__xludf.DUMMYFUNCTION("""COMPUTED_VALUE"""),2.3856345E7)</f>
        <v>23856345</v>
      </c>
      <c r="E332" s="7">
        <f>IFERROR(__xludf.DUMMYFUNCTION("""COMPUTED_VALUE"""),1.7297352185000002E7)</f>
        <v>17297352.19</v>
      </c>
      <c r="F332" s="8">
        <v>279472.1615384615</v>
      </c>
      <c r="G332" s="18">
        <f t="shared" si="1"/>
        <v>22</v>
      </c>
      <c r="H332" s="19">
        <f t="shared" si="2"/>
        <v>37.91905689</v>
      </c>
      <c r="I332" s="19">
        <f t="shared" si="3"/>
        <v>0.01171479376</v>
      </c>
    </row>
    <row r="333">
      <c r="A333" s="9">
        <f>IFERROR(__xludf.DUMMYFUNCTION("""COMPUTED_VALUE"""),43952.0)</f>
        <v>43952</v>
      </c>
      <c r="B333" s="10" t="str">
        <f>IFERROR(__xludf.DUMMYFUNCTION("""COMPUTED_VALUE"""),"Москва Восток")</f>
        <v>Москва Восток</v>
      </c>
      <c r="C333" s="10">
        <f>IFERROR(__xludf.DUMMYFUNCTION("""COMPUTED_VALUE"""),226540.5)</f>
        <v>226540.5</v>
      </c>
      <c r="D333" s="10">
        <f>IFERROR(__xludf.DUMMYFUNCTION("""COMPUTED_VALUE"""),2.3953536E7)</f>
        <v>23953536</v>
      </c>
      <c r="E333" s="10">
        <f>IFERROR(__xludf.DUMMYFUNCTION("""COMPUTED_VALUE"""),1.7342946797E7)</f>
        <v>17342946.8</v>
      </c>
      <c r="F333" s="11">
        <v>380499.56092307693</v>
      </c>
      <c r="G333" s="18">
        <f t="shared" si="1"/>
        <v>18</v>
      </c>
      <c r="H333" s="19">
        <f t="shared" si="2"/>
        <v>38.11687414</v>
      </c>
      <c r="I333" s="19">
        <f t="shared" si="3"/>
        <v>0.01588490154</v>
      </c>
    </row>
    <row r="334">
      <c r="A334" s="6">
        <f>IFERROR(__xludf.DUMMYFUNCTION("""COMPUTED_VALUE"""),43963.0)</f>
        <v>43963</v>
      </c>
      <c r="B334" s="7" t="str">
        <f>IFERROR(__xludf.DUMMYFUNCTION("""COMPUTED_VALUE"""),"Москва Восток")</f>
        <v>Москва Восток</v>
      </c>
      <c r="C334" s="7">
        <f>IFERROR(__xludf.DUMMYFUNCTION("""COMPUTED_VALUE"""),189679.5)</f>
        <v>189679.5</v>
      </c>
      <c r="D334" s="7">
        <f>IFERROR(__xludf.DUMMYFUNCTION("""COMPUTED_VALUE"""),1.87180365E7)</f>
        <v>18718036.5</v>
      </c>
      <c r="E334" s="7">
        <f>IFERROR(__xludf.DUMMYFUNCTION("""COMPUTED_VALUE"""),1.3500671991999999E7)</f>
        <v>13500671.99</v>
      </c>
      <c r="F334" s="8">
        <v>344959.87384615385</v>
      </c>
      <c r="G334" s="18">
        <f t="shared" si="1"/>
        <v>20</v>
      </c>
      <c r="H334" s="19">
        <f t="shared" si="2"/>
        <v>38.64522085</v>
      </c>
      <c r="I334" s="19">
        <f t="shared" si="3"/>
        <v>0.0184292767</v>
      </c>
    </row>
    <row r="335">
      <c r="A335" s="9">
        <f>IFERROR(__xludf.DUMMYFUNCTION("""COMPUTED_VALUE"""),43972.0)</f>
        <v>43972</v>
      </c>
      <c r="B335" s="10" t="str">
        <f>IFERROR(__xludf.DUMMYFUNCTION("""COMPUTED_VALUE"""),"Москва Восток")</f>
        <v>Москва Восток</v>
      </c>
      <c r="C335" s="10">
        <f>IFERROR(__xludf.DUMMYFUNCTION("""COMPUTED_VALUE"""),213640.5)</f>
        <v>213640.5</v>
      </c>
      <c r="D335" s="10">
        <f>IFERROR(__xludf.DUMMYFUNCTION("""COMPUTED_VALUE"""),2.10426735E7)</f>
        <v>21042673.5</v>
      </c>
      <c r="E335" s="10">
        <f>IFERROR(__xludf.DUMMYFUNCTION("""COMPUTED_VALUE"""),1.5681371557000002E7)</f>
        <v>15681371.56</v>
      </c>
      <c r="F335" s="11">
        <v>296732.5961538461</v>
      </c>
      <c r="G335" s="18">
        <f t="shared" si="1"/>
        <v>21</v>
      </c>
      <c r="H335" s="19">
        <f t="shared" si="2"/>
        <v>34.18898611</v>
      </c>
      <c r="I335" s="19">
        <f t="shared" si="3"/>
        <v>0.01410146844</v>
      </c>
    </row>
    <row r="336">
      <c r="A336" s="6">
        <f>IFERROR(__xludf.DUMMYFUNCTION("""COMPUTED_VALUE"""),43971.0)</f>
        <v>43971</v>
      </c>
      <c r="B336" s="7" t="str">
        <f>IFERROR(__xludf.DUMMYFUNCTION("""COMPUTED_VALUE"""),"Москва Восток")</f>
        <v>Москва Восток</v>
      </c>
      <c r="C336" s="7">
        <f>IFERROR(__xludf.DUMMYFUNCTION("""COMPUTED_VALUE"""),214885.5)</f>
        <v>214885.5</v>
      </c>
      <c r="D336" s="7">
        <f>IFERROR(__xludf.DUMMYFUNCTION("""COMPUTED_VALUE"""),2.14113495E7)</f>
        <v>21411349.5</v>
      </c>
      <c r="E336" s="7">
        <f>IFERROR(__xludf.DUMMYFUNCTION("""COMPUTED_VALUE"""),1.5600701422999999E7)</f>
        <v>15600701.42</v>
      </c>
      <c r="F336" s="8">
        <v>410370.5153846154</v>
      </c>
      <c r="G336" s="18">
        <f t="shared" si="1"/>
        <v>21</v>
      </c>
      <c r="H336" s="19">
        <f t="shared" si="2"/>
        <v>37.24606939</v>
      </c>
      <c r="I336" s="19">
        <f t="shared" si="3"/>
        <v>0.0191660276</v>
      </c>
    </row>
    <row r="337">
      <c r="A337" s="9">
        <f>IFERROR(__xludf.DUMMYFUNCTION("""COMPUTED_VALUE"""),43956.0)</f>
        <v>43956</v>
      </c>
      <c r="B337" s="10" t="str">
        <f>IFERROR(__xludf.DUMMYFUNCTION("""COMPUTED_VALUE"""),"Москва Восток")</f>
        <v>Москва Восток</v>
      </c>
      <c r="C337" s="10">
        <f>IFERROR(__xludf.DUMMYFUNCTION("""COMPUTED_VALUE"""),203832.0)</f>
        <v>203832</v>
      </c>
      <c r="D337" s="10">
        <f>IFERROR(__xludf.DUMMYFUNCTION("""COMPUTED_VALUE"""),2.08801425E7)</f>
        <v>20880142.5</v>
      </c>
      <c r="E337" s="10">
        <f>IFERROR(__xludf.DUMMYFUNCTION("""COMPUTED_VALUE"""),1.5015521489999998E7)</f>
        <v>15015521.49</v>
      </c>
      <c r="F337" s="11">
        <v>398269.43076923076</v>
      </c>
      <c r="G337" s="18">
        <f t="shared" si="1"/>
        <v>19</v>
      </c>
      <c r="H337" s="19">
        <f t="shared" si="2"/>
        <v>39.05705848</v>
      </c>
      <c r="I337" s="19">
        <f t="shared" si="3"/>
        <v>0.01907407628</v>
      </c>
    </row>
    <row r="338">
      <c r="A338" s="6">
        <f>IFERROR(__xludf.DUMMYFUNCTION("""COMPUTED_VALUE"""),43964.0)</f>
        <v>43964</v>
      </c>
      <c r="B338" s="7" t="str">
        <f>IFERROR(__xludf.DUMMYFUNCTION("""COMPUTED_VALUE"""),"Москва Восток")</f>
        <v>Москва Восток</v>
      </c>
      <c r="C338" s="7">
        <f>IFERROR(__xludf.DUMMYFUNCTION("""COMPUTED_VALUE"""),188662.5)</f>
        <v>188662.5</v>
      </c>
      <c r="D338" s="7">
        <f>IFERROR(__xludf.DUMMYFUNCTION("""COMPUTED_VALUE"""),1.87840005E7)</f>
        <v>18784000.5</v>
      </c>
      <c r="E338" s="7">
        <f>IFERROR(__xludf.DUMMYFUNCTION("""COMPUTED_VALUE"""),1.3568684673999999E7)</f>
        <v>13568684.67</v>
      </c>
      <c r="F338" s="8">
        <v>349844.3615384615</v>
      </c>
      <c r="G338" s="18">
        <f t="shared" si="1"/>
        <v>20</v>
      </c>
      <c r="H338" s="19">
        <f t="shared" si="2"/>
        <v>38.43641408</v>
      </c>
      <c r="I338" s="19">
        <f t="shared" si="3"/>
        <v>0.01862459286</v>
      </c>
    </row>
    <row r="339">
      <c r="A339" s="9">
        <f>IFERROR(__xludf.DUMMYFUNCTION("""COMPUTED_VALUE"""),43982.0)</f>
        <v>43982</v>
      </c>
      <c r="B339" s="10" t="str">
        <f>IFERROR(__xludf.DUMMYFUNCTION("""COMPUTED_VALUE"""),"Москва Запад")</f>
        <v>Москва Запад</v>
      </c>
      <c r="C339" s="10">
        <f>IFERROR(__xludf.DUMMYFUNCTION("""COMPUTED_VALUE"""),215277.0)</f>
        <v>215277</v>
      </c>
      <c r="D339" s="10">
        <f>IFERROR(__xludf.DUMMYFUNCTION("""COMPUTED_VALUE"""),2.15853165E7)</f>
        <v>21585316.5</v>
      </c>
      <c r="E339" s="10">
        <f>IFERROR(__xludf.DUMMYFUNCTION("""COMPUTED_VALUE"""),1.6285354714E7)</f>
        <v>16285354.71</v>
      </c>
      <c r="F339" s="11">
        <v>183249.26153846155</v>
      </c>
      <c r="G339" s="18">
        <f t="shared" si="1"/>
        <v>22</v>
      </c>
      <c r="H339" s="19">
        <f t="shared" si="2"/>
        <v>32.54434355</v>
      </c>
      <c r="I339" s="19">
        <f t="shared" si="3"/>
        <v>0.008489533222</v>
      </c>
    </row>
    <row r="340">
      <c r="A340" s="6">
        <f>IFERROR(__xludf.DUMMYFUNCTION("""COMPUTED_VALUE"""),43954.0)</f>
        <v>43954</v>
      </c>
      <c r="B340" s="7" t="str">
        <f>IFERROR(__xludf.DUMMYFUNCTION("""COMPUTED_VALUE"""),"Москва Восток")</f>
        <v>Москва Восток</v>
      </c>
      <c r="C340" s="7">
        <f>IFERROR(__xludf.DUMMYFUNCTION("""COMPUTED_VALUE"""),248148.0)</f>
        <v>248148</v>
      </c>
      <c r="D340" s="7">
        <f>IFERROR(__xludf.DUMMYFUNCTION("""COMPUTED_VALUE"""),2.55190725E7)</f>
        <v>25519072.5</v>
      </c>
      <c r="E340" s="7">
        <f>IFERROR(__xludf.DUMMYFUNCTION("""COMPUTED_VALUE"""),1.8491870615E7)</f>
        <v>18491870.62</v>
      </c>
      <c r="F340" s="8">
        <v>270910.05384615384</v>
      </c>
      <c r="G340" s="18">
        <f t="shared" si="1"/>
        <v>18</v>
      </c>
      <c r="H340" s="19">
        <f t="shared" si="2"/>
        <v>38.00157394</v>
      </c>
      <c r="I340" s="19">
        <f t="shared" si="3"/>
        <v>0.01061598355</v>
      </c>
    </row>
    <row r="341">
      <c r="A341" s="9">
        <f>IFERROR(__xludf.DUMMYFUNCTION("""COMPUTED_VALUE"""),43981.0)</f>
        <v>43981</v>
      </c>
      <c r="B341" s="10" t="str">
        <f>IFERROR(__xludf.DUMMYFUNCTION("""COMPUTED_VALUE"""),"Москва Запад")</f>
        <v>Москва Запад</v>
      </c>
      <c r="C341" s="10">
        <f>IFERROR(__xludf.DUMMYFUNCTION("""COMPUTED_VALUE"""),246414.0)</f>
        <v>246414</v>
      </c>
      <c r="D341" s="10">
        <f>IFERROR(__xludf.DUMMYFUNCTION("""COMPUTED_VALUE"""),2.45272455E7)</f>
        <v>24527245.5</v>
      </c>
      <c r="E341" s="10">
        <f>IFERROR(__xludf.DUMMYFUNCTION("""COMPUTED_VALUE"""),1.8595804535E7)</f>
        <v>18595804.54</v>
      </c>
      <c r="F341" s="11">
        <v>282204.5230769231</v>
      </c>
      <c r="G341" s="18">
        <f t="shared" si="1"/>
        <v>22</v>
      </c>
      <c r="H341" s="19">
        <f t="shared" si="2"/>
        <v>31.89666225</v>
      </c>
      <c r="I341" s="19">
        <f t="shared" si="3"/>
        <v>0.01150575686</v>
      </c>
    </row>
    <row r="342">
      <c r="A342" s="6">
        <f>IFERROR(__xludf.DUMMYFUNCTION("""COMPUTED_VALUE"""),43957.0)</f>
        <v>43957</v>
      </c>
      <c r="B342" s="7" t="str">
        <f>IFERROR(__xludf.DUMMYFUNCTION("""COMPUTED_VALUE"""),"Москва Восток")</f>
        <v>Москва Восток</v>
      </c>
      <c r="C342" s="7">
        <f>IFERROR(__xludf.DUMMYFUNCTION("""COMPUTED_VALUE"""),216498.0)</f>
        <v>216498</v>
      </c>
      <c r="D342" s="7">
        <f>IFERROR(__xludf.DUMMYFUNCTION("""COMPUTED_VALUE"""),2.21264445E7)</f>
        <v>22126444.5</v>
      </c>
      <c r="E342" s="7">
        <f>IFERROR(__xludf.DUMMYFUNCTION("""COMPUTED_VALUE"""),1.6128268832E7)</f>
        <v>16128268.83</v>
      </c>
      <c r="F342" s="8">
        <v>389877.53846153844</v>
      </c>
      <c r="G342" s="18">
        <f t="shared" si="1"/>
        <v>19</v>
      </c>
      <c r="H342" s="19">
        <f t="shared" si="2"/>
        <v>37.19044946</v>
      </c>
      <c r="I342" s="19">
        <f t="shared" si="3"/>
        <v>0.01762043325</v>
      </c>
    </row>
    <row r="343">
      <c r="A343" s="9">
        <f>IFERROR(__xludf.DUMMYFUNCTION("""COMPUTED_VALUE"""),43974.0)</f>
        <v>43974</v>
      </c>
      <c r="B343" s="10" t="str">
        <f>IFERROR(__xludf.DUMMYFUNCTION("""COMPUTED_VALUE"""),"Москва Восток")</f>
        <v>Москва Восток</v>
      </c>
      <c r="C343" s="10">
        <f>IFERROR(__xludf.DUMMYFUNCTION("""COMPUTED_VALUE"""),275793.0)</f>
        <v>275793</v>
      </c>
      <c r="D343" s="10">
        <f>IFERROR(__xludf.DUMMYFUNCTION("""COMPUTED_VALUE"""),2.6806626E7)</f>
        <v>26806626</v>
      </c>
      <c r="E343" s="10">
        <f>IFERROR(__xludf.DUMMYFUNCTION("""COMPUTED_VALUE"""),2.0508194544999998E7)</f>
        <v>20508194.55</v>
      </c>
      <c r="F343" s="11">
        <v>239346.81538461536</v>
      </c>
      <c r="G343" s="18">
        <f t="shared" si="1"/>
        <v>21</v>
      </c>
      <c r="H343" s="19">
        <f t="shared" si="2"/>
        <v>30.71177934</v>
      </c>
      <c r="I343" s="19">
        <f t="shared" si="3"/>
        <v>0.008928643813</v>
      </c>
    </row>
    <row r="344">
      <c r="A344" s="6">
        <f>IFERROR(__xludf.DUMMYFUNCTION("""COMPUTED_VALUE"""),43979.0)</f>
        <v>43979</v>
      </c>
      <c r="B344" s="7" t="str">
        <f>IFERROR(__xludf.DUMMYFUNCTION("""COMPUTED_VALUE"""),"Москва Запад")</f>
        <v>Москва Запад</v>
      </c>
      <c r="C344" s="7">
        <f>IFERROR(__xludf.DUMMYFUNCTION("""COMPUTED_VALUE"""),199753.5)</f>
        <v>199753.5</v>
      </c>
      <c r="D344" s="7">
        <f>IFERROR(__xludf.DUMMYFUNCTION("""COMPUTED_VALUE"""),2.05357335E7)</f>
        <v>20535733.5</v>
      </c>
      <c r="E344" s="7">
        <f>IFERROR(__xludf.DUMMYFUNCTION("""COMPUTED_VALUE"""),1.5173462744E7)</f>
        <v>15173462.74</v>
      </c>
      <c r="F344" s="8">
        <v>257491.36923076925</v>
      </c>
      <c r="G344" s="18">
        <f t="shared" si="1"/>
        <v>22</v>
      </c>
      <c r="H344" s="19">
        <f t="shared" si="2"/>
        <v>35.33979584</v>
      </c>
      <c r="I344" s="19">
        <f t="shared" si="3"/>
        <v>0.01253869842</v>
      </c>
    </row>
    <row r="345">
      <c r="A345" s="9">
        <f>IFERROR(__xludf.DUMMYFUNCTION("""COMPUTED_VALUE"""),43976.0)</f>
        <v>43976</v>
      </c>
      <c r="B345" s="10" t="str">
        <f>IFERROR(__xludf.DUMMYFUNCTION("""COMPUTED_VALUE"""),"Москва Восток")</f>
        <v>Москва Восток</v>
      </c>
      <c r="C345" s="10">
        <f>IFERROR(__xludf.DUMMYFUNCTION("""COMPUTED_VALUE"""),192948.0)</f>
        <v>192948</v>
      </c>
      <c r="D345" s="10">
        <f>IFERROR(__xludf.DUMMYFUNCTION("""COMPUTED_VALUE"""),1.9806927E7)</f>
        <v>19806927</v>
      </c>
      <c r="E345" s="10">
        <f>IFERROR(__xludf.DUMMYFUNCTION("""COMPUTED_VALUE"""),1.4358653389999999E7)</f>
        <v>14358653.39</v>
      </c>
      <c r="F345" s="11">
        <v>319377.7946153846</v>
      </c>
      <c r="G345" s="18">
        <f t="shared" si="1"/>
        <v>22</v>
      </c>
      <c r="H345" s="19">
        <f t="shared" si="2"/>
        <v>37.94418224</v>
      </c>
      <c r="I345" s="19">
        <f t="shared" si="3"/>
        <v>0.0161245505</v>
      </c>
    </row>
    <row r="346">
      <c r="A346" s="6">
        <f>IFERROR(__xludf.DUMMYFUNCTION("""COMPUTED_VALUE"""),43951.0)</f>
        <v>43951</v>
      </c>
      <c r="B346" s="7" t="str">
        <f>IFERROR(__xludf.DUMMYFUNCTION("""COMPUTED_VALUE"""),"Москва Восток")</f>
        <v>Москва Восток</v>
      </c>
      <c r="C346" s="7">
        <f>IFERROR(__xludf.DUMMYFUNCTION("""COMPUTED_VALUE"""),206038.5)</f>
        <v>206038.5</v>
      </c>
      <c r="D346" s="7">
        <f>IFERROR(__xludf.DUMMYFUNCTION("""COMPUTED_VALUE"""),2.174046E7)</f>
        <v>21740460</v>
      </c>
      <c r="E346" s="7">
        <f>IFERROR(__xludf.DUMMYFUNCTION("""COMPUTED_VALUE"""),1.5789926042999998E7)</f>
        <v>15789926.04</v>
      </c>
      <c r="F346" s="8">
        <v>115102.03846153845</v>
      </c>
      <c r="G346" s="18">
        <f t="shared" si="1"/>
        <v>18</v>
      </c>
      <c r="H346" s="19">
        <f t="shared" si="2"/>
        <v>37.68563539</v>
      </c>
      <c r="I346" s="19">
        <f t="shared" si="3"/>
        <v>0.005294369966</v>
      </c>
    </row>
    <row r="347">
      <c r="A347" s="9">
        <f>IFERROR(__xludf.DUMMYFUNCTION("""COMPUTED_VALUE"""),43961.0)</f>
        <v>43961</v>
      </c>
      <c r="B347" s="10" t="str">
        <f>IFERROR(__xludf.DUMMYFUNCTION("""COMPUTED_VALUE"""),"Москва Восток")</f>
        <v>Москва Восток</v>
      </c>
      <c r="C347" s="10">
        <f>IFERROR(__xludf.DUMMYFUNCTION("""COMPUTED_VALUE"""),231559.5)</f>
        <v>231559.5</v>
      </c>
      <c r="D347" s="10">
        <f>IFERROR(__xludf.DUMMYFUNCTION("""COMPUTED_VALUE"""),2.3443725E7)</f>
        <v>23443725</v>
      </c>
      <c r="E347" s="10">
        <f>IFERROR(__xludf.DUMMYFUNCTION("""COMPUTED_VALUE"""),1.7121204866E7)</f>
        <v>17121204.87</v>
      </c>
      <c r="F347" s="11">
        <v>269535.7253846154</v>
      </c>
      <c r="G347" s="18">
        <f t="shared" si="1"/>
        <v>19</v>
      </c>
      <c r="H347" s="19">
        <f t="shared" si="2"/>
        <v>36.92800935</v>
      </c>
      <c r="I347" s="19">
        <f t="shared" si="3"/>
        <v>0.01149713731</v>
      </c>
    </row>
    <row r="348">
      <c r="A348" s="6">
        <f>IFERROR(__xludf.DUMMYFUNCTION("""COMPUTED_VALUE"""),43959.0)</f>
        <v>43959</v>
      </c>
      <c r="B348" s="7" t="str">
        <f>IFERROR(__xludf.DUMMYFUNCTION("""COMPUTED_VALUE"""),"Москва Восток")</f>
        <v>Москва Восток</v>
      </c>
      <c r="C348" s="7">
        <f>IFERROR(__xludf.DUMMYFUNCTION("""COMPUTED_VALUE"""),225076.5)</f>
        <v>225076.5</v>
      </c>
      <c r="D348" s="7">
        <f>IFERROR(__xludf.DUMMYFUNCTION("""COMPUTED_VALUE"""),2.28460785E7)</f>
        <v>22846078.5</v>
      </c>
      <c r="E348" s="7">
        <f>IFERROR(__xludf.DUMMYFUNCTION("""COMPUTED_VALUE"""),1.6722171227E7)</f>
        <v>16722171.23</v>
      </c>
      <c r="F348" s="8">
        <v>479024.68461538455</v>
      </c>
      <c r="G348" s="18">
        <f t="shared" si="1"/>
        <v>19</v>
      </c>
      <c r="H348" s="19">
        <f t="shared" si="2"/>
        <v>36.62148408</v>
      </c>
      <c r="I348" s="19">
        <f t="shared" si="3"/>
        <v>0.02096747959</v>
      </c>
    </row>
    <row r="349">
      <c r="A349" s="9">
        <f>IFERROR(__xludf.DUMMYFUNCTION("""COMPUTED_VALUE"""),43958.0)</f>
        <v>43958</v>
      </c>
      <c r="B349" s="10" t="str">
        <f>IFERROR(__xludf.DUMMYFUNCTION("""COMPUTED_VALUE"""),"Москва Восток")</f>
        <v>Москва Восток</v>
      </c>
      <c r="C349" s="10">
        <f>IFERROR(__xludf.DUMMYFUNCTION("""COMPUTED_VALUE"""),209415.0)</f>
        <v>209415</v>
      </c>
      <c r="D349" s="10">
        <f>IFERROR(__xludf.DUMMYFUNCTION("""COMPUTED_VALUE"""),2.1463023E7)</f>
        <v>21463023</v>
      </c>
      <c r="E349" s="10">
        <f>IFERROR(__xludf.DUMMYFUNCTION("""COMPUTED_VALUE"""),1.5847839739E7)</f>
        <v>15847839.74</v>
      </c>
      <c r="F349" s="11">
        <v>521163.8769230769</v>
      </c>
      <c r="G349" s="18">
        <f t="shared" si="1"/>
        <v>19</v>
      </c>
      <c r="H349" s="19">
        <f t="shared" si="2"/>
        <v>35.43185288</v>
      </c>
      <c r="I349" s="19">
        <f t="shared" si="3"/>
        <v>0.02428194187</v>
      </c>
    </row>
    <row r="350">
      <c r="A350" s="6">
        <f>IFERROR(__xludf.DUMMYFUNCTION("""COMPUTED_VALUE"""),43975.0)</f>
        <v>43975</v>
      </c>
      <c r="B350" s="7" t="str">
        <f>IFERROR(__xludf.DUMMYFUNCTION("""COMPUTED_VALUE"""),"Москва Восток")</f>
        <v>Москва Восток</v>
      </c>
      <c r="C350" s="7">
        <f>IFERROR(__xludf.DUMMYFUNCTION("""COMPUTED_VALUE"""),193719.0)</f>
        <v>193719</v>
      </c>
      <c r="D350" s="7">
        <f>IFERROR(__xludf.DUMMYFUNCTION("""COMPUTED_VALUE"""),1.9071117E7)</f>
        <v>19071117</v>
      </c>
      <c r="E350" s="7">
        <f>IFERROR(__xludf.DUMMYFUNCTION("""COMPUTED_VALUE"""),1.4541424877999999E7)</f>
        <v>14541424.88</v>
      </c>
      <c r="F350" s="8">
        <v>304806.9854230769</v>
      </c>
      <c r="G350" s="18">
        <f t="shared" si="1"/>
        <v>21</v>
      </c>
      <c r="H350" s="19">
        <f t="shared" si="2"/>
        <v>31.1502632</v>
      </c>
      <c r="I350" s="19">
        <f t="shared" si="3"/>
        <v>0.01598264986</v>
      </c>
    </row>
    <row r="351">
      <c r="A351" s="9">
        <f>IFERROR(__xludf.DUMMYFUNCTION("""COMPUTED_VALUE"""),43950.0)</f>
        <v>43950</v>
      </c>
      <c r="B351" s="10" t="str">
        <f>IFERROR(__xludf.DUMMYFUNCTION("""COMPUTED_VALUE"""),"Новосибирск")</f>
        <v>Новосибирск</v>
      </c>
      <c r="C351" s="10">
        <f>IFERROR(__xludf.DUMMYFUNCTION("""COMPUTED_VALUE"""),12250.5)</f>
        <v>12250.5</v>
      </c>
      <c r="D351" s="10">
        <f>IFERROR(__xludf.DUMMYFUNCTION("""COMPUTED_VALUE"""),981519.0)</f>
        <v>981519</v>
      </c>
      <c r="E351" s="10">
        <f>IFERROR(__xludf.DUMMYFUNCTION("""COMPUTED_VALUE"""),867080.682)</f>
        <v>867080.682</v>
      </c>
      <c r="F351" s="11">
        <v>102160.21538461538</v>
      </c>
      <c r="G351" s="18">
        <f t="shared" si="1"/>
        <v>18</v>
      </c>
      <c r="H351" s="19">
        <f t="shared" si="2"/>
        <v>13.19811644</v>
      </c>
      <c r="I351" s="19">
        <f t="shared" si="3"/>
        <v>0.1040837879</v>
      </c>
    </row>
    <row r="352">
      <c r="A352" s="6">
        <f>IFERROR(__xludf.DUMMYFUNCTION("""COMPUTED_VALUE"""),43949.0)</f>
        <v>43949</v>
      </c>
      <c r="B352" s="7" t="str">
        <f>IFERROR(__xludf.DUMMYFUNCTION("""COMPUTED_VALUE"""),"Новосибирск")</f>
        <v>Новосибирск</v>
      </c>
      <c r="C352" s="7">
        <f>IFERROR(__xludf.DUMMYFUNCTION("""COMPUTED_VALUE"""),12541.5)</f>
        <v>12541.5</v>
      </c>
      <c r="D352" s="7">
        <f>IFERROR(__xludf.DUMMYFUNCTION("""COMPUTED_VALUE"""),992541.0)</f>
        <v>992541</v>
      </c>
      <c r="E352" s="7">
        <f>IFERROR(__xludf.DUMMYFUNCTION("""COMPUTED_VALUE"""),874678.696)</f>
        <v>874678.696</v>
      </c>
      <c r="F352" s="8">
        <v>83886.67692307691</v>
      </c>
      <c r="G352" s="18">
        <f t="shared" si="1"/>
        <v>18</v>
      </c>
      <c r="H352" s="19">
        <f t="shared" si="2"/>
        <v>13.47492565</v>
      </c>
      <c r="I352" s="19">
        <f t="shared" si="3"/>
        <v>0.0845170899</v>
      </c>
    </row>
    <row r="353">
      <c r="A353" s="9">
        <f>IFERROR(__xludf.DUMMYFUNCTION("""COMPUTED_VALUE"""),43982.0)</f>
        <v>43982</v>
      </c>
      <c r="B353" s="10" t="str">
        <f>IFERROR(__xludf.DUMMYFUNCTION("""COMPUTED_VALUE"""),"Москва Восток")</f>
        <v>Москва Восток</v>
      </c>
      <c r="C353" s="10">
        <f>IFERROR(__xludf.DUMMYFUNCTION("""COMPUTED_VALUE"""),206758.5)</f>
        <v>206758.5</v>
      </c>
      <c r="D353" s="10">
        <f>IFERROR(__xludf.DUMMYFUNCTION("""COMPUTED_VALUE"""),2.07172485E7)</f>
        <v>20717248.5</v>
      </c>
      <c r="E353" s="10">
        <f>IFERROR(__xludf.DUMMYFUNCTION("""COMPUTED_VALUE"""),1.5667372685999999E7)</f>
        <v>15667372.69</v>
      </c>
      <c r="F353" s="11">
        <v>180007.08753846152</v>
      </c>
      <c r="G353" s="18">
        <f t="shared" si="1"/>
        <v>22</v>
      </c>
      <c r="H353" s="19">
        <f t="shared" si="2"/>
        <v>32.23179735</v>
      </c>
      <c r="I353" s="19">
        <f t="shared" si="3"/>
        <v>0.008688754568</v>
      </c>
    </row>
    <row r="354">
      <c r="A354" s="6">
        <f>IFERROR(__xludf.DUMMYFUNCTION("""COMPUTED_VALUE"""),43981.0)</f>
        <v>43981</v>
      </c>
      <c r="B354" s="7" t="str">
        <f>IFERROR(__xludf.DUMMYFUNCTION("""COMPUTED_VALUE"""),"Москва Восток")</f>
        <v>Москва Восток</v>
      </c>
      <c r="C354" s="7">
        <f>IFERROR(__xludf.DUMMYFUNCTION("""COMPUTED_VALUE"""),244734.0)</f>
        <v>244734</v>
      </c>
      <c r="D354" s="7">
        <f>IFERROR(__xludf.DUMMYFUNCTION("""COMPUTED_VALUE"""),2.415198E7)</f>
        <v>24151980</v>
      </c>
      <c r="E354" s="7">
        <f>IFERROR(__xludf.DUMMYFUNCTION("""COMPUTED_VALUE"""),1.8429449488E7)</f>
        <v>18429449.49</v>
      </c>
      <c r="F354" s="8">
        <v>303444.3653846154</v>
      </c>
      <c r="G354" s="18">
        <f t="shared" si="1"/>
        <v>22</v>
      </c>
      <c r="H354" s="19">
        <f t="shared" si="2"/>
        <v>31.05101167</v>
      </c>
      <c r="I354" s="19">
        <f t="shared" si="3"/>
        <v>0.01256395399</v>
      </c>
    </row>
    <row r="355">
      <c r="A355" s="9">
        <f>IFERROR(__xludf.DUMMYFUNCTION("""COMPUTED_VALUE"""),43979.0)</f>
        <v>43979</v>
      </c>
      <c r="B355" s="10" t="str">
        <f>IFERROR(__xludf.DUMMYFUNCTION("""COMPUTED_VALUE"""),"Москва Восток")</f>
        <v>Москва Восток</v>
      </c>
      <c r="C355" s="10">
        <f>IFERROR(__xludf.DUMMYFUNCTION("""COMPUTED_VALUE"""),191641.5)</f>
        <v>191641.5</v>
      </c>
      <c r="D355" s="10">
        <f>IFERROR(__xludf.DUMMYFUNCTION("""COMPUTED_VALUE"""),1.95490365E7)</f>
        <v>19549036.5</v>
      </c>
      <c r="E355" s="10">
        <f>IFERROR(__xludf.DUMMYFUNCTION("""COMPUTED_VALUE"""),1.448116423E7)</f>
        <v>14481164.23</v>
      </c>
      <c r="F355" s="11">
        <v>266079.27846153843</v>
      </c>
      <c r="G355" s="18">
        <f t="shared" si="1"/>
        <v>22</v>
      </c>
      <c r="H355" s="19">
        <f t="shared" si="2"/>
        <v>34.99630409</v>
      </c>
      <c r="I355" s="19">
        <f t="shared" si="3"/>
        <v>0.01361086407</v>
      </c>
    </row>
    <row r="356">
      <c r="A356" s="6">
        <f>IFERROR(__xludf.DUMMYFUNCTION("""COMPUTED_VALUE"""),43967.0)</f>
        <v>43967</v>
      </c>
      <c r="B356" s="7" t="str">
        <f>IFERROR(__xludf.DUMMYFUNCTION("""COMPUTED_VALUE"""),"Новосибирск")</f>
        <v>Новосибирск</v>
      </c>
      <c r="C356" s="7">
        <f>IFERROR(__xludf.DUMMYFUNCTION("""COMPUTED_VALUE"""),16368.0)</f>
        <v>16368</v>
      </c>
      <c r="D356" s="7">
        <f>IFERROR(__xludf.DUMMYFUNCTION("""COMPUTED_VALUE"""),1316350.5)</f>
        <v>1316350.5</v>
      </c>
      <c r="E356" s="7">
        <f>IFERROR(__xludf.DUMMYFUNCTION("""COMPUTED_VALUE"""),1092945.283)</f>
        <v>1092945.283</v>
      </c>
      <c r="F356" s="8">
        <v>175846.6446153846</v>
      </c>
      <c r="G356" s="18">
        <f t="shared" si="1"/>
        <v>20</v>
      </c>
      <c r="H356" s="19">
        <f t="shared" si="2"/>
        <v>20.44065888</v>
      </c>
      <c r="I356" s="19">
        <f t="shared" si="3"/>
        <v>0.1335864913</v>
      </c>
    </row>
    <row r="357">
      <c r="A357" s="9">
        <f>IFERROR(__xludf.DUMMYFUNCTION("""COMPUTED_VALUE"""),43970.0)</f>
        <v>43970</v>
      </c>
      <c r="B357" s="10" t="str">
        <f>IFERROR(__xludf.DUMMYFUNCTION("""COMPUTED_VALUE"""),"Новосибирск")</f>
        <v>Новосибирск</v>
      </c>
      <c r="C357" s="10">
        <f>IFERROR(__xludf.DUMMYFUNCTION("""COMPUTED_VALUE"""),14427.0)</f>
        <v>14427</v>
      </c>
      <c r="D357" s="10">
        <f>IFERROR(__xludf.DUMMYFUNCTION("""COMPUTED_VALUE"""),1126810.5)</f>
        <v>1126810.5</v>
      </c>
      <c r="E357" s="10">
        <f>IFERROR(__xludf.DUMMYFUNCTION("""COMPUTED_VALUE"""),963035.414)</f>
        <v>963035.414</v>
      </c>
      <c r="F357" s="11">
        <v>202056.3451923077</v>
      </c>
      <c r="G357" s="18">
        <f t="shared" si="1"/>
        <v>21</v>
      </c>
      <c r="H357" s="19">
        <f t="shared" si="2"/>
        <v>17.00613328</v>
      </c>
      <c r="I357" s="19">
        <f t="shared" si="3"/>
        <v>0.1793170593</v>
      </c>
    </row>
    <row r="358">
      <c r="A358" s="6">
        <f>IFERROR(__xludf.DUMMYFUNCTION("""COMPUTED_VALUE"""),43968.0)</f>
        <v>43968</v>
      </c>
      <c r="B358" s="7" t="str">
        <f>IFERROR(__xludf.DUMMYFUNCTION("""COMPUTED_VALUE"""),"Новосибирск")</f>
        <v>Новосибирск</v>
      </c>
      <c r="C358" s="7">
        <f>IFERROR(__xludf.DUMMYFUNCTION("""COMPUTED_VALUE"""),13440.0)</f>
        <v>13440</v>
      </c>
      <c r="D358" s="7">
        <f>IFERROR(__xludf.DUMMYFUNCTION("""COMPUTED_VALUE"""),1157529.0)</f>
        <v>1157529</v>
      </c>
      <c r="E358" s="7">
        <f>IFERROR(__xludf.DUMMYFUNCTION("""COMPUTED_VALUE"""),935379.4229999998)</f>
        <v>935379.423</v>
      </c>
      <c r="F358" s="8">
        <v>111375.6648</v>
      </c>
      <c r="G358" s="18">
        <f t="shared" si="1"/>
        <v>20</v>
      </c>
      <c r="H358" s="19">
        <f t="shared" si="2"/>
        <v>23.74967543</v>
      </c>
      <c r="I358" s="19">
        <f t="shared" si="3"/>
        <v>0.09621846606</v>
      </c>
    </row>
    <row r="359">
      <c r="A359" s="9">
        <f>IFERROR(__xludf.DUMMYFUNCTION("""COMPUTED_VALUE"""),43960.0)</f>
        <v>43960</v>
      </c>
      <c r="B359" s="10" t="str">
        <f>IFERROR(__xludf.DUMMYFUNCTION("""COMPUTED_VALUE"""),"Новосибирск")</f>
        <v>Новосибирск</v>
      </c>
      <c r="C359" s="10">
        <f>IFERROR(__xludf.DUMMYFUNCTION("""COMPUTED_VALUE"""),11745.0)</f>
        <v>11745</v>
      </c>
      <c r="D359" s="10">
        <f>IFERROR(__xludf.DUMMYFUNCTION("""COMPUTED_VALUE"""),955801.5)</f>
        <v>955801.5</v>
      </c>
      <c r="E359" s="10">
        <f>IFERROR(__xludf.DUMMYFUNCTION("""COMPUTED_VALUE"""),795942.652)</f>
        <v>795942.652</v>
      </c>
      <c r="F359" s="11">
        <v>165952.05877692305</v>
      </c>
      <c r="G359" s="18">
        <f t="shared" si="1"/>
        <v>19</v>
      </c>
      <c r="H359" s="19">
        <f t="shared" si="2"/>
        <v>20.08421682</v>
      </c>
      <c r="I359" s="19">
        <f t="shared" si="3"/>
        <v>0.1736260707</v>
      </c>
    </row>
    <row r="360">
      <c r="A360" s="6">
        <f>IFERROR(__xludf.DUMMYFUNCTION("""COMPUTED_VALUE"""),43955.0)</f>
        <v>43955</v>
      </c>
      <c r="B360" s="7" t="str">
        <f>IFERROR(__xludf.DUMMYFUNCTION("""COMPUTED_VALUE"""),"Новосибирск")</f>
        <v>Новосибирск</v>
      </c>
      <c r="C360" s="7">
        <f>IFERROR(__xludf.DUMMYFUNCTION("""COMPUTED_VALUE"""),11062.5)</f>
        <v>11062.5</v>
      </c>
      <c r="D360" s="7">
        <f>IFERROR(__xludf.DUMMYFUNCTION("""COMPUTED_VALUE"""),906343.5)</f>
        <v>906343.5</v>
      </c>
      <c r="E360" s="7">
        <f>IFERROR(__xludf.DUMMYFUNCTION("""COMPUTED_VALUE"""),762082.749)</f>
        <v>762082.749</v>
      </c>
      <c r="F360" s="8">
        <v>125305.56399230768</v>
      </c>
      <c r="G360" s="18">
        <f t="shared" si="1"/>
        <v>19</v>
      </c>
      <c r="H360" s="19">
        <f t="shared" si="2"/>
        <v>18.92980141</v>
      </c>
      <c r="I360" s="19">
        <f t="shared" si="3"/>
        <v>0.1382539446</v>
      </c>
    </row>
    <row r="361">
      <c r="A361" s="9">
        <f>IFERROR(__xludf.DUMMYFUNCTION("""COMPUTED_VALUE"""),43953.0)</f>
        <v>43953</v>
      </c>
      <c r="B361" s="10" t="str">
        <f>IFERROR(__xludf.DUMMYFUNCTION("""COMPUTED_VALUE"""),"Новосибирск")</f>
        <v>Новосибирск</v>
      </c>
      <c r="C361" s="10">
        <f>IFERROR(__xludf.DUMMYFUNCTION("""COMPUTED_VALUE"""),10018.5)</f>
        <v>10018.5</v>
      </c>
      <c r="D361" s="10">
        <f>IFERROR(__xludf.DUMMYFUNCTION("""COMPUTED_VALUE"""),816859.5)</f>
        <v>816859.5</v>
      </c>
      <c r="E361" s="10">
        <f>IFERROR(__xludf.DUMMYFUNCTION("""COMPUTED_VALUE"""),697541.2969999999)</f>
        <v>697541.297</v>
      </c>
      <c r="F361" s="11">
        <v>106508.82307692307</v>
      </c>
      <c r="G361" s="18">
        <f t="shared" si="1"/>
        <v>18</v>
      </c>
      <c r="H361" s="19">
        <f t="shared" si="2"/>
        <v>17.10553963</v>
      </c>
      <c r="I361" s="19">
        <f t="shared" si="3"/>
        <v>0.1303881795</v>
      </c>
    </row>
    <row r="362">
      <c r="A362" s="6">
        <f>IFERROR(__xludf.DUMMYFUNCTION("""COMPUTED_VALUE"""),43977.0)</f>
        <v>43977</v>
      </c>
      <c r="B362" s="7" t="str">
        <f>IFERROR(__xludf.DUMMYFUNCTION("""COMPUTED_VALUE"""),"Тюмень")</f>
        <v>Тюмень</v>
      </c>
      <c r="C362" s="7">
        <f>IFERROR(__xludf.DUMMYFUNCTION("""COMPUTED_VALUE"""),10437.0)</f>
        <v>10437</v>
      </c>
      <c r="D362" s="7">
        <f>IFERROR(__xludf.DUMMYFUNCTION("""COMPUTED_VALUE"""),833815.5)</f>
        <v>833815.5</v>
      </c>
      <c r="E362" s="7">
        <f>IFERROR(__xludf.DUMMYFUNCTION("""COMPUTED_VALUE"""),737888.3659999999)</f>
        <v>737888.366</v>
      </c>
      <c r="F362" s="8">
        <v>39424.85384615384</v>
      </c>
      <c r="G362" s="18">
        <f t="shared" si="1"/>
        <v>22</v>
      </c>
      <c r="H362" s="19">
        <f t="shared" si="2"/>
        <v>13.00022313</v>
      </c>
      <c r="I362" s="19">
        <f t="shared" si="3"/>
        <v>0.04728246698</v>
      </c>
    </row>
    <row r="363">
      <c r="A363" s="9">
        <f>IFERROR(__xludf.DUMMYFUNCTION("""COMPUTED_VALUE"""),43952.0)</f>
        <v>43952</v>
      </c>
      <c r="B363" s="10" t="str">
        <f>IFERROR(__xludf.DUMMYFUNCTION("""COMPUTED_VALUE"""),"Новосибирск")</f>
        <v>Новосибирск</v>
      </c>
      <c r="C363" s="10">
        <f>IFERROR(__xludf.DUMMYFUNCTION("""COMPUTED_VALUE"""),13644.0)</f>
        <v>13644</v>
      </c>
      <c r="D363" s="10">
        <f>IFERROR(__xludf.DUMMYFUNCTION("""COMPUTED_VALUE"""),1134444.0)</f>
        <v>1134444</v>
      </c>
      <c r="E363" s="10">
        <f>IFERROR(__xludf.DUMMYFUNCTION("""COMPUTED_VALUE"""),971710.8709999999)</f>
        <v>971710.871</v>
      </c>
      <c r="F363" s="11">
        <v>291527.8831384615</v>
      </c>
      <c r="G363" s="18">
        <f t="shared" si="1"/>
        <v>18</v>
      </c>
      <c r="H363" s="19">
        <f t="shared" si="2"/>
        <v>16.74707301</v>
      </c>
      <c r="I363" s="19">
        <f t="shared" si="3"/>
        <v>0.256978646</v>
      </c>
    </row>
    <row r="364">
      <c r="A364" s="6">
        <f>IFERROR(__xludf.DUMMYFUNCTION("""COMPUTED_VALUE"""),43963.0)</f>
        <v>43963</v>
      </c>
      <c r="B364" s="7" t="str">
        <f>IFERROR(__xludf.DUMMYFUNCTION("""COMPUTED_VALUE"""),"Новосибирск")</f>
        <v>Новосибирск</v>
      </c>
      <c r="C364" s="7">
        <f>IFERROR(__xludf.DUMMYFUNCTION("""COMPUTED_VALUE"""),13443.0)</f>
        <v>13443</v>
      </c>
      <c r="D364" s="7">
        <f>IFERROR(__xludf.DUMMYFUNCTION("""COMPUTED_VALUE"""),1092277.5)</f>
        <v>1092277.5</v>
      </c>
      <c r="E364" s="7">
        <f>IFERROR(__xludf.DUMMYFUNCTION("""COMPUTED_VALUE"""),921493.483)</f>
        <v>921493.483</v>
      </c>
      <c r="F364" s="8">
        <v>218151.6</v>
      </c>
      <c r="G364" s="18">
        <f t="shared" si="1"/>
        <v>20</v>
      </c>
      <c r="H364" s="19">
        <f t="shared" si="2"/>
        <v>18.5333939</v>
      </c>
      <c r="I364" s="19">
        <f t="shared" si="3"/>
        <v>0.199721774</v>
      </c>
    </row>
    <row r="365">
      <c r="A365" s="9">
        <f>IFERROR(__xludf.DUMMYFUNCTION("""COMPUTED_VALUE"""),43972.0)</f>
        <v>43972</v>
      </c>
      <c r="B365" s="10" t="str">
        <f>IFERROR(__xludf.DUMMYFUNCTION("""COMPUTED_VALUE"""),"Новосибирск")</f>
        <v>Новосибирск</v>
      </c>
      <c r="C365" s="10">
        <f>IFERROR(__xludf.DUMMYFUNCTION("""COMPUTED_VALUE"""),14182.5)</f>
        <v>14182.5</v>
      </c>
      <c r="D365" s="10">
        <f>IFERROR(__xludf.DUMMYFUNCTION("""COMPUTED_VALUE"""),1172574.0)</f>
        <v>1172574</v>
      </c>
      <c r="E365" s="10">
        <f>IFERROR(__xludf.DUMMYFUNCTION("""COMPUTED_VALUE"""),968784.8649999999)</f>
        <v>968784.865</v>
      </c>
      <c r="F365" s="11">
        <v>94547.0</v>
      </c>
      <c r="G365" s="18">
        <f t="shared" si="1"/>
        <v>21</v>
      </c>
      <c r="H365" s="19">
        <f t="shared" si="2"/>
        <v>21.03554074</v>
      </c>
      <c r="I365" s="19">
        <f t="shared" si="3"/>
        <v>0.08063201128</v>
      </c>
    </row>
    <row r="366">
      <c r="A366" s="6">
        <f>IFERROR(__xludf.DUMMYFUNCTION("""COMPUTED_VALUE"""),43971.0)</f>
        <v>43971</v>
      </c>
      <c r="B366" s="7" t="str">
        <f>IFERROR(__xludf.DUMMYFUNCTION("""COMPUTED_VALUE"""),"Новосибирск")</f>
        <v>Новосибирск</v>
      </c>
      <c r="C366" s="7">
        <f>IFERROR(__xludf.DUMMYFUNCTION("""COMPUTED_VALUE"""),14928.0)</f>
        <v>14928</v>
      </c>
      <c r="D366" s="7">
        <f>IFERROR(__xludf.DUMMYFUNCTION("""COMPUTED_VALUE"""),1217749.5)</f>
        <v>1217749.5</v>
      </c>
      <c r="E366" s="7">
        <f>IFERROR(__xludf.DUMMYFUNCTION("""COMPUTED_VALUE"""),1025585.5199999999)</f>
        <v>1025585.52</v>
      </c>
      <c r="F366" s="8">
        <v>84618.75436923077</v>
      </c>
      <c r="G366" s="18">
        <f t="shared" si="1"/>
        <v>21</v>
      </c>
      <c r="H366" s="19">
        <f t="shared" si="2"/>
        <v>18.73700206</v>
      </c>
      <c r="I366" s="19">
        <f t="shared" si="3"/>
        <v>0.06948781697</v>
      </c>
    </row>
    <row r="367">
      <c r="A367" s="9">
        <f>IFERROR(__xludf.DUMMYFUNCTION("""COMPUTED_VALUE"""),43956.0)</f>
        <v>43956</v>
      </c>
      <c r="B367" s="10" t="str">
        <f>IFERROR(__xludf.DUMMYFUNCTION("""COMPUTED_VALUE"""),"Новосибирск")</f>
        <v>Новосибирск</v>
      </c>
      <c r="C367" s="10">
        <f>IFERROR(__xludf.DUMMYFUNCTION("""COMPUTED_VALUE"""),13941.0)</f>
        <v>13941</v>
      </c>
      <c r="D367" s="10">
        <f>IFERROR(__xludf.DUMMYFUNCTION("""COMPUTED_VALUE"""),1145575.5)</f>
        <v>1145575.5</v>
      </c>
      <c r="E367" s="10">
        <f>IFERROR(__xludf.DUMMYFUNCTION("""COMPUTED_VALUE"""),974448.126)</f>
        <v>974448.126</v>
      </c>
      <c r="F367" s="11">
        <v>152152.96544615386</v>
      </c>
      <c r="G367" s="18">
        <f t="shared" si="1"/>
        <v>19</v>
      </c>
      <c r="H367" s="19">
        <f t="shared" si="2"/>
        <v>17.56146576</v>
      </c>
      <c r="I367" s="19">
        <f t="shared" si="3"/>
        <v>0.132817929</v>
      </c>
    </row>
    <row r="368">
      <c r="A368" s="6">
        <f>IFERROR(__xludf.DUMMYFUNCTION("""COMPUTED_VALUE"""),43964.0)</f>
        <v>43964</v>
      </c>
      <c r="B368" s="7" t="str">
        <f>IFERROR(__xludf.DUMMYFUNCTION("""COMPUTED_VALUE"""),"Новосибирск")</f>
        <v>Новосибирск</v>
      </c>
      <c r="C368" s="7">
        <f>IFERROR(__xludf.DUMMYFUNCTION("""COMPUTED_VALUE"""),14643.0)</f>
        <v>14643</v>
      </c>
      <c r="D368" s="7">
        <f>IFERROR(__xludf.DUMMYFUNCTION("""COMPUTED_VALUE"""),1172691.0)</f>
        <v>1172691</v>
      </c>
      <c r="E368" s="7">
        <f>IFERROR(__xludf.DUMMYFUNCTION("""COMPUTED_VALUE"""),971555.083)</f>
        <v>971555.083</v>
      </c>
      <c r="F368" s="8">
        <v>124018.33614615384</v>
      </c>
      <c r="G368" s="18">
        <f t="shared" si="1"/>
        <v>20</v>
      </c>
      <c r="H368" s="19">
        <f t="shared" si="2"/>
        <v>20.70247179</v>
      </c>
      <c r="I368" s="19">
        <f t="shared" si="3"/>
        <v>0.1057553406</v>
      </c>
    </row>
    <row r="369">
      <c r="A369" s="9">
        <f>IFERROR(__xludf.DUMMYFUNCTION("""COMPUTED_VALUE"""),43954.0)</f>
        <v>43954</v>
      </c>
      <c r="B369" s="10" t="str">
        <f>IFERROR(__xludf.DUMMYFUNCTION("""COMPUTED_VALUE"""),"Новосибирск")</f>
        <v>Новосибирск</v>
      </c>
      <c r="C369" s="10">
        <f>IFERROR(__xludf.DUMMYFUNCTION("""COMPUTED_VALUE"""),10032.0)</f>
        <v>10032</v>
      </c>
      <c r="D369" s="10">
        <f>IFERROR(__xludf.DUMMYFUNCTION("""COMPUTED_VALUE"""),816150.0)</f>
        <v>816150</v>
      </c>
      <c r="E369" s="10">
        <f>IFERROR(__xludf.DUMMYFUNCTION("""COMPUTED_VALUE"""),698626.0329999999)</f>
        <v>698626.033</v>
      </c>
      <c r="F369" s="11">
        <v>97812.8923076923</v>
      </c>
      <c r="G369" s="18">
        <f t="shared" si="1"/>
        <v>18</v>
      </c>
      <c r="H369" s="19">
        <f t="shared" si="2"/>
        <v>16.82215684</v>
      </c>
      <c r="I369" s="19">
        <f t="shared" si="3"/>
        <v>0.1198467099</v>
      </c>
    </row>
    <row r="370">
      <c r="A370" s="6">
        <f>IFERROR(__xludf.DUMMYFUNCTION("""COMPUTED_VALUE"""),43957.0)</f>
        <v>43957</v>
      </c>
      <c r="B370" s="7" t="str">
        <f>IFERROR(__xludf.DUMMYFUNCTION("""COMPUTED_VALUE"""),"Новосибирск")</f>
        <v>Новосибирск</v>
      </c>
      <c r="C370" s="7">
        <f>IFERROR(__xludf.DUMMYFUNCTION("""COMPUTED_VALUE"""),12468.0)</f>
        <v>12468</v>
      </c>
      <c r="D370" s="7">
        <f>IFERROR(__xludf.DUMMYFUNCTION("""COMPUTED_VALUE"""),1016566.5)</f>
        <v>1016566.5</v>
      </c>
      <c r="E370" s="7">
        <f>IFERROR(__xludf.DUMMYFUNCTION("""COMPUTED_VALUE"""),858367.6039999999)</f>
        <v>858367.604</v>
      </c>
      <c r="F370" s="8">
        <v>88833.63816923076</v>
      </c>
      <c r="G370" s="18">
        <f t="shared" si="1"/>
        <v>19</v>
      </c>
      <c r="H370" s="19">
        <f t="shared" si="2"/>
        <v>18.43020348</v>
      </c>
      <c r="I370" s="19">
        <f t="shared" si="3"/>
        <v>0.08738595868</v>
      </c>
    </row>
    <row r="371">
      <c r="A371" s="9">
        <f>IFERROR(__xludf.DUMMYFUNCTION("""COMPUTED_VALUE"""),43974.0)</f>
        <v>43974</v>
      </c>
      <c r="B371" s="10" t="str">
        <f>IFERROR(__xludf.DUMMYFUNCTION("""COMPUTED_VALUE"""),"Новосибирск")</f>
        <v>Новосибирск</v>
      </c>
      <c r="C371" s="10">
        <f>IFERROR(__xludf.DUMMYFUNCTION("""COMPUTED_VALUE"""),17943.0)</f>
        <v>17943</v>
      </c>
      <c r="D371" s="10">
        <f>IFERROR(__xludf.DUMMYFUNCTION("""COMPUTED_VALUE"""),1457391.0)</f>
        <v>1457391</v>
      </c>
      <c r="E371" s="10">
        <f>IFERROR(__xludf.DUMMYFUNCTION("""COMPUTED_VALUE"""),1194154.7659999998)</f>
        <v>1194154.766</v>
      </c>
      <c r="F371" s="11">
        <v>124621.03076923077</v>
      </c>
      <c r="G371" s="18">
        <f t="shared" si="1"/>
        <v>21</v>
      </c>
      <c r="H371" s="19">
        <f t="shared" si="2"/>
        <v>22.04372846</v>
      </c>
      <c r="I371" s="19">
        <f t="shared" si="3"/>
        <v>0.08550967501</v>
      </c>
    </row>
    <row r="372">
      <c r="A372" s="6">
        <f>IFERROR(__xludf.DUMMYFUNCTION("""COMPUTED_VALUE"""),43976.0)</f>
        <v>43976</v>
      </c>
      <c r="B372" s="7" t="str">
        <f>IFERROR(__xludf.DUMMYFUNCTION("""COMPUTED_VALUE"""),"Новосибирск")</f>
        <v>Новосибирск</v>
      </c>
      <c r="C372" s="7">
        <f>IFERROR(__xludf.DUMMYFUNCTION("""COMPUTED_VALUE"""),15807.0)</f>
        <v>15807</v>
      </c>
      <c r="D372" s="7">
        <f>IFERROR(__xludf.DUMMYFUNCTION("""COMPUTED_VALUE"""),1326705.0)</f>
        <v>1326705</v>
      </c>
      <c r="E372" s="7">
        <f>IFERROR(__xludf.DUMMYFUNCTION("""COMPUTED_VALUE"""),1070563.6439999999)</f>
        <v>1070563.644</v>
      </c>
      <c r="F372" s="8">
        <v>123343.24153846155</v>
      </c>
      <c r="G372" s="18">
        <f t="shared" si="1"/>
        <v>22</v>
      </c>
      <c r="H372" s="19">
        <f t="shared" si="2"/>
        <v>23.92584107</v>
      </c>
      <c r="I372" s="19">
        <f t="shared" si="3"/>
        <v>0.09296960631</v>
      </c>
    </row>
    <row r="373">
      <c r="A373" s="9">
        <f>IFERROR(__xludf.DUMMYFUNCTION("""COMPUTED_VALUE"""),43951.0)</f>
        <v>43951</v>
      </c>
      <c r="B373" s="10" t="str">
        <f>IFERROR(__xludf.DUMMYFUNCTION("""COMPUTED_VALUE"""),"Новосибирск")</f>
        <v>Новосибирск</v>
      </c>
      <c r="C373" s="10">
        <f>IFERROR(__xludf.DUMMYFUNCTION("""COMPUTED_VALUE"""),11976.0)</f>
        <v>11976</v>
      </c>
      <c r="D373" s="10">
        <f>IFERROR(__xludf.DUMMYFUNCTION("""COMPUTED_VALUE"""),1004511.0)</f>
        <v>1004511</v>
      </c>
      <c r="E373" s="10">
        <f>IFERROR(__xludf.DUMMYFUNCTION("""COMPUTED_VALUE"""),861334.614)</f>
        <v>861334.614</v>
      </c>
      <c r="F373" s="11">
        <v>20847.353846153845</v>
      </c>
      <c r="G373" s="18">
        <f t="shared" si="1"/>
        <v>18</v>
      </c>
      <c r="H373" s="19">
        <f t="shared" si="2"/>
        <v>16.62262072</v>
      </c>
      <c r="I373" s="19">
        <f t="shared" si="3"/>
        <v>0.02075373375</v>
      </c>
    </row>
    <row r="374">
      <c r="A374" s="6">
        <f>IFERROR(__xludf.DUMMYFUNCTION("""COMPUTED_VALUE"""),43961.0)</f>
        <v>43961</v>
      </c>
      <c r="B374" s="7" t="str">
        <f>IFERROR(__xludf.DUMMYFUNCTION("""COMPUTED_VALUE"""),"Новосибирск")</f>
        <v>Новосибирск</v>
      </c>
      <c r="C374" s="7">
        <f>IFERROR(__xludf.DUMMYFUNCTION("""COMPUTED_VALUE"""),14566.5)</f>
        <v>14566.5</v>
      </c>
      <c r="D374" s="7">
        <f>IFERROR(__xludf.DUMMYFUNCTION("""COMPUTED_VALUE"""),1216557.0)</f>
        <v>1216557</v>
      </c>
      <c r="E374" s="7">
        <f>IFERROR(__xludf.DUMMYFUNCTION("""COMPUTED_VALUE"""),1013050.3829999999)</f>
        <v>1013050.383</v>
      </c>
      <c r="F374" s="8">
        <v>102510.4018923077</v>
      </c>
      <c r="G374" s="18">
        <f t="shared" si="1"/>
        <v>19</v>
      </c>
      <c r="H374" s="19">
        <f t="shared" si="2"/>
        <v>20.08849909</v>
      </c>
      <c r="I374" s="19">
        <f t="shared" si="3"/>
        <v>0.08426272003</v>
      </c>
    </row>
    <row r="375">
      <c r="A375" s="9">
        <f>IFERROR(__xludf.DUMMYFUNCTION("""COMPUTED_VALUE"""),43959.0)</f>
        <v>43959</v>
      </c>
      <c r="B375" s="10" t="str">
        <f>IFERROR(__xludf.DUMMYFUNCTION("""COMPUTED_VALUE"""),"Новосибирск")</f>
        <v>Новосибирск</v>
      </c>
      <c r="C375" s="10">
        <f>IFERROR(__xludf.DUMMYFUNCTION("""COMPUTED_VALUE"""),12976.5)</f>
        <v>12976.5</v>
      </c>
      <c r="D375" s="10">
        <f>IFERROR(__xludf.DUMMYFUNCTION("""COMPUTED_VALUE"""),1046848.5)</f>
        <v>1046848.5</v>
      </c>
      <c r="E375" s="10">
        <f>IFERROR(__xludf.DUMMYFUNCTION("""COMPUTED_VALUE"""),892743.7459999999)</f>
        <v>892743.746</v>
      </c>
      <c r="F375" s="11">
        <v>396844.24095384614</v>
      </c>
      <c r="G375" s="18">
        <f t="shared" si="1"/>
        <v>19</v>
      </c>
      <c r="H375" s="19">
        <f t="shared" si="2"/>
        <v>17.26192479</v>
      </c>
      <c r="I375" s="19">
        <f t="shared" si="3"/>
        <v>0.3790846918</v>
      </c>
    </row>
    <row r="376">
      <c r="A376" s="6">
        <f>IFERROR(__xludf.DUMMYFUNCTION("""COMPUTED_VALUE"""),43958.0)</f>
        <v>43958</v>
      </c>
      <c r="B376" s="7" t="str">
        <f>IFERROR(__xludf.DUMMYFUNCTION("""COMPUTED_VALUE"""),"Новосибирск")</f>
        <v>Новосибирск</v>
      </c>
      <c r="C376" s="7">
        <f>IFERROR(__xludf.DUMMYFUNCTION("""COMPUTED_VALUE"""),11719.5)</f>
        <v>11719.5</v>
      </c>
      <c r="D376" s="7">
        <f>IFERROR(__xludf.DUMMYFUNCTION("""COMPUTED_VALUE"""),965880.0)</f>
        <v>965880</v>
      </c>
      <c r="E376" s="7">
        <f>IFERROR(__xludf.DUMMYFUNCTION("""COMPUTED_VALUE"""),809986.386)</f>
        <v>809986.386</v>
      </c>
      <c r="F376" s="8">
        <v>106745.03623846154</v>
      </c>
      <c r="G376" s="18">
        <f t="shared" si="1"/>
        <v>19</v>
      </c>
      <c r="H376" s="19">
        <f t="shared" si="2"/>
        <v>19.24644867</v>
      </c>
      <c r="I376" s="19">
        <f t="shared" si="3"/>
        <v>0.1105158366</v>
      </c>
    </row>
    <row r="377">
      <c r="A377" s="9">
        <f>IFERROR(__xludf.DUMMYFUNCTION("""COMPUTED_VALUE"""),43975.0)</f>
        <v>43975</v>
      </c>
      <c r="B377" s="10" t="str">
        <f>IFERROR(__xludf.DUMMYFUNCTION("""COMPUTED_VALUE"""),"Новосибирск")</f>
        <v>Новосибирск</v>
      </c>
      <c r="C377" s="10">
        <f>IFERROR(__xludf.DUMMYFUNCTION("""COMPUTED_VALUE"""),17197.5)</f>
        <v>17197.5</v>
      </c>
      <c r="D377" s="10">
        <f>IFERROR(__xludf.DUMMYFUNCTION("""COMPUTED_VALUE"""),1386262.5)</f>
        <v>1386262.5</v>
      </c>
      <c r="E377" s="10">
        <f>IFERROR(__xludf.DUMMYFUNCTION("""COMPUTED_VALUE"""),1130117.381)</f>
        <v>1130117.381</v>
      </c>
      <c r="F377" s="11">
        <v>121581.84923076924</v>
      </c>
      <c r="G377" s="18">
        <f t="shared" si="1"/>
        <v>21</v>
      </c>
      <c r="H377" s="19">
        <f t="shared" si="2"/>
        <v>22.66535524</v>
      </c>
      <c r="I377" s="19">
        <f t="shared" si="3"/>
        <v>0.08770478119</v>
      </c>
    </row>
    <row r="378">
      <c r="A378" s="6">
        <f>IFERROR(__xludf.DUMMYFUNCTION("""COMPUTED_VALUE"""),43977.0)</f>
        <v>43977</v>
      </c>
      <c r="B378" s="7" t="str">
        <f>IFERROR(__xludf.DUMMYFUNCTION("""COMPUTED_VALUE"""),"Новосибирск")</f>
        <v>Новосибирск</v>
      </c>
      <c r="C378" s="7">
        <f>IFERROR(__xludf.DUMMYFUNCTION("""COMPUTED_VALUE"""),14419.5)</f>
        <v>14419.5</v>
      </c>
      <c r="D378" s="7">
        <f>IFERROR(__xludf.DUMMYFUNCTION("""COMPUTED_VALUE"""),1210456.5)</f>
        <v>1210456.5</v>
      </c>
      <c r="E378" s="7">
        <f>IFERROR(__xludf.DUMMYFUNCTION("""COMPUTED_VALUE"""),970917.124)</f>
        <v>970917.124</v>
      </c>
      <c r="F378" s="8">
        <v>88147.13846153846</v>
      </c>
      <c r="G378" s="18">
        <f t="shared" si="1"/>
        <v>22</v>
      </c>
      <c r="H378" s="19">
        <f t="shared" si="2"/>
        <v>24.67145445</v>
      </c>
      <c r="I378" s="19">
        <f t="shared" si="3"/>
        <v>0.07282140123</v>
      </c>
    </row>
    <row r="379">
      <c r="A379" s="9">
        <f>IFERROR(__xludf.DUMMYFUNCTION("""COMPUTED_VALUE"""),43983.0)</f>
        <v>43983</v>
      </c>
      <c r="B379" s="10" t="str">
        <f>IFERROR(__xludf.DUMMYFUNCTION("""COMPUTED_VALUE"""),"Самара")</f>
        <v>Самара</v>
      </c>
      <c r="C379" s="10">
        <f>IFERROR(__xludf.DUMMYFUNCTION("""COMPUTED_VALUE"""),7816.5)</f>
        <v>7816.5</v>
      </c>
      <c r="D379" s="10">
        <f>IFERROR(__xludf.DUMMYFUNCTION("""COMPUTED_VALUE"""),636345.0)</f>
        <v>636345</v>
      </c>
      <c r="E379" s="10">
        <f>IFERROR(__xludf.DUMMYFUNCTION("""COMPUTED_VALUE"""),550528.6630000001)</f>
        <v>550528.663</v>
      </c>
      <c r="F379" s="11">
        <v>190344.3008</v>
      </c>
      <c r="G379" s="18">
        <f t="shared" si="1"/>
        <v>23</v>
      </c>
      <c r="H379" s="19">
        <f t="shared" si="2"/>
        <v>15.58798711</v>
      </c>
      <c r="I379" s="19">
        <f t="shared" si="3"/>
        <v>0.2991212327</v>
      </c>
    </row>
    <row r="380">
      <c r="A380" s="6">
        <f>IFERROR(__xludf.DUMMYFUNCTION("""COMPUTED_VALUE"""),43982.0)</f>
        <v>43982</v>
      </c>
      <c r="B380" s="7" t="str">
        <f>IFERROR(__xludf.DUMMYFUNCTION("""COMPUTED_VALUE"""),"Томск")</f>
        <v>Томск</v>
      </c>
      <c r="C380" s="7">
        <f>IFERROR(__xludf.DUMMYFUNCTION("""COMPUTED_VALUE"""),6409.5)</f>
        <v>6409.5</v>
      </c>
      <c r="D380" s="7">
        <f>IFERROR(__xludf.DUMMYFUNCTION("""COMPUTED_VALUE"""),493893.0)</f>
        <v>493893</v>
      </c>
      <c r="E380" s="7">
        <f>IFERROR(__xludf.DUMMYFUNCTION("""COMPUTED_VALUE"""),459762.61999999994)</f>
        <v>459762.62</v>
      </c>
      <c r="F380" s="8">
        <v>28040.97692307692</v>
      </c>
      <c r="G380" s="18">
        <f t="shared" si="1"/>
        <v>22</v>
      </c>
      <c r="H380" s="19">
        <f t="shared" si="2"/>
        <v>7.423478664</v>
      </c>
      <c r="I380" s="19">
        <f t="shared" si="3"/>
        <v>0.05677540869</v>
      </c>
    </row>
    <row r="381">
      <c r="A381" s="9">
        <f>IFERROR(__xludf.DUMMYFUNCTION("""COMPUTED_VALUE"""),43981.0)</f>
        <v>43981</v>
      </c>
      <c r="B381" s="10" t="str">
        <f>IFERROR(__xludf.DUMMYFUNCTION("""COMPUTED_VALUE"""),"Тюмень")</f>
        <v>Тюмень</v>
      </c>
      <c r="C381" s="10">
        <f>IFERROR(__xludf.DUMMYFUNCTION("""COMPUTED_VALUE"""),11220.0)</f>
        <v>11220</v>
      </c>
      <c r="D381" s="10">
        <f>IFERROR(__xludf.DUMMYFUNCTION("""COMPUTED_VALUE"""),928675.5)</f>
        <v>928675.5</v>
      </c>
      <c r="E381" s="10">
        <f>IFERROR(__xludf.DUMMYFUNCTION("""COMPUTED_VALUE"""),802403.808)</f>
        <v>802403.808</v>
      </c>
      <c r="F381" s="11">
        <v>136423.60523076923</v>
      </c>
      <c r="G381" s="18">
        <f t="shared" si="1"/>
        <v>22</v>
      </c>
      <c r="H381" s="19">
        <f t="shared" si="2"/>
        <v>15.73667656</v>
      </c>
      <c r="I381" s="19">
        <f t="shared" si="3"/>
        <v>0.1469012645</v>
      </c>
    </row>
    <row r="382">
      <c r="A382" s="6">
        <f>IFERROR(__xludf.DUMMYFUNCTION("""COMPUTED_VALUE"""),43980.0)</f>
        <v>43980</v>
      </c>
      <c r="B382" s="7" t="str">
        <f>IFERROR(__xludf.DUMMYFUNCTION("""COMPUTED_VALUE"""),"Самара")</f>
        <v>Самара</v>
      </c>
      <c r="C382" s="7">
        <f>IFERROR(__xludf.DUMMYFUNCTION("""COMPUTED_VALUE"""),8350.5)</f>
        <v>8350.5</v>
      </c>
      <c r="D382" s="7">
        <f>IFERROR(__xludf.DUMMYFUNCTION("""COMPUTED_VALUE"""),651237.0)</f>
        <v>651237</v>
      </c>
      <c r="E382" s="7">
        <f>IFERROR(__xludf.DUMMYFUNCTION("""COMPUTED_VALUE"""),601485.126)</f>
        <v>601485.126</v>
      </c>
      <c r="F382" s="8">
        <v>83014.63505384616</v>
      </c>
      <c r="G382" s="18">
        <f t="shared" si="1"/>
        <v>22</v>
      </c>
      <c r="H382" s="19">
        <f t="shared" si="2"/>
        <v>8.271505287</v>
      </c>
      <c r="I382" s="19">
        <f t="shared" si="3"/>
        <v>0.1274722337</v>
      </c>
    </row>
    <row r="383">
      <c r="A383" s="9">
        <f>IFERROR(__xludf.DUMMYFUNCTION("""COMPUTED_VALUE"""),43979.0)</f>
        <v>43979</v>
      </c>
      <c r="B383" s="10" t="str">
        <f>IFERROR(__xludf.DUMMYFUNCTION("""COMPUTED_VALUE"""),"Тюмень")</f>
        <v>Тюмень</v>
      </c>
      <c r="C383" s="10">
        <f>IFERROR(__xludf.DUMMYFUNCTION("""COMPUTED_VALUE"""),8428.5)</f>
        <v>8428.5</v>
      </c>
      <c r="D383" s="10">
        <f>IFERROR(__xludf.DUMMYFUNCTION("""COMPUTED_VALUE"""),694669.5)</f>
        <v>694669.5</v>
      </c>
      <c r="E383" s="10">
        <f>IFERROR(__xludf.DUMMYFUNCTION("""COMPUTED_VALUE"""),594994.696)</f>
        <v>594994.696</v>
      </c>
      <c r="F383" s="11">
        <v>42699.38461538461</v>
      </c>
      <c r="G383" s="18">
        <f t="shared" si="1"/>
        <v>22</v>
      </c>
      <c r="H383" s="19">
        <f t="shared" si="2"/>
        <v>16.75221723</v>
      </c>
      <c r="I383" s="19">
        <f t="shared" si="3"/>
        <v>0.06146719356</v>
      </c>
    </row>
    <row r="384">
      <c r="A384" s="6">
        <f>IFERROR(__xludf.DUMMYFUNCTION("""COMPUTED_VALUE"""),43978.0)</f>
        <v>43978</v>
      </c>
      <c r="B384" s="7" t="str">
        <f>IFERROR(__xludf.DUMMYFUNCTION("""COMPUTED_VALUE"""),"Кемерово")</f>
        <v>Кемерово</v>
      </c>
      <c r="C384" s="7">
        <f>IFERROR(__xludf.DUMMYFUNCTION("""COMPUTED_VALUE"""),32817.0)</f>
        <v>32817</v>
      </c>
      <c r="D384" s="7">
        <f>IFERROR(__xludf.DUMMYFUNCTION("""COMPUTED_VALUE"""),3015751.5)</f>
        <v>3015751.5</v>
      </c>
      <c r="E384" s="7">
        <f>IFERROR(__xludf.DUMMYFUNCTION("""COMPUTED_VALUE"""),2415980.772)</f>
        <v>2415980.772</v>
      </c>
      <c r="F384" s="8">
        <v>346048.63569230767</v>
      </c>
      <c r="G384" s="18">
        <f t="shared" si="1"/>
        <v>22</v>
      </c>
      <c r="H384" s="19">
        <f t="shared" si="2"/>
        <v>24.82514492</v>
      </c>
      <c r="I384" s="19">
        <f t="shared" si="3"/>
        <v>0.1147470658</v>
      </c>
    </row>
    <row r="385">
      <c r="A385" s="9">
        <f>IFERROR(__xludf.DUMMYFUNCTION("""COMPUTED_VALUE"""),43973.0)</f>
        <v>43973</v>
      </c>
      <c r="B385" s="10" t="str">
        <f>IFERROR(__xludf.DUMMYFUNCTION("""COMPUTED_VALUE"""),"Кемерово")</f>
        <v>Кемерово</v>
      </c>
      <c r="C385" s="10">
        <f>IFERROR(__xludf.DUMMYFUNCTION("""COMPUTED_VALUE"""),36031.5)</f>
        <v>36031.5</v>
      </c>
      <c r="D385" s="10">
        <f>IFERROR(__xludf.DUMMYFUNCTION("""COMPUTED_VALUE"""),3091069.5)</f>
        <v>3091069.5</v>
      </c>
      <c r="E385" s="10">
        <f>IFERROR(__xludf.DUMMYFUNCTION("""COMPUTED_VALUE"""),2549333.4129999997)</f>
        <v>2549333.413</v>
      </c>
      <c r="F385" s="11">
        <v>289900.0938461538</v>
      </c>
      <c r="G385" s="18">
        <f t="shared" si="1"/>
        <v>21</v>
      </c>
      <c r="H385" s="19">
        <f t="shared" si="2"/>
        <v>21.25010735</v>
      </c>
      <c r="I385" s="19">
        <f t="shared" si="3"/>
        <v>0.0937863396</v>
      </c>
    </row>
    <row r="386">
      <c r="A386" s="6">
        <f>IFERROR(__xludf.DUMMYFUNCTION("""COMPUTED_VALUE"""),43982.0)</f>
        <v>43982</v>
      </c>
      <c r="B386" s="7" t="str">
        <f>IFERROR(__xludf.DUMMYFUNCTION("""COMPUTED_VALUE"""),"Уфа")</f>
        <v>Уфа</v>
      </c>
      <c r="C386" s="7">
        <f>IFERROR(__xludf.DUMMYFUNCTION("""COMPUTED_VALUE"""),5127.0)</f>
        <v>5127</v>
      </c>
      <c r="D386" s="7">
        <f>IFERROR(__xludf.DUMMYFUNCTION("""COMPUTED_VALUE"""),468835.5)</f>
        <v>468835.5</v>
      </c>
      <c r="E386" s="7">
        <f>IFERROR(__xludf.DUMMYFUNCTION("""COMPUTED_VALUE"""),412625.887)</f>
        <v>412625.887</v>
      </c>
      <c r="F386" s="8">
        <v>8642.376923076923</v>
      </c>
      <c r="G386" s="18">
        <f t="shared" si="1"/>
        <v>22</v>
      </c>
      <c r="H386" s="19">
        <f t="shared" si="2"/>
        <v>13.62241555</v>
      </c>
      <c r="I386" s="19">
        <f t="shared" si="3"/>
        <v>0.01843370846</v>
      </c>
    </row>
    <row r="387">
      <c r="A387" s="9">
        <f>IFERROR(__xludf.DUMMYFUNCTION("""COMPUTED_VALUE"""),43962.0)</f>
        <v>43962</v>
      </c>
      <c r="B387" s="10" t="str">
        <f>IFERROR(__xludf.DUMMYFUNCTION("""COMPUTED_VALUE"""),"Кемерово")</f>
        <v>Кемерово</v>
      </c>
      <c r="C387" s="10">
        <f>IFERROR(__xludf.DUMMYFUNCTION("""COMPUTED_VALUE"""),27187.5)</f>
        <v>27187.5</v>
      </c>
      <c r="D387" s="10">
        <f>IFERROR(__xludf.DUMMYFUNCTION("""COMPUTED_VALUE"""),2479396.5)</f>
        <v>2479396.5</v>
      </c>
      <c r="E387" s="10">
        <f>IFERROR(__xludf.DUMMYFUNCTION("""COMPUTED_VALUE"""),1950422.9030000002)</f>
        <v>1950422.903</v>
      </c>
      <c r="F387" s="11">
        <v>381635.95355384616</v>
      </c>
      <c r="G387" s="18">
        <f t="shared" si="1"/>
        <v>20</v>
      </c>
      <c r="H387" s="19">
        <f t="shared" si="2"/>
        <v>27.12096931</v>
      </c>
      <c r="I387" s="19">
        <f t="shared" si="3"/>
        <v>0.1539229218</v>
      </c>
    </row>
    <row r="388">
      <c r="A388" s="6">
        <f>IFERROR(__xludf.DUMMYFUNCTION("""COMPUTED_VALUE"""),43981.0)</f>
        <v>43981</v>
      </c>
      <c r="B388" s="7" t="str">
        <f>IFERROR(__xludf.DUMMYFUNCTION("""COMPUTED_VALUE"""),"Новосибирск")</f>
        <v>Новосибирск</v>
      </c>
      <c r="C388" s="7">
        <f>IFERROR(__xludf.DUMMYFUNCTION("""COMPUTED_VALUE"""),20688.0)</f>
        <v>20688</v>
      </c>
      <c r="D388" s="7">
        <f>IFERROR(__xludf.DUMMYFUNCTION("""COMPUTED_VALUE"""),1773154.5)</f>
        <v>1773154.5</v>
      </c>
      <c r="E388" s="7">
        <f>IFERROR(__xludf.DUMMYFUNCTION("""COMPUTED_VALUE"""),1458979.491)</f>
        <v>1458979.491</v>
      </c>
      <c r="F388" s="8">
        <v>98432.2134076923</v>
      </c>
      <c r="G388" s="18">
        <f t="shared" si="1"/>
        <v>22</v>
      </c>
      <c r="H388" s="19">
        <f t="shared" si="2"/>
        <v>21.53388796</v>
      </c>
      <c r="I388" s="19">
        <f t="shared" si="3"/>
        <v>0.05551248546</v>
      </c>
    </row>
    <row r="389">
      <c r="A389" s="9">
        <f>IFERROR(__xludf.DUMMYFUNCTION("""COMPUTED_VALUE"""),43979.0)</f>
        <v>43979</v>
      </c>
      <c r="B389" s="10" t="str">
        <f>IFERROR(__xludf.DUMMYFUNCTION("""COMPUTED_VALUE"""),"Новосибирск")</f>
        <v>Новосибирск</v>
      </c>
      <c r="C389" s="10">
        <f>IFERROR(__xludf.DUMMYFUNCTION("""COMPUTED_VALUE"""),15678.0)</f>
        <v>15678</v>
      </c>
      <c r="D389" s="10">
        <f>IFERROR(__xludf.DUMMYFUNCTION("""COMPUTED_VALUE"""),1387443.0)</f>
        <v>1387443</v>
      </c>
      <c r="E389" s="10">
        <f>IFERROR(__xludf.DUMMYFUNCTION("""COMPUTED_VALUE"""),1121336.507)</f>
        <v>1121336.507</v>
      </c>
      <c r="F389" s="11">
        <v>101620.2923076923</v>
      </c>
      <c r="G389" s="18">
        <f t="shared" si="1"/>
        <v>22</v>
      </c>
      <c r="H389" s="19">
        <f t="shared" si="2"/>
        <v>23.73118964</v>
      </c>
      <c r="I389" s="19">
        <f t="shared" si="3"/>
        <v>0.07324285921</v>
      </c>
    </row>
    <row r="390">
      <c r="A390" s="6">
        <f>IFERROR(__xludf.DUMMYFUNCTION("""COMPUTED_VALUE"""),43969.0)</f>
        <v>43969</v>
      </c>
      <c r="B390" s="7" t="str">
        <f>IFERROR(__xludf.DUMMYFUNCTION("""COMPUTED_VALUE"""),"Кемерово")</f>
        <v>Кемерово</v>
      </c>
      <c r="C390" s="7">
        <f>IFERROR(__xludf.DUMMYFUNCTION("""COMPUTED_VALUE"""),31329.0)</f>
        <v>31329</v>
      </c>
      <c r="D390" s="7">
        <f>IFERROR(__xludf.DUMMYFUNCTION("""COMPUTED_VALUE"""),2826379.5)</f>
        <v>2826379.5</v>
      </c>
      <c r="E390" s="7">
        <f>IFERROR(__xludf.DUMMYFUNCTION("""COMPUTED_VALUE"""),2229453.508)</f>
        <v>2229453.508</v>
      </c>
      <c r="F390" s="8">
        <v>331756.1807230769</v>
      </c>
      <c r="G390" s="18">
        <f t="shared" si="1"/>
        <v>21</v>
      </c>
      <c r="H390" s="19">
        <f t="shared" si="2"/>
        <v>26.77454317</v>
      </c>
      <c r="I390" s="19">
        <f t="shared" si="3"/>
        <v>0.1173784981</v>
      </c>
    </row>
    <row r="391">
      <c r="A391" s="9">
        <f>IFERROR(__xludf.DUMMYFUNCTION("""COMPUTED_VALUE"""),43965.0)</f>
        <v>43965</v>
      </c>
      <c r="B391" s="10" t="str">
        <f>IFERROR(__xludf.DUMMYFUNCTION("""COMPUTED_VALUE"""),"Кемерово")</f>
        <v>Кемерово</v>
      </c>
      <c r="C391" s="10">
        <f>IFERROR(__xludf.DUMMYFUNCTION("""COMPUTED_VALUE"""),29658.0)</f>
        <v>29658</v>
      </c>
      <c r="D391" s="10">
        <f>IFERROR(__xludf.DUMMYFUNCTION("""COMPUTED_VALUE"""),2703132.0)</f>
        <v>2703132</v>
      </c>
      <c r="E391" s="10">
        <f>IFERROR(__xludf.DUMMYFUNCTION("""COMPUTED_VALUE"""),2160539.996)</f>
        <v>2160539.996</v>
      </c>
      <c r="F391" s="11">
        <v>312856.1615384615</v>
      </c>
      <c r="G391" s="18">
        <f t="shared" si="1"/>
        <v>20</v>
      </c>
      <c r="H391" s="19">
        <f t="shared" si="2"/>
        <v>25.1137218</v>
      </c>
      <c r="I391" s="19">
        <f t="shared" si="3"/>
        <v>0.1157383959</v>
      </c>
    </row>
    <row r="392">
      <c r="A392" s="6">
        <f>IFERROR(__xludf.DUMMYFUNCTION("""COMPUTED_VALUE"""),43966.0)</f>
        <v>43966</v>
      </c>
      <c r="B392" s="7" t="str">
        <f>IFERROR(__xludf.DUMMYFUNCTION("""COMPUTED_VALUE"""),"Кемерово")</f>
        <v>Кемерово</v>
      </c>
      <c r="C392" s="7">
        <f>IFERROR(__xludf.DUMMYFUNCTION("""COMPUTED_VALUE"""),34150.5)</f>
        <v>34150.5</v>
      </c>
      <c r="D392" s="7">
        <f>IFERROR(__xludf.DUMMYFUNCTION("""COMPUTED_VALUE"""),3038293.5)</f>
        <v>3038293.5</v>
      </c>
      <c r="E392" s="7">
        <f>IFERROR(__xludf.DUMMYFUNCTION("""COMPUTED_VALUE"""),2442084.561)</f>
        <v>2442084.561</v>
      </c>
      <c r="F392" s="8">
        <v>277257.14947692305</v>
      </c>
      <c r="G392" s="18">
        <f t="shared" si="1"/>
        <v>20</v>
      </c>
      <c r="H392" s="19">
        <f t="shared" si="2"/>
        <v>24.41393507</v>
      </c>
      <c r="I392" s="19">
        <f t="shared" si="3"/>
        <v>0.09125423514</v>
      </c>
    </row>
    <row r="393">
      <c r="A393" s="9">
        <f>IFERROR(__xludf.DUMMYFUNCTION("""COMPUTED_VALUE"""),43983.0)</f>
        <v>43983</v>
      </c>
      <c r="B393" s="10" t="str">
        <f>IFERROR(__xludf.DUMMYFUNCTION("""COMPUTED_VALUE"""),"Кемерово")</f>
        <v>Кемерово</v>
      </c>
      <c r="C393" s="10">
        <f>IFERROR(__xludf.DUMMYFUNCTION("""COMPUTED_VALUE"""),31947.0)</f>
        <v>31947</v>
      </c>
      <c r="D393" s="10">
        <f>IFERROR(__xludf.DUMMYFUNCTION("""COMPUTED_VALUE"""),2945035.5)</f>
        <v>2945035.5</v>
      </c>
      <c r="E393" s="10">
        <f>IFERROR(__xludf.DUMMYFUNCTION("""COMPUTED_VALUE"""),2320195.4450000003)</f>
        <v>2320195.445</v>
      </c>
      <c r="F393" s="11">
        <v>383761.6669230769</v>
      </c>
      <c r="G393" s="18">
        <f t="shared" si="1"/>
        <v>23</v>
      </c>
      <c r="H393" s="19">
        <f t="shared" si="2"/>
        <v>26.93049227</v>
      </c>
      <c r="I393" s="19">
        <f t="shared" si="3"/>
        <v>0.1303079935</v>
      </c>
    </row>
    <row r="394">
      <c r="A394" s="6">
        <f>IFERROR(__xludf.DUMMYFUNCTION("""COMPUTED_VALUE"""),43982.0)</f>
        <v>43982</v>
      </c>
      <c r="B394" s="7" t="str">
        <f>IFERROR(__xludf.DUMMYFUNCTION("""COMPUTED_VALUE"""),"Тюмень")</f>
        <v>Тюмень</v>
      </c>
      <c r="C394" s="7">
        <f>IFERROR(__xludf.DUMMYFUNCTION("""COMPUTED_VALUE"""),10416.0)</f>
        <v>10416</v>
      </c>
      <c r="D394" s="7">
        <f>IFERROR(__xludf.DUMMYFUNCTION("""COMPUTED_VALUE"""),866023.5)</f>
        <v>866023.5</v>
      </c>
      <c r="E394" s="7">
        <f>IFERROR(__xludf.DUMMYFUNCTION("""COMPUTED_VALUE"""),744833.002)</f>
        <v>744833.002</v>
      </c>
      <c r="F394" s="8">
        <v>19998.63846153846</v>
      </c>
      <c r="G394" s="18">
        <f t="shared" si="1"/>
        <v>22</v>
      </c>
      <c r="H394" s="19">
        <f t="shared" si="2"/>
        <v>16.27082818</v>
      </c>
      <c r="I394" s="19">
        <f t="shared" si="3"/>
        <v>0.02309248936</v>
      </c>
    </row>
    <row r="395">
      <c r="A395" s="9">
        <f>IFERROR(__xludf.DUMMYFUNCTION("""COMPUTED_VALUE"""),43980.0)</f>
        <v>43980</v>
      </c>
      <c r="B395" s="10" t="str">
        <f>IFERROR(__xludf.DUMMYFUNCTION("""COMPUTED_VALUE"""),"Кемерово")</f>
        <v>Кемерово</v>
      </c>
      <c r="C395" s="10">
        <f>IFERROR(__xludf.DUMMYFUNCTION("""COMPUTED_VALUE"""),35431.5)</f>
        <v>35431.5</v>
      </c>
      <c r="D395" s="10">
        <f>IFERROR(__xludf.DUMMYFUNCTION("""COMPUTED_VALUE"""),3193167.0)</f>
        <v>3193167</v>
      </c>
      <c r="E395" s="10">
        <f>IFERROR(__xludf.DUMMYFUNCTION("""COMPUTED_VALUE"""),2545757.0549999997)</f>
        <v>2545757.055</v>
      </c>
      <c r="F395" s="11">
        <v>202281.06923076924</v>
      </c>
      <c r="G395" s="18">
        <f t="shared" si="1"/>
        <v>22</v>
      </c>
      <c r="H395" s="19">
        <f t="shared" si="2"/>
        <v>25.43093983</v>
      </c>
      <c r="I395" s="19">
        <f t="shared" si="3"/>
        <v>0.06334810213</v>
      </c>
    </row>
    <row r="396">
      <c r="A396" s="6">
        <f>IFERROR(__xludf.DUMMYFUNCTION("""COMPUTED_VALUE"""),43978.0)</f>
        <v>43978</v>
      </c>
      <c r="B396" s="7" t="str">
        <f>IFERROR(__xludf.DUMMYFUNCTION("""COMPUTED_VALUE"""),"Екатеринбург")</f>
        <v>Екатеринбург</v>
      </c>
      <c r="C396" s="7">
        <f>IFERROR(__xludf.DUMMYFUNCTION("""COMPUTED_VALUE"""),78544.5)</f>
        <v>78544.5</v>
      </c>
      <c r="D396" s="7">
        <f>IFERROR(__xludf.DUMMYFUNCTION("""COMPUTED_VALUE"""),6701083.5)</f>
        <v>6701083.5</v>
      </c>
      <c r="E396" s="7">
        <f>IFERROR(__xludf.DUMMYFUNCTION("""COMPUTED_VALUE"""),5109499.617)</f>
        <v>5109499.617</v>
      </c>
      <c r="F396" s="8">
        <v>76226.26923076922</v>
      </c>
      <c r="G396" s="18">
        <f t="shared" si="1"/>
        <v>22</v>
      </c>
      <c r="H396" s="19">
        <f t="shared" si="2"/>
        <v>31.14950587</v>
      </c>
      <c r="I396" s="19">
        <f t="shared" si="3"/>
        <v>0.01137521555</v>
      </c>
    </row>
    <row r="397">
      <c r="A397" s="9">
        <f>IFERROR(__xludf.DUMMYFUNCTION("""COMPUTED_VALUE"""),43973.0)</f>
        <v>43973</v>
      </c>
      <c r="B397" s="10" t="str">
        <f>IFERROR(__xludf.DUMMYFUNCTION("""COMPUTED_VALUE"""),"Екатеринбург")</f>
        <v>Екатеринбург</v>
      </c>
      <c r="C397" s="10">
        <f>IFERROR(__xludf.DUMMYFUNCTION("""COMPUTED_VALUE"""),97963.5)</f>
        <v>97963.5</v>
      </c>
      <c r="D397" s="10">
        <f>IFERROR(__xludf.DUMMYFUNCTION("""COMPUTED_VALUE"""),7728465.0)</f>
        <v>7728465</v>
      </c>
      <c r="E397" s="10">
        <f>IFERROR(__xludf.DUMMYFUNCTION("""COMPUTED_VALUE"""),6415904.924000001)</f>
        <v>6415904.924</v>
      </c>
      <c r="F397" s="11">
        <v>150138.8230769231</v>
      </c>
      <c r="G397" s="18">
        <f t="shared" si="1"/>
        <v>21</v>
      </c>
      <c r="H397" s="19">
        <f t="shared" si="2"/>
        <v>20.45791033</v>
      </c>
      <c r="I397" s="19">
        <f t="shared" si="3"/>
        <v>0.01942673261</v>
      </c>
    </row>
    <row r="398">
      <c r="A398" s="6">
        <f>IFERROR(__xludf.DUMMYFUNCTION("""COMPUTED_VALUE"""),43983.0)</f>
        <v>43983</v>
      </c>
      <c r="B398" s="7" t="str">
        <f>IFERROR(__xludf.DUMMYFUNCTION("""COMPUTED_VALUE"""),"Екатеринбург")</f>
        <v>Екатеринбург</v>
      </c>
      <c r="C398" s="7">
        <f>IFERROR(__xludf.DUMMYFUNCTION("""COMPUTED_VALUE"""),77269.5)</f>
        <v>77269.5</v>
      </c>
      <c r="D398" s="7">
        <f>IFERROR(__xludf.DUMMYFUNCTION("""COMPUTED_VALUE"""),6829921.5)</f>
        <v>6829921.5</v>
      </c>
      <c r="E398" s="7">
        <f>IFERROR(__xludf.DUMMYFUNCTION("""COMPUTED_VALUE"""),5152925.182)</f>
        <v>5152925.182</v>
      </c>
      <c r="F398" s="8">
        <v>219200.11557692307</v>
      </c>
      <c r="G398" s="18">
        <f t="shared" si="1"/>
        <v>23</v>
      </c>
      <c r="H398" s="19">
        <f t="shared" si="2"/>
        <v>32.54455011</v>
      </c>
      <c r="I398" s="19">
        <f t="shared" si="3"/>
        <v>0.03209409004</v>
      </c>
    </row>
    <row r="399">
      <c r="A399" s="9">
        <f>IFERROR(__xludf.DUMMYFUNCTION("""COMPUTED_VALUE"""),43982.0)</f>
        <v>43982</v>
      </c>
      <c r="B399" s="10" t="str">
        <f>IFERROR(__xludf.DUMMYFUNCTION("""COMPUTED_VALUE"""),"Новосибирск")</f>
        <v>Новосибирск</v>
      </c>
      <c r="C399" s="10">
        <f>IFERROR(__xludf.DUMMYFUNCTION("""COMPUTED_VALUE"""),16143.0)</f>
        <v>16143</v>
      </c>
      <c r="D399" s="10">
        <f>IFERROR(__xludf.DUMMYFUNCTION("""COMPUTED_VALUE"""),1423410.0)</f>
        <v>1423410</v>
      </c>
      <c r="E399" s="10">
        <f>IFERROR(__xludf.DUMMYFUNCTION("""COMPUTED_VALUE"""),1183524.938)</f>
        <v>1183524.938</v>
      </c>
      <c r="F399" s="11">
        <v>41938.95039230769</v>
      </c>
      <c r="G399" s="18">
        <f t="shared" si="1"/>
        <v>22</v>
      </c>
      <c r="H399" s="19">
        <f t="shared" si="2"/>
        <v>20.26869517</v>
      </c>
      <c r="I399" s="19">
        <f t="shared" si="3"/>
        <v>0.02946371769</v>
      </c>
    </row>
    <row r="400">
      <c r="A400" s="6">
        <f>IFERROR(__xludf.DUMMYFUNCTION("""COMPUTED_VALUE"""),43962.0)</f>
        <v>43962</v>
      </c>
      <c r="B400" s="7" t="str">
        <f>IFERROR(__xludf.DUMMYFUNCTION("""COMPUTED_VALUE"""),"Екатеринбург")</f>
        <v>Екатеринбург</v>
      </c>
      <c r="C400" s="7">
        <f>IFERROR(__xludf.DUMMYFUNCTION("""COMPUTED_VALUE"""),72220.5)</f>
        <v>72220.5</v>
      </c>
      <c r="D400" s="7">
        <f>IFERROR(__xludf.DUMMYFUNCTION("""COMPUTED_VALUE"""),6398719.5)</f>
        <v>6398719.5</v>
      </c>
      <c r="E400" s="7">
        <f>IFERROR(__xludf.DUMMYFUNCTION("""COMPUTED_VALUE"""),4782829.606000001)</f>
        <v>4782829.606</v>
      </c>
      <c r="F400" s="8">
        <v>186502.14615384614</v>
      </c>
      <c r="G400" s="18">
        <f t="shared" si="1"/>
        <v>20</v>
      </c>
      <c r="H400" s="19">
        <f t="shared" si="2"/>
        <v>33.78522814</v>
      </c>
      <c r="I400" s="19">
        <f t="shared" si="3"/>
        <v>0.02914679197</v>
      </c>
    </row>
    <row r="401">
      <c r="A401" s="9">
        <f>IFERROR(__xludf.DUMMYFUNCTION("""COMPUTED_VALUE"""),43969.0)</f>
        <v>43969</v>
      </c>
      <c r="B401" s="10" t="str">
        <f>IFERROR(__xludf.DUMMYFUNCTION("""COMPUTED_VALUE"""),"Екатеринбург")</f>
        <v>Екатеринбург</v>
      </c>
      <c r="C401" s="10">
        <f>IFERROR(__xludf.DUMMYFUNCTION("""COMPUTED_VALUE"""),78058.5)</f>
        <v>78058.5</v>
      </c>
      <c r="D401" s="10">
        <f>IFERROR(__xludf.DUMMYFUNCTION("""COMPUTED_VALUE"""),6609714.0)</f>
        <v>6609714</v>
      </c>
      <c r="E401" s="10">
        <f>IFERROR(__xludf.DUMMYFUNCTION("""COMPUTED_VALUE"""),5024858.793)</f>
        <v>5024858.793</v>
      </c>
      <c r="F401" s="11">
        <v>140406.0769230769</v>
      </c>
      <c r="G401" s="18">
        <f t="shared" si="1"/>
        <v>21</v>
      </c>
      <c r="H401" s="19">
        <f t="shared" si="2"/>
        <v>31.54029341</v>
      </c>
      <c r="I401" s="19">
        <f t="shared" si="3"/>
        <v>0.02124238309</v>
      </c>
    </row>
    <row r="402">
      <c r="A402" s="6">
        <f>IFERROR(__xludf.DUMMYFUNCTION("""COMPUTED_VALUE"""),43965.0)</f>
        <v>43965</v>
      </c>
      <c r="B402" s="7" t="str">
        <f>IFERROR(__xludf.DUMMYFUNCTION("""COMPUTED_VALUE"""),"Екатеринбург")</f>
        <v>Екатеринбург</v>
      </c>
      <c r="C402" s="7">
        <f>IFERROR(__xludf.DUMMYFUNCTION("""COMPUTED_VALUE"""),70498.5)</f>
        <v>70498.5</v>
      </c>
      <c r="D402" s="7">
        <f>IFERROR(__xludf.DUMMYFUNCTION("""COMPUTED_VALUE"""),6053649.0)</f>
        <v>6053649</v>
      </c>
      <c r="E402" s="7">
        <f>IFERROR(__xludf.DUMMYFUNCTION("""COMPUTED_VALUE"""),4580254.154999999)</f>
        <v>4580254.155</v>
      </c>
      <c r="F402" s="8">
        <v>131801.93944615382</v>
      </c>
      <c r="G402" s="18">
        <f t="shared" si="1"/>
        <v>20</v>
      </c>
      <c r="H402" s="19">
        <f t="shared" si="2"/>
        <v>32.16840802</v>
      </c>
      <c r="I402" s="19">
        <f t="shared" si="3"/>
        <v>0.02177231277</v>
      </c>
    </row>
    <row r="403">
      <c r="A403" s="9">
        <f>IFERROR(__xludf.DUMMYFUNCTION("""COMPUTED_VALUE"""),43966.0)</f>
        <v>43966</v>
      </c>
      <c r="B403" s="10" t="str">
        <f>IFERROR(__xludf.DUMMYFUNCTION("""COMPUTED_VALUE"""),"Екатеринбург")</f>
        <v>Екатеринбург</v>
      </c>
      <c r="C403" s="10">
        <f>IFERROR(__xludf.DUMMYFUNCTION("""COMPUTED_VALUE"""),78961.5)</f>
        <v>78961.5</v>
      </c>
      <c r="D403" s="10">
        <f>IFERROR(__xludf.DUMMYFUNCTION("""COMPUTED_VALUE"""),6876454.5)</f>
        <v>6876454.5</v>
      </c>
      <c r="E403" s="10">
        <f>IFERROR(__xludf.DUMMYFUNCTION("""COMPUTED_VALUE"""),5258162.288)</f>
        <v>5258162.288</v>
      </c>
      <c r="F403" s="11">
        <v>162133.1846153846</v>
      </c>
      <c r="G403" s="18">
        <f t="shared" si="1"/>
        <v>20</v>
      </c>
      <c r="H403" s="19">
        <f t="shared" si="2"/>
        <v>30.77676426</v>
      </c>
      <c r="I403" s="19">
        <f t="shared" si="3"/>
        <v>0.02357802042</v>
      </c>
    </row>
    <row r="404">
      <c r="A404" s="6">
        <f>IFERROR(__xludf.DUMMYFUNCTION("""COMPUTED_VALUE"""),43978.0)</f>
        <v>43978</v>
      </c>
      <c r="B404" s="7" t="str">
        <f>IFERROR(__xludf.DUMMYFUNCTION("""COMPUTED_VALUE"""),"Тольятти")</f>
        <v>Тольятти</v>
      </c>
      <c r="C404" s="7">
        <f>IFERROR(__xludf.DUMMYFUNCTION("""COMPUTED_VALUE"""),12490.5)</f>
        <v>12490.5</v>
      </c>
      <c r="D404" s="7">
        <f>IFERROR(__xludf.DUMMYFUNCTION("""COMPUTED_VALUE"""),1054798.5)</f>
        <v>1054798.5</v>
      </c>
      <c r="E404" s="7">
        <f>IFERROR(__xludf.DUMMYFUNCTION("""COMPUTED_VALUE"""),878389.065)</f>
        <v>878389.065</v>
      </c>
      <c r="F404" s="8">
        <v>67454.76536923076</v>
      </c>
      <c r="G404" s="18">
        <f t="shared" si="1"/>
        <v>22</v>
      </c>
      <c r="H404" s="19">
        <f t="shared" si="2"/>
        <v>20.08329134</v>
      </c>
      <c r="I404" s="19">
        <f t="shared" si="3"/>
        <v>0.06395038045</v>
      </c>
    </row>
    <row r="405">
      <c r="A405" s="9">
        <f>IFERROR(__xludf.DUMMYFUNCTION("""COMPUTED_VALUE"""),43973.0)</f>
        <v>43973</v>
      </c>
      <c r="B405" s="10" t="str">
        <f>IFERROR(__xludf.DUMMYFUNCTION("""COMPUTED_VALUE"""),"Тольятти")</f>
        <v>Тольятти</v>
      </c>
      <c r="C405" s="10">
        <f>IFERROR(__xludf.DUMMYFUNCTION("""COMPUTED_VALUE"""),18036.0)</f>
        <v>18036</v>
      </c>
      <c r="D405" s="10">
        <f>IFERROR(__xludf.DUMMYFUNCTION("""COMPUTED_VALUE"""),1455049.5)</f>
        <v>1455049.5</v>
      </c>
      <c r="E405" s="10">
        <f>IFERROR(__xludf.DUMMYFUNCTION("""COMPUTED_VALUE"""),1301439.284)</f>
        <v>1301439.284</v>
      </c>
      <c r="F405" s="11">
        <v>69189.12307692308</v>
      </c>
      <c r="G405" s="18">
        <f t="shared" si="1"/>
        <v>21</v>
      </c>
      <c r="H405" s="19">
        <f t="shared" si="2"/>
        <v>11.80310276</v>
      </c>
      <c r="I405" s="19">
        <f t="shared" si="3"/>
        <v>0.04755104419</v>
      </c>
    </row>
    <row r="406">
      <c r="A406" s="6">
        <f>IFERROR(__xludf.DUMMYFUNCTION("""COMPUTED_VALUE"""),43983.0)</f>
        <v>43983</v>
      </c>
      <c r="B406" s="7" t="str">
        <f>IFERROR(__xludf.DUMMYFUNCTION("""COMPUTED_VALUE"""),"Тольятти")</f>
        <v>Тольятти</v>
      </c>
      <c r="C406" s="7">
        <f>IFERROR(__xludf.DUMMYFUNCTION("""COMPUTED_VALUE"""),11416.5)</f>
        <v>11416.5</v>
      </c>
      <c r="D406" s="7">
        <f>IFERROR(__xludf.DUMMYFUNCTION("""COMPUTED_VALUE"""),1007742.0)</f>
        <v>1007742</v>
      </c>
      <c r="E406" s="7">
        <f>IFERROR(__xludf.DUMMYFUNCTION("""COMPUTED_VALUE"""),815296.88)</f>
        <v>815296.88</v>
      </c>
      <c r="F406" s="8">
        <v>145147.84546153847</v>
      </c>
      <c r="G406" s="18">
        <f t="shared" si="1"/>
        <v>23</v>
      </c>
      <c r="H406" s="19">
        <f t="shared" si="2"/>
        <v>23.60429982</v>
      </c>
      <c r="I406" s="19">
        <f t="shared" si="3"/>
        <v>0.144032744</v>
      </c>
    </row>
    <row r="407">
      <c r="A407" s="9">
        <f>IFERROR(__xludf.DUMMYFUNCTION("""COMPUTED_VALUE"""),43962.0)</f>
        <v>43962</v>
      </c>
      <c r="B407" s="10" t="str">
        <f>IFERROR(__xludf.DUMMYFUNCTION("""COMPUTED_VALUE"""),"Тольятти")</f>
        <v>Тольятти</v>
      </c>
      <c r="C407" s="10">
        <f>IFERROR(__xludf.DUMMYFUNCTION("""COMPUTED_VALUE"""),9007.5)</f>
        <v>9007.5</v>
      </c>
      <c r="D407" s="10">
        <f>IFERROR(__xludf.DUMMYFUNCTION("""COMPUTED_VALUE"""),734335.5)</f>
        <v>734335.5</v>
      </c>
      <c r="E407" s="10">
        <f>IFERROR(__xludf.DUMMYFUNCTION("""COMPUTED_VALUE"""),622482.404)</f>
        <v>622482.404</v>
      </c>
      <c r="F407" s="11">
        <v>113093.66153846154</v>
      </c>
      <c r="G407" s="18">
        <f t="shared" si="1"/>
        <v>20</v>
      </c>
      <c r="H407" s="19">
        <f t="shared" si="2"/>
        <v>17.96887676</v>
      </c>
      <c r="I407" s="19">
        <f t="shared" si="3"/>
        <v>0.1540081632</v>
      </c>
    </row>
    <row r="408">
      <c r="A408" s="6">
        <f>IFERROR(__xludf.DUMMYFUNCTION("""COMPUTED_VALUE"""),43980.0)</f>
        <v>43980</v>
      </c>
      <c r="B408" s="7" t="str">
        <f>IFERROR(__xludf.DUMMYFUNCTION("""COMPUTED_VALUE"""),"Екатеринбург")</f>
        <v>Екатеринбург</v>
      </c>
      <c r="C408" s="7">
        <f>IFERROR(__xludf.DUMMYFUNCTION("""COMPUTED_VALUE"""),87552.0)</f>
        <v>87552</v>
      </c>
      <c r="D408" s="7">
        <f>IFERROR(__xludf.DUMMYFUNCTION("""COMPUTED_VALUE"""),7387116.0)</f>
        <v>7387116</v>
      </c>
      <c r="E408" s="7">
        <f>IFERROR(__xludf.DUMMYFUNCTION("""COMPUTED_VALUE"""),5815890.3319999995)</f>
        <v>5815890.332</v>
      </c>
      <c r="F408" s="8">
        <v>161811.8923076923</v>
      </c>
      <c r="G408" s="18">
        <f t="shared" si="1"/>
        <v>22</v>
      </c>
      <c r="H408" s="19">
        <f t="shared" si="2"/>
        <v>27.01608143</v>
      </c>
      <c r="I408" s="19">
        <f t="shared" si="3"/>
        <v>0.02190460963</v>
      </c>
    </row>
    <row r="409">
      <c r="A409" s="9">
        <f>IFERROR(__xludf.DUMMYFUNCTION("""COMPUTED_VALUE"""),43969.0)</f>
        <v>43969</v>
      </c>
      <c r="B409" s="10" t="str">
        <f>IFERROR(__xludf.DUMMYFUNCTION("""COMPUTED_VALUE"""),"Тольятти")</f>
        <v>Тольятти</v>
      </c>
      <c r="C409" s="10">
        <f>IFERROR(__xludf.DUMMYFUNCTION("""COMPUTED_VALUE"""),11680.5)</f>
        <v>11680.5</v>
      </c>
      <c r="D409" s="10">
        <f>IFERROR(__xludf.DUMMYFUNCTION("""COMPUTED_VALUE"""),936427.5)</f>
        <v>936427.5</v>
      </c>
      <c r="E409" s="10">
        <f>IFERROR(__xludf.DUMMYFUNCTION("""COMPUTED_VALUE"""),813406.684)</f>
        <v>813406.684</v>
      </c>
      <c r="F409" s="11">
        <v>117272.7846153846</v>
      </c>
      <c r="G409" s="18">
        <f t="shared" si="1"/>
        <v>21</v>
      </c>
      <c r="H409" s="19">
        <f t="shared" si="2"/>
        <v>15.12414619</v>
      </c>
      <c r="I409" s="19">
        <f t="shared" si="3"/>
        <v>0.1252342382</v>
      </c>
    </row>
    <row r="410">
      <c r="A410" s="6">
        <f>IFERROR(__xludf.DUMMYFUNCTION("""COMPUTED_VALUE"""),43965.0)</f>
        <v>43965</v>
      </c>
      <c r="B410" s="7" t="str">
        <f>IFERROR(__xludf.DUMMYFUNCTION("""COMPUTED_VALUE"""),"Тольятти")</f>
        <v>Тольятти</v>
      </c>
      <c r="C410" s="7">
        <f>IFERROR(__xludf.DUMMYFUNCTION("""COMPUTED_VALUE"""),12037.5)</f>
        <v>12037.5</v>
      </c>
      <c r="D410" s="7">
        <f>IFERROR(__xludf.DUMMYFUNCTION("""COMPUTED_VALUE"""),981564.0)</f>
        <v>981564</v>
      </c>
      <c r="E410" s="7">
        <f>IFERROR(__xludf.DUMMYFUNCTION("""COMPUTED_VALUE"""),877726.201)</f>
        <v>877726.201</v>
      </c>
      <c r="F410" s="8">
        <v>69249.01181538461</v>
      </c>
      <c r="G410" s="18">
        <f t="shared" si="1"/>
        <v>20</v>
      </c>
      <c r="H410" s="19">
        <f t="shared" si="2"/>
        <v>11.8303178</v>
      </c>
      <c r="I410" s="19">
        <f t="shared" si="3"/>
        <v>0.07054966545</v>
      </c>
    </row>
    <row r="411">
      <c r="A411" s="9">
        <f>IFERROR(__xludf.DUMMYFUNCTION("""COMPUTED_VALUE"""),43966.0)</f>
        <v>43966</v>
      </c>
      <c r="B411" s="10" t="str">
        <f>IFERROR(__xludf.DUMMYFUNCTION("""COMPUTED_VALUE"""),"Тольятти")</f>
        <v>Тольятти</v>
      </c>
      <c r="C411" s="10">
        <f>IFERROR(__xludf.DUMMYFUNCTION("""COMPUTED_VALUE"""),14421.0)</f>
        <v>14421</v>
      </c>
      <c r="D411" s="10">
        <f>IFERROR(__xludf.DUMMYFUNCTION("""COMPUTED_VALUE"""),1150579.5)</f>
        <v>1150579.5</v>
      </c>
      <c r="E411" s="10">
        <f>IFERROR(__xludf.DUMMYFUNCTION("""COMPUTED_VALUE"""),1038033.7869999999)</f>
        <v>1038033.787</v>
      </c>
      <c r="F411" s="11">
        <v>68487.35856923077</v>
      </c>
      <c r="G411" s="18">
        <f t="shared" si="1"/>
        <v>20</v>
      </c>
      <c r="H411" s="19">
        <f t="shared" si="2"/>
        <v>10.84220132</v>
      </c>
      <c r="I411" s="19">
        <f t="shared" si="3"/>
        <v>0.05952422981</v>
      </c>
    </row>
    <row r="412">
      <c r="A412" s="6">
        <f>IFERROR(__xludf.DUMMYFUNCTION("""COMPUTED_VALUE"""),43980.0)</f>
        <v>43980</v>
      </c>
      <c r="B412" s="7" t="str">
        <f>IFERROR(__xludf.DUMMYFUNCTION("""COMPUTED_VALUE"""),"Тольятти")</f>
        <v>Тольятти</v>
      </c>
      <c r="C412" s="7">
        <f>IFERROR(__xludf.DUMMYFUNCTION("""COMPUTED_VALUE"""),14823.0)</f>
        <v>14823</v>
      </c>
      <c r="D412" s="7">
        <f>IFERROR(__xludf.DUMMYFUNCTION("""COMPUTED_VALUE"""),1273464.0)</f>
        <v>1273464</v>
      </c>
      <c r="E412" s="7">
        <f>IFERROR(__xludf.DUMMYFUNCTION("""COMPUTED_VALUE"""),1068326.937)</f>
        <v>1068326.937</v>
      </c>
      <c r="F412" s="8">
        <v>76299.02338461539</v>
      </c>
      <c r="G412" s="18">
        <f t="shared" si="1"/>
        <v>22</v>
      </c>
      <c r="H412" s="19">
        <f t="shared" si="2"/>
        <v>19.20171213</v>
      </c>
      <c r="I412" s="19">
        <f t="shared" si="3"/>
        <v>0.05991455069</v>
      </c>
    </row>
    <row r="413">
      <c r="A413" s="9">
        <f>IFERROR(__xludf.DUMMYFUNCTION("""COMPUTED_VALUE"""),43978.0)</f>
        <v>43978</v>
      </c>
      <c r="B413" s="10" t="str">
        <f>IFERROR(__xludf.DUMMYFUNCTION("""COMPUTED_VALUE"""),"Нижний Новгород")</f>
        <v>Нижний Новгород</v>
      </c>
      <c r="C413" s="10">
        <f>IFERROR(__xludf.DUMMYFUNCTION("""COMPUTED_VALUE"""),31257.0)</f>
        <v>31257</v>
      </c>
      <c r="D413" s="10">
        <f>IFERROR(__xludf.DUMMYFUNCTION("""COMPUTED_VALUE"""),2924133.0)</f>
        <v>2924133</v>
      </c>
      <c r="E413" s="10">
        <f>IFERROR(__xludf.DUMMYFUNCTION("""COMPUTED_VALUE"""),2311405.017)</f>
        <v>2311405.017</v>
      </c>
      <c r="F413" s="11">
        <v>148582.33846153846</v>
      </c>
      <c r="G413" s="18">
        <f t="shared" si="1"/>
        <v>22</v>
      </c>
      <c r="H413" s="19">
        <f t="shared" si="2"/>
        <v>26.50889734</v>
      </c>
      <c r="I413" s="19">
        <f t="shared" si="3"/>
        <v>0.050812442</v>
      </c>
    </row>
    <row r="414">
      <c r="A414" s="6">
        <f>IFERROR(__xludf.DUMMYFUNCTION("""COMPUTED_VALUE"""),43973.0)</f>
        <v>43973</v>
      </c>
      <c r="B414" s="7" t="str">
        <f>IFERROR(__xludf.DUMMYFUNCTION("""COMPUTED_VALUE"""),"Нижний Новгород")</f>
        <v>Нижний Новгород</v>
      </c>
      <c r="C414" s="7">
        <f>IFERROR(__xludf.DUMMYFUNCTION("""COMPUTED_VALUE"""),38074.5)</f>
        <v>38074.5</v>
      </c>
      <c r="D414" s="7">
        <f>IFERROR(__xludf.DUMMYFUNCTION("""COMPUTED_VALUE"""),3414180.0)</f>
        <v>3414180</v>
      </c>
      <c r="E414" s="7">
        <f>IFERROR(__xludf.DUMMYFUNCTION("""COMPUTED_VALUE"""),2805831.5209999997)</f>
        <v>2805831.521</v>
      </c>
      <c r="F414" s="8">
        <v>124540.74078461538</v>
      </c>
      <c r="G414" s="18">
        <f t="shared" si="1"/>
        <v>21</v>
      </c>
      <c r="H414" s="19">
        <f t="shared" si="2"/>
        <v>21.68157548</v>
      </c>
      <c r="I414" s="19">
        <f t="shared" si="3"/>
        <v>0.03647749702</v>
      </c>
    </row>
    <row r="415">
      <c r="A415" s="9">
        <f>IFERROR(__xludf.DUMMYFUNCTION("""COMPUTED_VALUE"""),43983.0)</f>
        <v>43983</v>
      </c>
      <c r="B415" s="10" t="str">
        <f>IFERROR(__xludf.DUMMYFUNCTION("""COMPUTED_VALUE"""),"Нижний Новгород")</f>
        <v>Нижний Новгород</v>
      </c>
      <c r="C415" s="10">
        <f>IFERROR(__xludf.DUMMYFUNCTION("""COMPUTED_VALUE"""),32170.5)</f>
        <v>32170.5</v>
      </c>
      <c r="D415" s="10">
        <f>IFERROR(__xludf.DUMMYFUNCTION("""COMPUTED_VALUE"""),3013512.0)</f>
        <v>3013512</v>
      </c>
      <c r="E415" s="10">
        <f>IFERROR(__xludf.DUMMYFUNCTION("""COMPUTED_VALUE"""),2355616.679)</f>
        <v>2355616.679</v>
      </c>
      <c r="F415" s="11">
        <v>219429.2774153846</v>
      </c>
      <c r="G415" s="18">
        <f t="shared" si="1"/>
        <v>23</v>
      </c>
      <c r="H415" s="19">
        <f t="shared" si="2"/>
        <v>27.92879363</v>
      </c>
      <c r="I415" s="19">
        <f t="shared" si="3"/>
        <v>0.07281513311</v>
      </c>
    </row>
    <row r="416">
      <c r="A416" s="6">
        <f>IFERROR(__xludf.DUMMYFUNCTION("""COMPUTED_VALUE"""),43962.0)</f>
        <v>43962</v>
      </c>
      <c r="B416" s="7" t="str">
        <f>IFERROR(__xludf.DUMMYFUNCTION("""COMPUTED_VALUE"""),"Нижний Новгород")</f>
        <v>Нижний Новгород</v>
      </c>
      <c r="C416" s="7">
        <f>IFERROR(__xludf.DUMMYFUNCTION("""COMPUTED_VALUE"""),42397.5)</f>
        <v>42397.5</v>
      </c>
      <c r="D416" s="7">
        <f>IFERROR(__xludf.DUMMYFUNCTION("""COMPUTED_VALUE"""),3911979.0)</f>
        <v>3911979</v>
      </c>
      <c r="E416" s="7">
        <f>IFERROR(__xludf.DUMMYFUNCTION("""COMPUTED_VALUE"""),3086459.8370000003)</f>
        <v>3086459.837</v>
      </c>
      <c r="F416" s="8">
        <v>164514.63076923075</v>
      </c>
      <c r="G416" s="18">
        <f t="shared" si="1"/>
        <v>20</v>
      </c>
      <c r="H416" s="19">
        <f t="shared" si="2"/>
        <v>26.74647352</v>
      </c>
      <c r="I416" s="19">
        <f t="shared" si="3"/>
        <v>0.04205406797</v>
      </c>
    </row>
    <row r="417">
      <c r="A417" s="9">
        <f>IFERROR(__xludf.DUMMYFUNCTION("""COMPUTED_VALUE"""),43969.0)</f>
        <v>43969</v>
      </c>
      <c r="B417" s="10" t="str">
        <f>IFERROR(__xludf.DUMMYFUNCTION("""COMPUTED_VALUE"""),"Нижний Новгород")</f>
        <v>Нижний Новгород</v>
      </c>
      <c r="C417" s="10">
        <f>IFERROR(__xludf.DUMMYFUNCTION("""COMPUTED_VALUE"""),28668.0)</f>
        <v>28668</v>
      </c>
      <c r="D417" s="10">
        <f>IFERROR(__xludf.DUMMYFUNCTION("""COMPUTED_VALUE"""),2588148.0)</f>
        <v>2588148</v>
      </c>
      <c r="E417" s="10">
        <f>IFERROR(__xludf.DUMMYFUNCTION("""COMPUTED_VALUE"""),2042294.167)</f>
        <v>2042294.167</v>
      </c>
      <c r="F417" s="11">
        <v>160977.42935384615</v>
      </c>
      <c r="G417" s="18">
        <f t="shared" si="1"/>
        <v>21</v>
      </c>
      <c r="H417" s="19">
        <f t="shared" si="2"/>
        <v>26.72748333</v>
      </c>
      <c r="I417" s="19">
        <f t="shared" si="3"/>
        <v>0.06219792274</v>
      </c>
    </row>
    <row r="418">
      <c r="A418" s="6">
        <f>IFERROR(__xludf.DUMMYFUNCTION("""COMPUTED_VALUE"""),43965.0)</f>
        <v>43965</v>
      </c>
      <c r="B418" s="7" t="str">
        <f>IFERROR(__xludf.DUMMYFUNCTION("""COMPUTED_VALUE"""),"Нижний Новгород")</f>
        <v>Нижний Новгород</v>
      </c>
      <c r="C418" s="7">
        <f>IFERROR(__xludf.DUMMYFUNCTION("""COMPUTED_VALUE"""),27411.0)</f>
        <v>27411</v>
      </c>
      <c r="D418" s="7">
        <f>IFERROR(__xludf.DUMMYFUNCTION("""COMPUTED_VALUE"""),2441520.0)</f>
        <v>2441520</v>
      </c>
      <c r="E418" s="7">
        <f>IFERROR(__xludf.DUMMYFUNCTION("""COMPUTED_VALUE"""),1933378.3459999997)</f>
        <v>1933378.346</v>
      </c>
      <c r="F418" s="8">
        <v>141658.27661538462</v>
      </c>
      <c r="G418" s="18">
        <f t="shared" si="1"/>
        <v>20</v>
      </c>
      <c r="H418" s="19">
        <f t="shared" si="2"/>
        <v>26.28257708</v>
      </c>
      <c r="I418" s="19">
        <f t="shared" si="3"/>
        <v>0.05802052681</v>
      </c>
    </row>
    <row r="419">
      <c r="A419" s="9">
        <f>IFERROR(__xludf.DUMMYFUNCTION("""COMPUTED_VALUE"""),43966.0)</f>
        <v>43966</v>
      </c>
      <c r="B419" s="10" t="str">
        <f>IFERROR(__xludf.DUMMYFUNCTION("""COMPUTED_VALUE"""),"Нижний Новгород")</f>
        <v>Нижний Новгород</v>
      </c>
      <c r="C419" s="10">
        <f>IFERROR(__xludf.DUMMYFUNCTION("""COMPUTED_VALUE"""),32854.5)</f>
        <v>32854.5</v>
      </c>
      <c r="D419" s="10">
        <f>IFERROR(__xludf.DUMMYFUNCTION("""COMPUTED_VALUE"""),2949078.0)</f>
        <v>2949078</v>
      </c>
      <c r="E419" s="10">
        <f>IFERROR(__xludf.DUMMYFUNCTION("""COMPUTED_VALUE"""),2391958.463)</f>
        <v>2391958.463</v>
      </c>
      <c r="F419" s="11">
        <v>129383.86666153846</v>
      </c>
      <c r="G419" s="18">
        <f t="shared" si="1"/>
        <v>20</v>
      </c>
      <c r="H419" s="19">
        <f t="shared" si="2"/>
        <v>23.291355</v>
      </c>
      <c r="I419" s="19">
        <f t="shared" si="3"/>
        <v>0.04387264991</v>
      </c>
    </row>
    <row r="420">
      <c r="A420" s="6">
        <f>IFERROR(__xludf.DUMMYFUNCTION("""COMPUTED_VALUE"""),43980.0)</f>
        <v>43980</v>
      </c>
      <c r="B420" s="7" t="str">
        <f>IFERROR(__xludf.DUMMYFUNCTION("""COMPUTED_VALUE"""),"Нижний Новгород")</f>
        <v>Нижний Новгород</v>
      </c>
      <c r="C420" s="7">
        <f>IFERROR(__xludf.DUMMYFUNCTION("""COMPUTED_VALUE"""),35346.0)</f>
        <v>35346</v>
      </c>
      <c r="D420" s="7">
        <f>IFERROR(__xludf.DUMMYFUNCTION("""COMPUTED_VALUE"""),3258054.0)</f>
        <v>3258054</v>
      </c>
      <c r="E420" s="7">
        <f>IFERROR(__xludf.DUMMYFUNCTION("""COMPUTED_VALUE"""),2595610.66)</f>
        <v>2595610.66</v>
      </c>
      <c r="F420" s="8">
        <v>195198.78461538462</v>
      </c>
      <c r="G420" s="18">
        <f t="shared" si="1"/>
        <v>22</v>
      </c>
      <c r="H420" s="19">
        <f t="shared" si="2"/>
        <v>25.52167589</v>
      </c>
      <c r="I420" s="19">
        <f t="shared" si="3"/>
        <v>0.05991269163</v>
      </c>
    </row>
    <row r="421">
      <c r="A421" s="9">
        <f>IFERROR(__xludf.DUMMYFUNCTION("""COMPUTED_VALUE"""),43978.0)</f>
        <v>43978</v>
      </c>
      <c r="B421" s="10" t="str">
        <f>IFERROR(__xludf.DUMMYFUNCTION("""COMPUTED_VALUE"""),"Санкт-Петербург Юг")</f>
        <v>Санкт-Петербург Юг</v>
      </c>
      <c r="C421" s="10">
        <f>IFERROR(__xludf.DUMMYFUNCTION("""COMPUTED_VALUE"""),286558.5)</f>
        <v>286558.5</v>
      </c>
      <c r="D421" s="10">
        <f>IFERROR(__xludf.DUMMYFUNCTION("""COMPUTED_VALUE"""),2.9256993E7)</f>
        <v>29256993</v>
      </c>
      <c r="E421" s="10">
        <f>IFERROR(__xludf.DUMMYFUNCTION("""COMPUTED_VALUE"""),2.1169527457000002E7)</f>
        <v>21169527.46</v>
      </c>
      <c r="F421" s="11">
        <v>646741.2813</v>
      </c>
      <c r="G421" s="18">
        <f t="shared" si="1"/>
        <v>22</v>
      </c>
      <c r="H421" s="19">
        <f t="shared" si="2"/>
        <v>38.20333524</v>
      </c>
      <c r="I421" s="19">
        <f t="shared" si="3"/>
        <v>0.02210552811</v>
      </c>
    </row>
    <row r="422">
      <c r="A422" s="6">
        <f>IFERROR(__xludf.DUMMYFUNCTION("""COMPUTED_VALUE"""),43973.0)</f>
        <v>43973</v>
      </c>
      <c r="B422" s="7" t="str">
        <f>IFERROR(__xludf.DUMMYFUNCTION("""COMPUTED_VALUE"""),"Санкт-Петербург Юг")</f>
        <v>Санкт-Петербург Юг</v>
      </c>
      <c r="C422" s="7">
        <f>IFERROR(__xludf.DUMMYFUNCTION("""COMPUTED_VALUE"""),304092.0)</f>
        <v>304092</v>
      </c>
      <c r="D422" s="7">
        <f>IFERROR(__xludf.DUMMYFUNCTION("""COMPUTED_VALUE"""),2.9465769E7)</f>
        <v>29465769</v>
      </c>
      <c r="E422" s="7">
        <f>IFERROR(__xludf.DUMMYFUNCTION("""COMPUTED_VALUE"""),2.2276452264999997E7)</f>
        <v>22276452.27</v>
      </c>
      <c r="F422" s="8">
        <v>570447.6369538462</v>
      </c>
      <c r="G422" s="18">
        <f t="shared" si="1"/>
        <v>21</v>
      </c>
      <c r="H422" s="19">
        <f t="shared" si="2"/>
        <v>32.27316742</v>
      </c>
      <c r="I422" s="19">
        <f t="shared" si="3"/>
        <v>0.01935967247</v>
      </c>
    </row>
    <row r="423">
      <c r="A423" s="9">
        <f>IFERROR(__xludf.DUMMYFUNCTION("""COMPUTED_VALUE"""),43983.0)</f>
        <v>43983</v>
      </c>
      <c r="B423" s="10" t="str">
        <f>IFERROR(__xludf.DUMMYFUNCTION("""COMPUTED_VALUE"""),"Санкт-Петербург Юг")</f>
        <v>Санкт-Петербург Юг</v>
      </c>
      <c r="C423" s="10">
        <f>IFERROR(__xludf.DUMMYFUNCTION("""COMPUTED_VALUE"""),272926.5)</f>
        <v>272926.5</v>
      </c>
      <c r="D423" s="10">
        <f>IFERROR(__xludf.DUMMYFUNCTION("""COMPUTED_VALUE"""),2.77700925E7)</f>
        <v>27770092.5</v>
      </c>
      <c r="E423" s="10">
        <f>IFERROR(__xludf.DUMMYFUNCTION("""COMPUTED_VALUE"""),2.0952913508E7)</f>
        <v>20952913.51</v>
      </c>
      <c r="F423" s="11">
        <v>872904.4042846154</v>
      </c>
      <c r="G423" s="18">
        <f t="shared" si="1"/>
        <v>23</v>
      </c>
      <c r="H423" s="19">
        <f t="shared" si="2"/>
        <v>32.53570912</v>
      </c>
      <c r="I423" s="19">
        <f t="shared" si="3"/>
        <v>0.03143325519</v>
      </c>
    </row>
    <row r="424">
      <c r="A424" s="6">
        <f>IFERROR(__xludf.DUMMYFUNCTION("""COMPUTED_VALUE"""),43962.0)</f>
        <v>43962</v>
      </c>
      <c r="B424" s="7" t="str">
        <f>IFERROR(__xludf.DUMMYFUNCTION("""COMPUTED_VALUE"""),"Санкт-Петербург Юг")</f>
        <v>Санкт-Петербург Юг</v>
      </c>
      <c r="C424" s="7">
        <f>IFERROR(__xludf.DUMMYFUNCTION("""COMPUTED_VALUE"""),237099.0)</f>
        <v>237099</v>
      </c>
      <c r="D424" s="7">
        <f>IFERROR(__xludf.DUMMYFUNCTION("""COMPUTED_VALUE"""),2.462823322395E7)</f>
        <v>24628233.22</v>
      </c>
      <c r="E424" s="7">
        <f>IFERROR(__xludf.DUMMYFUNCTION("""COMPUTED_VALUE"""),1.767993047E7)</f>
        <v>17679930.47</v>
      </c>
      <c r="F424" s="8">
        <v>622499.3303153847</v>
      </c>
      <c r="G424" s="18">
        <f t="shared" si="1"/>
        <v>20</v>
      </c>
      <c r="H424" s="19">
        <f t="shared" si="2"/>
        <v>39.3005095</v>
      </c>
      <c r="I424" s="19">
        <f t="shared" si="3"/>
        <v>0.02527584194</v>
      </c>
    </row>
    <row r="425">
      <c r="A425" s="9">
        <f>IFERROR(__xludf.DUMMYFUNCTION("""COMPUTED_VALUE"""),43969.0)</f>
        <v>43969</v>
      </c>
      <c r="B425" s="10" t="str">
        <f>IFERROR(__xludf.DUMMYFUNCTION("""COMPUTED_VALUE"""),"Санкт-Петербург Юг")</f>
        <v>Санкт-Петербург Юг</v>
      </c>
      <c r="C425" s="10">
        <f>IFERROR(__xludf.DUMMYFUNCTION("""COMPUTED_VALUE"""),273900.0)</f>
        <v>273900</v>
      </c>
      <c r="D425" s="10">
        <f>IFERROR(__xludf.DUMMYFUNCTION("""COMPUTED_VALUE"""),2.7535284147600003E7)</f>
        <v>27535284.15</v>
      </c>
      <c r="E425" s="10">
        <f>IFERROR(__xludf.DUMMYFUNCTION("""COMPUTED_VALUE"""),1.9680985969E7)</f>
        <v>19680985.97</v>
      </c>
      <c r="F425" s="11">
        <v>764540.5879230769</v>
      </c>
      <c r="G425" s="18">
        <f t="shared" si="1"/>
        <v>21</v>
      </c>
      <c r="H425" s="19">
        <f t="shared" si="2"/>
        <v>39.90805233</v>
      </c>
      <c r="I425" s="19">
        <f t="shared" si="3"/>
        <v>0.02776585067</v>
      </c>
    </row>
    <row r="426">
      <c r="A426" s="6">
        <f>IFERROR(__xludf.DUMMYFUNCTION("""COMPUTED_VALUE"""),43965.0)</f>
        <v>43965</v>
      </c>
      <c r="B426" s="7" t="str">
        <f>IFERROR(__xludf.DUMMYFUNCTION("""COMPUTED_VALUE"""),"Санкт-Петербург Юг")</f>
        <v>Санкт-Петербург Юг</v>
      </c>
      <c r="C426" s="7">
        <f>IFERROR(__xludf.DUMMYFUNCTION("""COMPUTED_VALUE"""),274059.0)</f>
        <v>274059</v>
      </c>
      <c r="D426" s="7">
        <f>IFERROR(__xludf.DUMMYFUNCTION("""COMPUTED_VALUE"""),2.8181292E7)</f>
        <v>28181292</v>
      </c>
      <c r="E426" s="7">
        <f>IFERROR(__xludf.DUMMYFUNCTION("""COMPUTED_VALUE"""),2.0493717226E7)</f>
        <v>20493717.23</v>
      </c>
      <c r="F426" s="8">
        <v>806120.1933307692</v>
      </c>
      <c r="G426" s="18">
        <f t="shared" si="1"/>
        <v>20</v>
      </c>
      <c r="H426" s="19">
        <f t="shared" si="2"/>
        <v>37.51186127</v>
      </c>
      <c r="I426" s="19">
        <f t="shared" si="3"/>
        <v>0.028604799</v>
      </c>
    </row>
    <row r="427">
      <c r="A427" s="9">
        <f>IFERROR(__xludf.DUMMYFUNCTION("""COMPUTED_VALUE"""),43966.0)</f>
        <v>43966</v>
      </c>
      <c r="B427" s="10" t="str">
        <f>IFERROR(__xludf.DUMMYFUNCTION("""COMPUTED_VALUE"""),"Санкт-Петербург Юг")</f>
        <v>Санкт-Петербург Юг</v>
      </c>
      <c r="C427" s="10">
        <f>IFERROR(__xludf.DUMMYFUNCTION("""COMPUTED_VALUE"""),318816.0)</f>
        <v>318816</v>
      </c>
      <c r="D427" s="10">
        <f>IFERROR(__xludf.DUMMYFUNCTION("""COMPUTED_VALUE"""),3.2354331E7)</f>
        <v>32354331</v>
      </c>
      <c r="E427" s="10">
        <f>IFERROR(__xludf.DUMMYFUNCTION("""COMPUTED_VALUE"""),2.3895072432E7)</f>
        <v>23895072.43</v>
      </c>
      <c r="F427" s="11">
        <v>616932.9235384614</v>
      </c>
      <c r="G427" s="18">
        <f t="shared" si="1"/>
        <v>20</v>
      </c>
      <c r="H427" s="19">
        <f t="shared" si="2"/>
        <v>35.40168623</v>
      </c>
      <c r="I427" s="19">
        <f t="shared" si="3"/>
        <v>0.01906801669</v>
      </c>
    </row>
    <row r="428">
      <c r="A428" s="6">
        <f>IFERROR(__xludf.DUMMYFUNCTION("""COMPUTED_VALUE"""),43978.0)</f>
        <v>43978</v>
      </c>
      <c r="B428" s="7" t="str">
        <f>IFERROR(__xludf.DUMMYFUNCTION("""COMPUTED_VALUE"""),"Санкт-Петербург Север")</f>
        <v>Санкт-Петербург Север</v>
      </c>
      <c r="C428" s="7">
        <f>IFERROR(__xludf.DUMMYFUNCTION("""COMPUTED_VALUE"""),370012.5)</f>
        <v>370012.5</v>
      </c>
      <c r="D428" s="7">
        <f>IFERROR(__xludf.DUMMYFUNCTION("""COMPUTED_VALUE"""),3.90348615E7)</f>
        <v>39034861.5</v>
      </c>
      <c r="E428" s="7">
        <f>IFERROR(__xludf.DUMMYFUNCTION("""COMPUTED_VALUE"""),2.8040467216000002E7)</f>
        <v>28040467.22</v>
      </c>
      <c r="F428" s="8">
        <v>681486.5666461538</v>
      </c>
      <c r="G428" s="18">
        <f t="shared" si="1"/>
        <v>22</v>
      </c>
      <c r="H428" s="19">
        <f t="shared" si="2"/>
        <v>39.20902672</v>
      </c>
      <c r="I428" s="19">
        <f t="shared" si="3"/>
        <v>0.01745840873</v>
      </c>
    </row>
    <row r="429">
      <c r="A429" s="9">
        <f>IFERROR(__xludf.DUMMYFUNCTION("""COMPUTED_VALUE"""),43973.0)</f>
        <v>43973</v>
      </c>
      <c r="B429" s="10" t="str">
        <f>IFERROR(__xludf.DUMMYFUNCTION("""COMPUTED_VALUE"""),"Санкт-Петербург Север")</f>
        <v>Санкт-Петербург Север</v>
      </c>
      <c r="C429" s="10">
        <f>IFERROR(__xludf.DUMMYFUNCTION("""COMPUTED_VALUE"""),393018.0)</f>
        <v>393018</v>
      </c>
      <c r="D429" s="10">
        <f>IFERROR(__xludf.DUMMYFUNCTION("""COMPUTED_VALUE"""),3.94983735E7)</f>
        <v>39498373.5</v>
      </c>
      <c r="E429" s="10">
        <f>IFERROR(__xludf.DUMMYFUNCTION("""COMPUTED_VALUE"""),2.9683782432999995E7)</f>
        <v>29683782.43</v>
      </c>
      <c r="F429" s="11">
        <v>636230.3201153845</v>
      </c>
      <c r="G429" s="18">
        <f t="shared" si="1"/>
        <v>21</v>
      </c>
      <c r="H429" s="19">
        <f t="shared" si="2"/>
        <v>33.06381553</v>
      </c>
      <c r="I429" s="19">
        <f t="shared" si="3"/>
        <v>0.01610775998</v>
      </c>
    </row>
    <row r="430">
      <c r="A430" s="6">
        <f>IFERROR(__xludf.DUMMYFUNCTION("""COMPUTED_VALUE"""),43983.0)</f>
        <v>43983</v>
      </c>
      <c r="B430" s="7" t="str">
        <f>IFERROR(__xludf.DUMMYFUNCTION("""COMPUTED_VALUE"""),"Санкт-Петербург Север")</f>
        <v>Санкт-Петербург Север</v>
      </c>
      <c r="C430" s="7">
        <f>IFERROR(__xludf.DUMMYFUNCTION("""COMPUTED_VALUE"""),349699.5)</f>
        <v>349699.5</v>
      </c>
      <c r="D430" s="7">
        <f>IFERROR(__xludf.DUMMYFUNCTION("""COMPUTED_VALUE"""),3.725784018135E7)</f>
        <v>37257840.18</v>
      </c>
      <c r="E430" s="7">
        <f>IFERROR(__xludf.DUMMYFUNCTION("""COMPUTED_VALUE"""),2.7640203134E7)</f>
        <v>27640203.13</v>
      </c>
      <c r="F430" s="8">
        <v>744856.585476923</v>
      </c>
      <c r="G430" s="18">
        <f t="shared" si="1"/>
        <v>23</v>
      </c>
      <c r="H430" s="19">
        <f t="shared" si="2"/>
        <v>34.79582621</v>
      </c>
      <c r="I430" s="19">
        <f t="shared" si="3"/>
        <v>0.01999194215</v>
      </c>
    </row>
    <row r="431">
      <c r="A431" s="9">
        <f>IFERROR(__xludf.DUMMYFUNCTION("""COMPUTED_VALUE"""),43962.0)</f>
        <v>43962</v>
      </c>
      <c r="B431" s="10" t="str">
        <f>IFERROR(__xludf.DUMMYFUNCTION("""COMPUTED_VALUE"""),"Санкт-Петербург Север")</f>
        <v>Санкт-Петербург Север</v>
      </c>
      <c r="C431" s="10">
        <f>IFERROR(__xludf.DUMMYFUNCTION("""COMPUTED_VALUE"""),318565.5)</f>
        <v>318565.5</v>
      </c>
      <c r="D431" s="10">
        <f>IFERROR(__xludf.DUMMYFUNCTION("""COMPUTED_VALUE"""),3.3781581E7)</f>
        <v>33781581</v>
      </c>
      <c r="E431" s="10">
        <f>IFERROR(__xludf.DUMMYFUNCTION("""COMPUTED_VALUE"""),2.4232690171E7)</f>
        <v>24232690.17</v>
      </c>
      <c r="F431" s="11">
        <v>605833.7657076922</v>
      </c>
      <c r="G431" s="18">
        <f t="shared" si="1"/>
        <v>20</v>
      </c>
      <c r="H431" s="19">
        <f t="shared" si="2"/>
        <v>39.40499698</v>
      </c>
      <c r="I431" s="19">
        <f t="shared" si="3"/>
        <v>0.01793384879</v>
      </c>
    </row>
    <row r="432">
      <c r="A432" s="6">
        <f>IFERROR(__xludf.DUMMYFUNCTION("""COMPUTED_VALUE"""),43980.0)</f>
        <v>43980</v>
      </c>
      <c r="B432" s="7" t="str">
        <f>IFERROR(__xludf.DUMMYFUNCTION("""COMPUTED_VALUE"""),"Санкт-Петербург Юг")</f>
        <v>Санкт-Петербург Юг</v>
      </c>
      <c r="C432" s="7">
        <f>IFERROR(__xludf.DUMMYFUNCTION("""COMPUTED_VALUE"""),422965.5)</f>
        <v>422965.5</v>
      </c>
      <c r="D432" s="7">
        <f>IFERROR(__xludf.DUMMYFUNCTION("""COMPUTED_VALUE"""),4.1767140105000004E7)</f>
        <v>41767140.11</v>
      </c>
      <c r="E432" s="7">
        <f>IFERROR(__xludf.DUMMYFUNCTION("""COMPUTED_VALUE"""),3.2361318847E7)</f>
        <v>32361318.85</v>
      </c>
      <c r="F432" s="8">
        <v>525087.9153846154</v>
      </c>
      <c r="G432" s="18">
        <f t="shared" si="1"/>
        <v>22</v>
      </c>
      <c r="H432" s="19">
        <f t="shared" si="2"/>
        <v>29.06501216</v>
      </c>
      <c r="I432" s="19">
        <f t="shared" si="3"/>
        <v>0.01257179481</v>
      </c>
    </row>
    <row r="433">
      <c r="A433" s="9">
        <f>IFERROR(__xludf.DUMMYFUNCTION("""COMPUTED_VALUE"""),43969.0)</f>
        <v>43969</v>
      </c>
      <c r="B433" s="10" t="str">
        <f>IFERROR(__xludf.DUMMYFUNCTION("""COMPUTED_VALUE"""),"Санкт-Петербург Север")</f>
        <v>Санкт-Петербург Север</v>
      </c>
      <c r="C433" s="10">
        <f>IFERROR(__xludf.DUMMYFUNCTION("""COMPUTED_VALUE"""),355081.5)</f>
        <v>355081.5</v>
      </c>
      <c r="D433" s="10">
        <f>IFERROR(__xludf.DUMMYFUNCTION("""COMPUTED_VALUE"""),3.6876888E7)</f>
        <v>36876888</v>
      </c>
      <c r="E433" s="10">
        <f>IFERROR(__xludf.DUMMYFUNCTION("""COMPUTED_VALUE"""),2.6228948559E7)</f>
        <v>26228948.56</v>
      </c>
      <c r="F433" s="11">
        <v>898617.7503076922</v>
      </c>
      <c r="G433" s="18">
        <f t="shared" si="1"/>
        <v>21</v>
      </c>
      <c r="H433" s="19">
        <f t="shared" si="2"/>
        <v>40.59613529</v>
      </c>
      <c r="I433" s="19">
        <f t="shared" si="3"/>
        <v>0.02436804728</v>
      </c>
    </row>
    <row r="434">
      <c r="A434" s="6">
        <f>IFERROR(__xludf.DUMMYFUNCTION("""COMPUTED_VALUE"""),43965.0)</f>
        <v>43965</v>
      </c>
      <c r="B434" s="7" t="str">
        <f>IFERROR(__xludf.DUMMYFUNCTION("""COMPUTED_VALUE"""),"Санкт-Петербург Север")</f>
        <v>Санкт-Петербург Север</v>
      </c>
      <c r="C434" s="7">
        <f>IFERROR(__xludf.DUMMYFUNCTION("""COMPUTED_VALUE"""),358387.5)</f>
        <v>358387.5</v>
      </c>
      <c r="D434" s="7">
        <f>IFERROR(__xludf.DUMMYFUNCTION("""COMPUTED_VALUE"""),3.79631505E7)</f>
        <v>37963150.5</v>
      </c>
      <c r="E434" s="7">
        <f>IFERROR(__xludf.DUMMYFUNCTION("""COMPUTED_VALUE"""),2.7483828209E7)</f>
        <v>27483828.21</v>
      </c>
      <c r="F434" s="8">
        <v>506964.83088461537</v>
      </c>
      <c r="G434" s="18">
        <f t="shared" si="1"/>
        <v>20</v>
      </c>
      <c r="H434" s="19">
        <f t="shared" si="2"/>
        <v>38.12904888</v>
      </c>
      <c r="I434" s="19">
        <f t="shared" si="3"/>
        <v>0.01335412958</v>
      </c>
    </row>
    <row r="435">
      <c r="A435" s="9">
        <f>IFERROR(__xludf.DUMMYFUNCTION("""COMPUTED_VALUE"""),43966.0)</f>
        <v>43966</v>
      </c>
      <c r="B435" s="10" t="str">
        <f>IFERROR(__xludf.DUMMYFUNCTION("""COMPUTED_VALUE"""),"Санкт-Петербург Север")</f>
        <v>Санкт-Петербург Север</v>
      </c>
      <c r="C435" s="10">
        <f>IFERROR(__xludf.DUMMYFUNCTION("""COMPUTED_VALUE"""),403261.5)</f>
        <v>403261.5</v>
      </c>
      <c r="D435" s="10">
        <f>IFERROR(__xludf.DUMMYFUNCTION("""COMPUTED_VALUE"""),4.2271377E7)</f>
        <v>42271377</v>
      </c>
      <c r="E435" s="10">
        <f>IFERROR(__xludf.DUMMYFUNCTION("""COMPUTED_VALUE"""),3.1105053391E7)</f>
        <v>31105053.39</v>
      </c>
      <c r="F435" s="11">
        <v>571050.764276923</v>
      </c>
      <c r="G435" s="18">
        <f t="shared" si="1"/>
        <v>20</v>
      </c>
      <c r="H435" s="19">
        <f t="shared" si="2"/>
        <v>35.89874439</v>
      </c>
      <c r="I435" s="19">
        <f t="shared" si="3"/>
        <v>0.01350915927</v>
      </c>
    </row>
    <row r="436">
      <c r="A436" s="6">
        <f>IFERROR(__xludf.DUMMYFUNCTION("""COMPUTED_VALUE"""),43978.0)</f>
        <v>43978</v>
      </c>
      <c r="B436" s="7" t="str">
        <f>IFERROR(__xludf.DUMMYFUNCTION("""COMPUTED_VALUE"""),"Волгоград")</f>
        <v>Волгоград</v>
      </c>
      <c r="C436" s="7">
        <f>IFERROR(__xludf.DUMMYFUNCTION("""COMPUTED_VALUE"""),69010.5)</f>
        <v>69010.5</v>
      </c>
      <c r="D436" s="7">
        <f>IFERROR(__xludf.DUMMYFUNCTION("""COMPUTED_VALUE"""),5985894.0)</f>
        <v>5985894</v>
      </c>
      <c r="E436" s="7">
        <f>IFERROR(__xludf.DUMMYFUNCTION("""COMPUTED_VALUE"""),4624968.49)</f>
        <v>4624968.49</v>
      </c>
      <c r="F436" s="8">
        <v>168769.33384615384</v>
      </c>
      <c r="G436" s="18">
        <f t="shared" si="1"/>
        <v>22</v>
      </c>
      <c r="H436" s="19">
        <f t="shared" si="2"/>
        <v>29.42561691</v>
      </c>
      <c r="I436" s="19">
        <f t="shared" si="3"/>
        <v>0.0281945076</v>
      </c>
    </row>
    <row r="437">
      <c r="A437" s="9">
        <f>IFERROR(__xludf.DUMMYFUNCTION("""COMPUTED_VALUE"""),43973.0)</f>
        <v>43973</v>
      </c>
      <c r="B437" s="10" t="str">
        <f>IFERROR(__xludf.DUMMYFUNCTION("""COMPUTED_VALUE"""),"Волгоград")</f>
        <v>Волгоград</v>
      </c>
      <c r="C437" s="10">
        <f>IFERROR(__xludf.DUMMYFUNCTION("""COMPUTED_VALUE"""),75820.5)</f>
        <v>75820.5</v>
      </c>
      <c r="D437" s="10">
        <f>IFERROR(__xludf.DUMMYFUNCTION("""COMPUTED_VALUE"""),5943489.0)</f>
        <v>5943489</v>
      </c>
      <c r="E437" s="10">
        <f>IFERROR(__xludf.DUMMYFUNCTION("""COMPUTED_VALUE"""),5046963.672)</f>
        <v>5046963.672</v>
      </c>
      <c r="F437" s="11">
        <v>196334.07284615384</v>
      </c>
      <c r="G437" s="18">
        <f t="shared" si="1"/>
        <v>21</v>
      </c>
      <c r="H437" s="19">
        <f t="shared" si="2"/>
        <v>17.76365725</v>
      </c>
      <c r="I437" s="19">
        <f t="shared" si="3"/>
        <v>0.03303347122</v>
      </c>
    </row>
    <row r="438">
      <c r="A438" s="6">
        <f>IFERROR(__xludf.DUMMYFUNCTION("""COMPUTED_VALUE"""),43983.0)</f>
        <v>43983</v>
      </c>
      <c r="B438" s="7" t="str">
        <f>IFERROR(__xludf.DUMMYFUNCTION("""COMPUTED_VALUE"""),"Волгоград")</f>
        <v>Волгоград</v>
      </c>
      <c r="C438" s="7">
        <f>IFERROR(__xludf.DUMMYFUNCTION("""COMPUTED_VALUE"""),64740.0)</f>
        <v>64740</v>
      </c>
      <c r="D438" s="7">
        <f>IFERROR(__xludf.DUMMYFUNCTION("""COMPUTED_VALUE"""),5800290.0)</f>
        <v>5800290</v>
      </c>
      <c r="E438" s="7">
        <f>IFERROR(__xludf.DUMMYFUNCTION("""COMPUTED_VALUE"""),4332158.433)</f>
        <v>4332158.433</v>
      </c>
      <c r="F438" s="8">
        <v>205428.24997692305</v>
      </c>
      <c r="G438" s="18">
        <f t="shared" si="1"/>
        <v>23</v>
      </c>
      <c r="H438" s="19">
        <f t="shared" si="2"/>
        <v>33.88914763</v>
      </c>
      <c r="I438" s="19">
        <f t="shared" si="3"/>
        <v>0.03541689294</v>
      </c>
    </row>
    <row r="439">
      <c r="A439" s="9">
        <f>IFERROR(__xludf.DUMMYFUNCTION("""COMPUTED_VALUE"""),43962.0)</f>
        <v>43962</v>
      </c>
      <c r="B439" s="10" t="str">
        <f>IFERROR(__xludf.DUMMYFUNCTION("""COMPUTED_VALUE"""),"Волгоград")</f>
        <v>Волгоград</v>
      </c>
      <c r="C439" s="10">
        <f>IFERROR(__xludf.DUMMYFUNCTION("""COMPUTED_VALUE"""),59574.0)</f>
        <v>59574</v>
      </c>
      <c r="D439" s="10">
        <f>IFERROR(__xludf.DUMMYFUNCTION("""COMPUTED_VALUE"""),5178169.5)</f>
        <v>5178169.5</v>
      </c>
      <c r="E439" s="10">
        <f>IFERROR(__xludf.DUMMYFUNCTION("""COMPUTED_VALUE"""),3929032.265)</f>
        <v>3929032.265</v>
      </c>
      <c r="F439" s="11">
        <v>208822.3307692308</v>
      </c>
      <c r="G439" s="18">
        <f t="shared" si="1"/>
        <v>20</v>
      </c>
      <c r="H439" s="19">
        <f t="shared" si="2"/>
        <v>31.79249115</v>
      </c>
      <c r="I439" s="19">
        <f t="shared" si="3"/>
        <v>0.04032744211</v>
      </c>
    </row>
    <row r="440">
      <c r="A440" s="6">
        <f>IFERROR(__xludf.DUMMYFUNCTION("""COMPUTED_VALUE"""),43980.0)</f>
        <v>43980</v>
      </c>
      <c r="B440" s="7" t="str">
        <f>IFERROR(__xludf.DUMMYFUNCTION("""COMPUTED_VALUE"""),"Санкт-Петербург Север")</f>
        <v>Санкт-Петербург Север</v>
      </c>
      <c r="C440" s="7">
        <f>IFERROR(__xludf.DUMMYFUNCTION("""COMPUTED_VALUE"""),524481.0)</f>
        <v>524481</v>
      </c>
      <c r="D440" s="7">
        <f>IFERROR(__xludf.DUMMYFUNCTION("""COMPUTED_VALUE"""),5.4172029E7)</f>
        <v>54172029</v>
      </c>
      <c r="E440" s="7">
        <f>IFERROR(__xludf.DUMMYFUNCTION("""COMPUTED_VALUE"""),4.1382275210999995E7)</f>
        <v>41382275.21</v>
      </c>
      <c r="F440" s="8">
        <v>512623.0388076923</v>
      </c>
      <c r="G440" s="18">
        <f t="shared" si="1"/>
        <v>22</v>
      </c>
      <c r="H440" s="19">
        <f t="shared" si="2"/>
        <v>30.90635719</v>
      </c>
      <c r="I440" s="19">
        <f t="shared" si="3"/>
        <v>0.009462873152</v>
      </c>
    </row>
    <row r="441">
      <c r="A441" s="9">
        <f>IFERROR(__xludf.DUMMYFUNCTION("""COMPUTED_VALUE"""),43969.0)</f>
        <v>43969</v>
      </c>
      <c r="B441" s="10" t="str">
        <f>IFERROR(__xludf.DUMMYFUNCTION("""COMPUTED_VALUE"""),"Волгоград")</f>
        <v>Волгоград</v>
      </c>
      <c r="C441" s="10">
        <f>IFERROR(__xludf.DUMMYFUNCTION("""COMPUTED_VALUE"""),70278.0)</f>
        <v>70278</v>
      </c>
      <c r="D441" s="10">
        <f>IFERROR(__xludf.DUMMYFUNCTION("""COMPUTED_VALUE"""),5798476.5)</f>
        <v>5798476.5</v>
      </c>
      <c r="E441" s="10">
        <f>IFERROR(__xludf.DUMMYFUNCTION("""COMPUTED_VALUE"""),4485664.506)</f>
        <v>4485664.506</v>
      </c>
      <c r="F441" s="11">
        <v>182019.63597692308</v>
      </c>
      <c r="G441" s="18">
        <f t="shared" si="1"/>
        <v>21</v>
      </c>
      <c r="H441" s="19">
        <f t="shared" si="2"/>
        <v>29.26683421</v>
      </c>
      <c r="I441" s="19">
        <f t="shared" si="3"/>
        <v>0.03139094139</v>
      </c>
    </row>
    <row r="442">
      <c r="A442" s="6">
        <f>IFERROR(__xludf.DUMMYFUNCTION("""COMPUTED_VALUE"""),43965.0)</f>
        <v>43965</v>
      </c>
      <c r="B442" s="7" t="str">
        <f>IFERROR(__xludf.DUMMYFUNCTION("""COMPUTED_VALUE"""),"Волгоград")</f>
        <v>Волгоград</v>
      </c>
      <c r="C442" s="7">
        <f>IFERROR(__xludf.DUMMYFUNCTION("""COMPUTED_VALUE"""),63645.0)</f>
        <v>63645</v>
      </c>
      <c r="D442" s="7">
        <f>IFERROR(__xludf.DUMMYFUNCTION("""COMPUTED_VALUE"""),5366602.5)</f>
        <v>5366602.5</v>
      </c>
      <c r="E442" s="7">
        <f>IFERROR(__xludf.DUMMYFUNCTION("""COMPUTED_VALUE"""),4245727.339)</f>
        <v>4245727.339</v>
      </c>
      <c r="F442" s="8">
        <v>137701.4149</v>
      </c>
      <c r="G442" s="18">
        <f t="shared" si="1"/>
        <v>20</v>
      </c>
      <c r="H442" s="19">
        <f t="shared" si="2"/>
        <v>26.40007404</v>
      </c>
      <c r="I442" s="19">
        <f t="shared" si="3"/>
        <v>0.02565895553</v>
      </c>
    </row>
    <row r="443">
      <c r="A443" s="9">
        <f>IFERROR(__xludf.DUMMYFUNCTION("""COMPUTED_VALUE"""),43966.0)</f>
        <v>43966</v>
      </c>
      <c r="B443" s="10" t="str">
        <f>IFERROR(__xludf.DUMMYFUNCTION("""COMPUTED_VALUE"""),"Волгоград")</f>
        <v>Волгоград</v>
      </c>
      <c r="C443" s="10">
        <f>IFERROR(__xludf.DUMMYFUNCTION("""COMPUTED_VALUE"""),75642.0)</f>
        <v>75642</v>
      </c>
      <c r="D443" s="10">
        <f>IFERROR(__xludf.DUMMYFUNCTION("""COMPUTED_VALUE"""),6293952.0)</f>
        <v>6293952</v>
      </c>
      <c r="E443" s="10">
        <f>IFERROR(__xludf.DUMMYFUNCTION("""COMPUTED_VALUE"""),5100877.931)</f>
        <v>5100877.931</v>
      </c>
      <c r="F443" s="11">
        <v>159537.61835384613</v>
      </c>
      <c r="G443" s="18">
        <f t="shared" si="1"/>
        <v>20</v>
      </c>
      <c r="H443" s="19">
        <f t="shared" si="2"/>
        <v>23.38958284</v>
      </c>
      <c r="I443" s="19">
        <f t="shared" si="3"/>
        <v>0.02534776534</v>
      </c>
    </row>
    <row r="444">
      <c r="A444" s="6">
        <f>IFERROR(__xludf.DUMMYFUNCTION("""COMPUTED_VALUE"""),43978.0)</f>
        <v>43978</v>
      </c>
      <c r="B444" s="7" t="str">
        <f>IFERROR(__xludf.DUMMYFUNCTION("""COMPUTED_VALUE"""),"Казань")</f>
        <v>Казань</v>
      </c>
      <c r="C444" s="7">
        <f>IFERROR(__xludf.DUMMYFUNCTION("""COMPUTED_VALUE"""),40420.5)</f>
        <v>40420.5</v>
      </c>
      <c r="D444" s="7">
        <f>IFERROR(__xludf.DUMMYFUNCTION("""COMPUTED_VALUE"""),3780852.0)</f>
        <v>3780852</v>
      </c>
      <c r="E444" s="7">
        <f>IFERROR(__xludf.DUMMYFUNCTION("""COMPUTED_VALUE"""),2893288.4459999995)</f>
        <v>2893288.446</v>
      </c>
      <c r="F444" s="8">
        <v>291528.45785384614</v>
      </c>
      <c r="G444" s="18">
        <f t="shared" si="1"/>
        <v>22</v>
      </c>
      <c r="H444" s="19">
        <f t="shared" si="2"/>
        <v>30.67663562</v>
      </c>
      <c r="I444" s="19">
        <f t="shared" si="3"/>
        <v>0.07710655108</v>
      </c>
    </row>
    <row r="445">
      <c r="A445" s="9">
        <f>IFERROR(__xludf.DUMMYFUNCTION("""COMPUTED_VALUE"""),43973.0)</f>
        <v>43973</v>
      </c>
      <c r="B445" s="10" t="str">
        <f>IFERROR(__xludf.DUMMYFUNCTION("""COMPUTED_VALUE"""),"Казань")</f>
        <v>Казань</v>
      </c>
      <c r="C445" s="10">
        <f>IFERROR(__xludf.DUMMYFUNCTION("""COMPUTED_VALUE"""),53838.0)</f>
        <v>53838</v>
      </c>
      <c r="D445" s="10">
        <f>IFERROR(__xludf.DUMMYFUNCTION("""COMPUTED_VALUE"""),4840833.0)</f>
        <v>4840833</v>
      </c>
      <c r="E445" s="10">
        <f>IFERROR(__xludf.DUMMYFUNCTION("""COMPUTED_VALUE"""),4017247.747)</f>
        <v>4017247.747</v>
      </c>
      <c r="F445" s="11">
        <v>147709.19777692307</v>
      </c>
      <c r="G445" s="18">
        <f t="shared" si="1"/>
        <v>21</v>
      </c>
      <c r="H445" s="19">
        <f t="shared" si="2"/>
        <v>20.50123131</v>
      </c>
      <c r="I445" s="19">
        <f t="shared" si="3"/>
        <v>0.03051317775</v>
      </c>
    </row>
    <row r="446">
      <c r="A446" s="6">
        <f>IFERROR(__xludf.DUMMYFUNCTION("""COMPUTED_VALUE"""),43983.0)</f>
        <v>43983</v>
      </c>
      <c r="B446" s="7" t="str">
        <f>IFERROR(__xludf.DUMMYFUNCTION("""COMPUTED_VALUE"""),"Казань")</f>
        <v>Казань</v>
      </c>
      <c r="C446" s="7">
        <f>IFERROR(__xludf.DUMMYFUNCTION("""COMPUTED_VALUE"""),40528.5)</f>
        <v>40528.5</v>
      </c>
      <c r="D446" s="7">
        <f>IFERROR(__xludf.DUMMYFUNCTION("""COMPUTED_VALUE"""),3865251.0)</f>
        <v>3865251</v>
      </c>
      <c r="E446" s="7">
        <f>IFERROR(__xludf.DUMMYFUNCTION("""COMPUTED_VALUE"""),2972895.417)</f>
        <v>2972895.417</v>
      </c>
      <c r="F446" s="8">
        <v>336001.0803923077</v>
      </c>
      <c r="G446" s="18">
        <f t="shared" si="1"/>
        <v>23</v>
      </c>
      <c r="H446" s="19">
        <f t="shared" si="2"/>
        <v>30.01637992</v>
      </c>
      <c r="I446" s="19">
        <f t="shared" si="3"/>
        <v>0.08692865752</v>
      </c>
    </row>
    <row r="447">
      <c r="A447" s="9">
        <f>IFERROR(__xludf.DUMMYFUNCTION("""COMPUTED_VALUE"""),43962.0)</f>
        <v>43962</v>
      </c>
      <c r="B447" s="10" t="str">
        <f>IFERROR(__xludf.DUMMYFUNCTION("""COMPUTED_VALUE"""),"Казань")</f>
        <v>Казань</v>
      </c>
      <c r="C447" s="10">
        <f>IFERROR(__xludf.DUMMYFUNCTION("""COMPUTED_VALUE"""),32733.0)</f>
        <v>32733</v>
      </c>
      <c r="D447" s="10">
        <f>IFERROR(__xludf.DUMMYFUNCTION("""COMPUTED_VALUE"""),3079630.5)</f>
        <v>3079630.5</v>
      </c>
      <c r="E447" s="10">
        <f>IFERROR(__xludf.DUMMYFUNCTION("""COMPUTED_VALUE"""),2364369.401)</f>
        <v>2364369.401</v>
      </c>
      <c r="F447" s="11">
        <v>281373.5702153846</v>
      </c>
      <c r="G447" s="18">
        <f t="shared" si="1"/>
        <v>20</v>
      </c>
      <c r="H447" s="19">
        <f t="shared" si="2"/>
        <v>30.25166451</v>
      </c>
      <c r="I447" s="19">
        <f t="shared" si="3"/>
        <v>0.09136601622</v>
      </c>
    </row>
    <row r="448">
      <c r="A448" s="6">
        <f>IFERROR(__xludf.DUMMYFUNCTION("""COMPUTED_VALUE"""),43980.0)</f>
        <v>43980</v>
      </c>
      <c r="B448" s="7" t="str">
        <f>IFERROR(__xludf.DUMMYFUNCTION("""COMPUTED_VALUE"""),"Волгоград")</f>
        <v>Волгоград</v>
      </c>
      <c r="C448" s="7">
        <f>IFERROR(__xludf.DUMMYFUNCTION("""COMPUTED_VALUE"""),84433.5)</f>
        <v>84433.5</v>
      </c>
      <c r="D448" s="7">
        <f>IFERROR(__xludf.DUMMYFUNCTION("""COMPUTED_VALUE"""),7228395.0)</f>
        <v>7228395</v>
      </c>
      <c r="E448" s="7">
        <f>IFERROR(__xludf.DUMMYFUNCTION("""COMPUTED_VALUE"""),5795765.936)</f>
        <v>5795765.936</v>
      </c>
      <c r="F448" s="8">
        <v>264121.66047692305</v>
      </c>
      <c r="G448" s="18">
        <f t="shared" si="1"/>
        <v>22</v>
      </c>
      <c r="H448" s="19">
        <f t="shared" si="2"/>
        <v>24.71854591</v>
      </c>
      <c r="I448" s="19">
        <f t="shared" si="3"/>
        <v>0.03653946145</v>
      </c>
    </row>
    <row r="449">
      <c r="A449" s="9">
        <f>IFERROR(__xludf.DUMMYFUNCTION("""COMPUTED_VALUE"""),43969.0)</f>
        <v>43969</v>
      </c>
      <c r="B449" s="10" t="str">
        <f>IFERROR(__xludf.DUMMYFUNCTION("""COMPUTED_VALUE"""),"Казань")</f>
        <v>Казань</v>
      </c>
      <c r="C449" s="10">
        <f>IFERROR(__xludf.DUMMYFUNCTION("""COMPUTED_VALUE"""),36655.5)</f>
        <v>36655.5</v>
      </c>
      <c r="D449" s="10">
        <f>IFERROR(__xludf.DUMMYFUNCTION("""COMPUTED_VALUE"""),3360135.0)</f>
        <v>3360135</v>
      </c>
      <c r="E449" s="10">
        <f>IFERROR(__xludf.DUMMYFUNCTION("""COMPUTED_VALUE"""),2596293.8219999997)</f>
        <v>2596293.822</v>
      </c>
      <c r="F449" s="11">
        <v>202175.53846153847</v>
      </c>
      <c r="G449" s="18">
        <f t="shared" si="1"/>
        <v>21</v>
      </c>
      <c r="H449" s="19">
        <f t="shared" si="2"/>
        <v>29.42044431</v>
      </c>
      <c r="I449" s="19">
        <f t="shared" si="3"/>
        <v>0.06016887371</v>
      </c>
    </row>
    <row r="450">
      <c r="A450" s="6">
        <f>IFERROR(__xludf.DUMMYFUNCTION("""COMPUTED_VALUE"""),43965.0)</f>
        <v>43965</v>
      </c>
      <c r="B450" s="7" t="str">
        <f>IFERROR(__xludf.DUMMYFUNCTION("""COMPUTED_VALUE"""),"Казань")</f>
        <v>Казань</v>
      </c>
      <c r="C450" s="7">
        <f>IFERROR(__xludf.DUMMYFUNCTION("""COMPUTED_VALUE"""),33886.5)</f>
        <v>33886.5</v>
      </c>
      <c r="D450" s="7">
        <f>IFERROR(__xludf.DUMMYFUNCTION("""COMPUTED_VALUE"""),3166479.0)</f>
        <v>3166479</v>
      </c>
      <c r="E450" s="7">
        <f>IFERROR(__xludf.DUMMYFUNCTION("""COMPUTED_VALUE"""),2522496.074)</f>
        <v>2522496.074</v>
      </c>
      <c r="F450" s="8">
        <v>156584.5876923077</v>
      </c>
      <c r="G450" s="18">
        <f t="shared" si="1"/>
        <v>20</v>
      </c>
      <c r="H450" s="19">
        <f t="shared" si="2"/>
        <v>25.52959081</v>
      </c>
      <c r="I450" s="19">
        <f t="shared" si="3"/>
        <v>0.04945069514</v>
      </c>
    </row>
    <row r="451">
      <c r="A451" s="9">
        <f>IFERROR(__xludf.DUMMYFUNCTION("""COMPUTED_VALUE"""),43966.0)</f>
        <v>43966</v>
      </c>
      <c r="B451" s="10" t="str">
        <f>IFERROR(__xludf.DUMMYFUNCTION("""COMPUTED_VALUE"""),"Казань")</f>
        <v>Казань</v>
      </c>
      <c r="C451" s="10">
        <f>IFERROR(__xludf.DUMMYFUNCTION("""COMPUTED_VALUE"""),41697.0)</f>
        <v>41697</v>
      </c>
      <c r="D451" s="10">
        <f>IFERROR(__xludf.DUMMYFUNCTION("""COMPUTED_VALUE"""),3772258.5)</f>
        <v>3772258.5</v>
      </c>
      <c r="E451" s="10">
        <f>IFERROR(__xludf.DUMMYFUNCTION("""COMPUTED_VALUE"""),3092823.668)</f>
        <v>3092823.668</v>
      </c>
      <c r="F451" s="11">
        <v>167669.98904615385</v>
      </c>
      <c r="G451" s="18">
        <f t="shared" si="1"/>
        <v>20</v>
      </c>
      <c r="H451" s="19">
        <f t="shared" si="2"/>
        <v>21.96810762</v>
      </c>
      <c r="I451" s="19">
        <f t="shared" si="3"/>
        <v>0.04444817052</v>
      </c>
    </row>
    <row r="452">
      <c r="A452" s="6">
        <f>IFERROR(__xludf.DUMMYFUNCTION("""COMPUTED_VALUE"""),43980.0)</f>
        <v>43980</v>
      </c>
      <c r="B452" s="7" t="str">
        <f>IFERROR(__xludf.DUMMYFUNCTION("""COMPUTED_VALUE"""),"Казань")</f>
        <v>Казань</v>
      </c>
      <c r="C452" s="7">
        <f>IFERROR(__xludf.DUMMYFUNCTION("""COMPUTED_VALUE"""),44569.5)</f>
        <v>44569.5</v>
      </c>
      <c r="D452" s="7">
        <f>IFERROR(__xludf.DUMMYFUNCTION("""COMPUTED_VALUE"""),4108596.0)</f>
        <v>4108596</v>
      </c>
      <c r="E452" s="7">
        <f>IFERROR(__xludf.DUMMYFUNCTION("""COMPUTED_VALUE"""),3229427.083)</f>
        <v>3229427.083</v>
      </c>
      <c r="F452" s="8">
        <v>121448.35925384614</v>
      </c>
      <c r="G452" s="18">
        <f t="shared" si="1"/>
        <v>22</v>
      </c>
      <c r="H452" s="19">
        <f t="shared" si="2"/>
        <v>27.22368068</v>
      </c>
      <c r="I452" s="19">
        <f t="shared" si="3"/>
        <v>0.02955957686</v>
      </c>
    </row>
    <row r="453">
      <c r="A453" s="9">
        <f>IFERROR(__xludf.DUMMYFUNCTION("""COMPUTED_VALUE"""),43978.0)</f>
        <v>43978</v>
      </c>
      <c r="B453" s="10" t="str">
        <f>IFERROR(__xludf.DUMMYFUNCTION("""COMPUTED_VALUE"""),"Пермь")</f>
        <v>Пермь</v>
      </c>
      <c r="C453" s="10">
        <f>IFERROR(__xludf.DUMMYFUNCTION("""COMPUTED_VALUE"""),18069.0)</f>
        <v>18069</v>
      </c>
      <c r="D453" s="10">
        <f>IFERROR(__xludf.DUMMYFUNCTION("""COMPUTED_VALUE"""),1603084.5)</f>
        <v>1603084.5</v>
      </c>
      <c r="E453" s="10">
        <f>IFERROR(__xludf.DUMMYFUNCTION("""COMPUTED_VALUE"""),1312709.009)</f>
        <v>1312709.009</v>
      </c>
      <c r="F453" s="11">
        <v>241760.2076923077</v>
      </c>
      <c r="G453" s="18">
        <f t="shared" si="1"/>
        <v>22</v>
      </c>
      <c r="H453" s="19">
        <f t="shared" si="2"/>
        <v>22.12032438</v>
      </c>
      <c r="I453" s="19">
        <f t="shared" si="3"/>
        <v>0.1508093976</v>
      </c>
    </row>
    <row r="454">
      <c r="A454" s="6">
        <f>IFERROR(__xludf.DUMMYFUNCTION("""COMPUTED_VALUE"""),43973.0)</f>
        <v>43973</v>
      </c>
      <c r="B454" s="7" t="str">
        <f>IFERROR(__xludf.DUMMYFUNCTION("""COMPUTED_VALUE"""),"Пермь")</f>
        <v>Пермь</v>
      </c>
      <c r="C454" s="7">
        <f>IFERROR(__xludf.DUMMYFUNCTION("""COMPUTED_VALUE"""),21483.0)</f>
        <v>21483</v>
      </c>
      <c r="D454" s="7">
        <f>IFERROR(__xludf.DUMMYFUNCTION("""COMPUTED_VALUE"""),1774329.0)</f>
        <v>1774329</v>
      </c>
      <c r="E454" s="7">
        <f>IFERROR(__xludf.DUMMYFUNCTION("""COMPUTED_VALUE"""),1460215.51)</f>
        <v>1460215.51</v>
      </c>
      <c r="F454" s="8">
        <v>181509.9923076923</v>
      </c>
      <c r="G454" s="18">
        <f t="shared" si="1"/>
        <v>21</v>
      </c>
      <c r="H454" s="19">
        <f t="shared" si="2"/>
        <v>21.51144731</v>
      </c>
      <c r="I454" s="19">
        <f t="shared" si="3"/>
        <v>0.1022978221</v>
      </c>
    </row>
    <row r="455">
      <c r="A455" s="9">
        <f>IFERROR(__xludf.DUMMYFUNCTION("""COMPUTED_VALUE"""),43983.0)</f>
        <v>43983</v>
      </c>
      <c r="B455" s="10" t="str">
        <f>IFERROR(__xludf.DUMMYFUNCTION("""COMPUTED_VALUE"""),"Пермь")</f>
        <v>Пермь</v>
      </c>
      <c r="C455" s="10">
        <f>IFERROR(__xludf.DUMMYFUNCTION("""COMPUTED_VALUE"""),16687.5)</f>
        <v>16687.5</v>
      </c>
      <c r="D455" s="10">
        <f>IFERROR(__xludf.DUMMYFUNCTION("""COMPUTED_VALUE"""),1526608.5)</f>
        <v>1526608.5</v>
      </c>
      <c r="E455" s="10">
        <f>IFERROR(__xludf.DUMMYFUNCTION("""COMPUTED_VALUE"""),1202670.0489999999)</f>
        <v>1202670.049</v>
      </c>
      <c r="F455" s="11">
        <v>340349.5336923077</v>
      </c>
      <c r="G455" s="18">
        <f t="shared" si="1"/>
        <v>23</v>
      </c>
      <c r="H455" s="19">
        <f t="shared" si="2"/>
        <v>26.93493958</v>
      </c>
      <c r="I455" s="19">
        <f t="shared" si="3"/>
        <v>0.2229448701</v>
      </c>
    </row>
    <row r="456">
      <c r="A456" s="6">
        <f>IFERROR(__xludf.DUMMYFUNCTION("""COMPUTED_VALUE"""),43962.0)</f>
        <v>43962</v>
      </c>
      <c r="B456" s="7" t="str">
        <f>IFERROR(__xludf.DUMMYFUNCTION("""COMPUTED_VALUE"""),"Пермь")</f>
        <v>Пермь</v>
      </c>
      <c r="C456" s="7">
        <f>IFERROR(__xludf.DUMMYFUNCTION("""COMPUTED_VALUE"""),12238.5)</f>
        <v>12238.5</v>
      </c>
      <c r="D456" s="7">
        <f>IFERROR(__xludf.DUMMYFUNCTION("""COMPUTED_VALUE"""),1096002.0)</f>
        <v>1096002</v>
      </c>
      <c r="E456" s="7">
        <f>IFERROR(__xludf.DUMMYFUNCTION("""COMPUTED_VALUE"""),872395.086)</f>
        <v>872395.086</v>
      </c>
      <c r="F456" s="8">
        <v>218895.4076923077</v>
      </c>
      <c r="G456" s="18">
        <f t="shared" si="1"/>
        <v>20</v>
      </c>
      <c r="H456" s="19">
        <f t="shared" si="2"/>
        <v>25.63138165</v>
      </c>
      <c r="I456" s="19">
        <f t="shared" si="3"/>
        <v>0.1997217229</v>
      </c>
    </row>
    <row r="457">
      <c r="A457" s="9">
        <f>IFERROR(__xludf.DUMMYFUNCTION("""COMPUTED_VALUE"""),43969.0)</f>
        <v>43969</v>
      </c>
      <c r="B457" s="10" t="str">
        <f>IFERROR(__xludf.DUMMYFUNCTION("""COMPUTED_VALUE"""),"Пермь")</f>
        <v>Пермь</v>
      </c>
      <c r="C457" s="10">
        <f>IFERROR(__xludf.DUMMYFUNCTION("""COMPUTED_VALUE"""),14290.5)</f>
        <v>14290.5</v>
      </c>
      <c r="D457" s="10">
        <f>IFERROR(__xludf.DUMMYFUNCTION("""COMPUTED_VALUE"""),1246162.5)</f>
        <v>1246162.5</v>
      </c>
      <c r="E457" s="10">
        <f>IFERROR(__xludf.DUMMYFUNCTION("""COMPUTED_VALUE"""),983143.4899999999)</f>
        <v>983143.49</v>
      </c>
      <c r="F457" s="11">
        <v>263823.3461538461</v>
      </c>
      <c r="G457" s="18">
        <f t="shared" si="1"/>
        <v>21</v>
      </c>
      <c r="H457" s="19">
        <f t="shared" si="2"/>
        <v>26.75286087</v>
      </c>
      <c r="I457" s="19">
        <f t="shared" si="3"/>
        <v>0.2117086224</v>
      </c>
    </row>
    <row r="458">
      <c r="A458" s="6">
        <f>IFERROR(__xludf.DUMMYFUNCTION("""COMPUTED_VALUE"""),43965.0)</f>
        <v>43965</v>
      </c>
      <c r="B458" s="7" t="str">
        <f>IFERROR(__xludf.DUMMYFUNCTION("""COMPUTED_VALUE"""),"Пермь")</f>
        <v>Пермь</v>
      </c>
      <c r="C458" s="7">
        <f>IFERROR(__xludf.DUMMYFUNCTION("""COMPUTED_VALUE"""),14385.0)</f>
        <v>14385</v>
      </c>
      <c r="D458" s="7">
        <f>IFERROR(__xludf.DUMMYFUNCTION("""COMPUTED_VALUE"""),1223491.5)</f>
        <v>1223491.5</v>
      </c>
      <c r="E458" s="7">
        <f>IFERROR(__xludf.DUMMYFUNCTION("""COMPUTED_VALUE"""),977925.731)</f>
        <v>977925.731</v>
      </c>
      <c r="F458" s="8">
        <v>285708.40769230766</v>
      </c>
      <c r="G458" s="18">
        <f t="shared" si="1"/>
        <v>20</v>
      </c>
      <c r="H458" s="19">
        <f t="shared" si="2"/>
        <v>25.11088125</v>
      </c>
      <c r="I458" s="19">
        <f t="shared" si="3"/>
        <v>0.2335189151</v>
      </c>
    </row>
    <row r="459">
      <c r="A459" s="9">
        <f>IFERROR(__xludf.DUMMYFUNCTION("""COMPUTED_VALUE"""),43966.0)</f>
        <v>43966</v>
      </c>
      <c r="B459" s="10" t="str">
        <f>IFERROR(__xludf.DUMMYFUNCTION("""COMPUTED_VALUE"""),"Пермь")</f>
        <v>Пермь</v>
      </c>
      <c r="C459" s="10">
        <f>IFERROR(__xludf.DUMMYFUNCTION("""COMPUTED_VALUE"""),16498.5)</f>
        <v>16498.5</v>
      </c>
      <c r="D459" s="10">
        <f>IFERROR(__xludf.DUMMYFUNCTION("""COMPUTED_VALUE"""),1370482.5)</f>
        <v>1370482.5</v>
      </c>
      <c r="E459" s="10">
        <f>IFERROR(__xludf.DUMMYFUNCTION("""COMPUTED_VALUE"""),1095453.123)</f>
        <v>1095453.123</v>
      </c>
      <c r="F459" s="11">
        <v>250663.8153846154</v>
      </c>
      <c r="G459" s="18">
        <f t="shared" si="1"/>
        <v>20</v>
      </c>
      <c r="H459" s="19">
        <f t="shared" si="2"/>
        <v>25.10644876</v>
      </c>
      <c r="I459" s="19">
        <f t="shared" si="3"/>
        <v>0.1829018724</v>
      </c>
    </row>
    <row r="460">
      <c r="A460" s="6">
        <f>IFERROR(__xludf.DUMMYFUNCTION("""COMPUTED_VALUE"""),43978.0)</f>
        <v>43978</v>
      </c>
      <c r="B460" s="7" t="str">
        <f>IFERROR(__xludf.DUMMYFUNCTION("""COMPUTED_VALUE"""),"Ростов-на-Дону")</f>
        <v>Ростов-на-Дону</v>
      </c>
      <c r="C460" s="7">
        <f>IFERROR(__xludf.DUMMYFUNCTION("""COMPUTED_VALUE"""),13203.0)</f>
        <v>13203</v>
      </c>
      <c r="D460" s="7">
        <f>IFERROR(__xludf.DUMMYFUNCTION("""COMPUTED_VALUE"""),1211457.0)</f>
        <v>1211457</v>
      </c>
      <c r="E460" s="7">
        <f>IFERROR(__xludf.DUMMYFUNCTION("""COMPUTED_VALUE"""),964554.2109999999)</f>
        <v>964554.211</v>
      </c>
      <c r="F460" s="8">
        <v>156117.80846153846</v>
      </c>
      <c r="G460" s="18">
        <f t="shared" si="1"/>
        <v>22</v>
      </c>
      <c r="H460" s="19">
        <f t="shared" si="2"/>
        <v>25.59760625</v>
      </c>
      <c r="I460" s="19">
        <f t="shared" si="3"/>
        <v>0.1288678083</v>
      </c>
    </row>
    <row r="461">
      <c r="A461" s="9">
        <f>IFERROR(__xludf.DUMMYFUNCTION("""COMPUTED_VALUE"""),43973.0)</f>
        <v>43973</v>
      </c>
      <c r="B461" s="10" t="str">
        <f>IFERROR(__xludf.DUMMYFUNCTION("""COMPUTED_VALUE"""),"Ростов-на-Дону")</f>
        <v>Ростов-на-Дону</v>
      </c>
      <c r="C461" s="10">
        <f>IFERROR(__xludf.DUMMYFUNCTION("""COMPUTED_VALUE"""),15802.5)</f>
        <v>15802.5</v>
      </c>
      <c r="D461" s="10">
        <f>IFERROR(__xludf.DUMMYFUNCTION("""COMPUTED_VALUE"""),1411909.5)</f>
        <v>1411909.5</v>
      </c>
      <c r="E461" s="10">
        <f>IFERROR(__xludf.DUMMYFUNCTION("""COMPUTED_VALUE"""),1158841.584)</f>
        <v>1158841.584</v>
      </c>
      <c r="F461" s="11">
        <v>186035.5973846154</v>
      </c>
      <c r="G461" s="18">
        <f t="shared" si="1"/>
        <v>21</v>
      </c>
      <c r="H461" s="19">
        <f t="shared" si="2"/>
        <v>21.83800784</v>
      </c>
      <c r="I461" s="19">
        <f t="shared" si="3"/>
        <v>0.131761701</v>
      </c>
    </row>
    <row r="462">
      <c r="A462" s="6">
        <f>IFERROR(__xludf.DUMMYFUNCTION("""COMPUTED_VALUE"""),43983.0)</f>
        <v>43983</v>
      </c>
      <c r="B462" s="7" t="str">
        <f>IFERROR(__xludf.DUMMYFUNCTION("""COMPUTED_VALUE"""),"Ростов-на-Дону")</f>
        <v>Ростов-на-Дону</v>
      </c>
      <c r="C462" s="7">
        <f>IFERROR(__xludf.DUMMYFUNCTION("""COMPUTED_VALUE"""),16476.0)</f>
        <v>16476</v>
      </c>
      <c r="D462" s="7">
        <f>IFERROR(__xludf.DUMMYFUNCTION("""COMPUTED_VALUE"""),1565632.5)</f>
        <v>1565632.5</v>
      </c>
      <c r="E462" s="7">
        <f>IFERROR(__xludf.DUMMYFUNCTION("""COMPUTED_VALUE"""),1234060.991)</f>
        <v>1234060.991</v>
      </c>
      <c r="F462" s="8">
        <v>194827.87672307692</v>
      </c>
      <c r="G462" s="18">
        <f t="shared" si="1"/>
        <v>23</v>
      </c>
      <c r="H462" s="19">
        <f t="shared" si="2"/>
        <v>26.86832429</v>
      </c>
      <c r="I462" s="19">
        <f t="shared" si="3"/>
        <v>0.1244403631</v>
      </c>
    </row>
    <row r="463">
      <c r="A463" s="9">
        <f>IFERROR(__xludf.DUMMYFUNCTION("""COMPUTED_VALUE"""),43962.0)</f>
        <v>43962</v>
      </c>
      <c r="B463" s="10" t="str">
        <f>IFERROR(__xludf.DUMMYFUNCTION("""COMPUTED_VALUE"""),"Ростов-на-Дону")</f>
        <v>Ростов-на-Дону</v>
      </c>
      <c r="C463" s="10">
        <f>IFERROR(__xludf.DUMMYFUNCTION("""COMPUTED_VALUE"""),12654.0)</f>
        <v>12654</v>
      </c>
      <c r="D463" s="10">
        <f>IFERROR(__xludf.DUMMYFUNCTION("""COMPUTED_VALUE"""),1081158.0)</f>
        <v>1081158</v>
      </c>
      <c r="E463" s="10">
        <f>IFERROR(__xludf.DUMMYFUNCTION("""COMPUTED_VALUE"""),927698.8229999999)</f>
        <v>927698.823</v>
      </c>
      <c r="F463" s="11">
        <v>197299.08136923076</v>
      </c>
      <c r="G463" s="18">
        <f t="shared" si="1"/>
        <v>20</v>
      </c>
      <c r="H463" s="19">
        <f t="shared" si="2"/>
        <v>16.54191783</v>
      </c>
      <c r="I463" s="19">
        <f t="shared" si="3"/>
        <v>0.1824886662</v>
      </c>
    </row>
    <row r="464">
      <c r="A464" s="6">
        <f>IFERROR(__xludf.DUMMYFUNCTION("""COMPUTED_VALUE"""),43980.0)</f>
        <v>43980</v>
      </c>
      <c r="B464" s="7" t="str">
        <f>IFERROR(__xludf.DUMMYFUNCTION("""COMPUTED_VALUE"""),"Пермь")</f>
        <v>Пермь</v>
      </c>
      <c r="C464" s="7">
        <f>IFERROR(__xludf.DUMMYFUNCTION("""COMPUTED_VALUE"""),19647.0)</f>
        <v>19647</v>
      </c>
      <c r="D464" s="7">
        <f>IFERROR(__xludf.DUMMYFUNCTION("""COMPUTED_VALUE"""),1764669.0)</f>
        <v>1764669</v>
      </c>
      <c r="E464" s="7">
        <f>IFERROR(__xludf.DUMMYFUNCTION("""COMPUTED_VALUE"""),1409485.402)</f>
        <v>1409485.402</v>
      </c>
      <c r="F464" s="8">
        <v>182377.32307692306</v>
      </c>
      <c r="G464" s="18">
        <f t="shared" si="1"/>
        <v>22</v>
      </c>
      <c r="H464" s="19">
        <f t="shared" si="2"/>
        <v>25.199523</v>
      </c>
      <c r="I464" s="19">
        <f t="shared" si="3"/>
        <v>0.1033493097</v>
      </c>
    </row>
    <row r="465">
      <c r="A465" s="9">
        <f>IFERROR(__xludf.DUMMYFUNCTION("""COMPUTED_VALUE"""),43969.0)</f>
        <v>43969</v>
      </c>
      <c r="B465" s="10" t="str">
        <f>IFERROR(__xludf.DUMMYFUNCTION("""COMPUTED_VALUE"""),"Ростов-на-Дону")</f>
        <v>Ростов-на-Дону</v>
      </c>
      <c r="C465" s="10">
        <f>IFERROR(__xludf.DUMMYFUNCTION("""COMPUTED_VALUE"""),12450.0)</f>
        <v>12450</v>
      </c>
      <c r="D465" s="10">
        <f>IFERROR(__xludf.DUMMYFUNCTION("""COMPUTED_VALUE"""),1115146.5)</f>
        <v>1115146.5</v>
      </c>
      <c r="E465" s="10">
        <f>IFERROR(__xludf.DUMMYFUNCTION("""COMPUTED_VALUE"""),897555.5109999999)</f>
        <v>897555.511</v>
      </c>
      <c r="F465" s="11">
        <v>150809.61403846153</v>
      </c>
      <c r="G465" s="18">
        <f t="shared" si="1"/>
        <v>21</v>
      </c>
      <c r="H465" s="19">
        <f t="shared" si="2"/>
        <v>24.24262191</v>
      </c>
      <c r="I465" s="19">
        <f t="shared" si="3"/>
        <v>0.1352374904</v>
      </c>
    </row>
    <row r="466">
      <c r="A466" s="6">
        <f>IFERROR(__xludf.DUMMYFUNCTION("""COMPUTED_VALUE"""),43965.0)</f>
        <v>43965</v>
      </c>
      <c r="B466" s="7" t="str">
        <f>IFERROR(__xludf.DUMMYFUNCTION("""COMPUTED_VALUE"""),"Ростов-на-Дону")</f>
        <v>Ростов-на-Дону</v>
      </c>
      <c r="C466" s="7">
        <f>IFERROR(__xludf.DUMMYFUNCTION("""COMPUTED_VALUE"""),11161.5)</f>
        <v>11161.5</v>
      </c>
      <c r="D466" s="7">
        <f>IFERROR(__xludf.DUMMYFUNCTION("""COMPUTED_VALUE"""),963502.5)</f>
        <v>963502.5</v>
      </c>
      <c r="E466" s="7">
        <f>IFERROR(__xludf.DUMMYFUNCTION("""COMPUTED_VALUE"""),812962.6780000001)</f>
        <v>812962.678</v>
      </c>
      <c r="F466" s="8">
        <v>193118.3230769231</v>
      </c>
      <c r="G466" s="18">
        <f t="shared" si="1"/>
        <v>20</v>
      </c>
      <c r="H466" s="19">
        <f t="shared" si="2"/>
        <v>18.51743334</v>
      </c>
      <c r="I466" s="19">
        <f t="shared" si="3"/>
        <v>0.2004336502</v>
      </c>
    </row>
    <row r="467">
      <c r="A467" s="9">
        <f>IFERROR(__xludf.DUMMYFUNCTION("""COMPUTED_VALUE"""),43966.0)</f>
        <v>43966</v>
      </c>
      <c r="B467" s="10" t="str">
        <f>IFERROR(__xludf.DUMMYFUNCTION("""COMPUTED_VALUE"""),"Ростов-на-Дону")</f>
        <v>Ростов-на-Дону</v>
      </c>
      <c r="C467" s="10">
        <f>IFERROR(__xludf.DUMMYFUNCTION("""COMPUTED_VALUE"""),12229.5)</f>
        <v>12229.5</v>
      </c>
      <c r="D467" s="10">
        <f>IFERROR(__xludf.DUMMYFUNCTION("""COMPUTED_VALUE"""),1122730.5)</f>
        <v>1122730.5</v>
      </c>
      <c r="E467" s="10">
        <f>IFERROR(__xludf.DUMMYFUNCTION("""COMPUTED_VALUE"""),921566.447)</f>
        <v>921566.447</v>
      </c>
      <c r="F467" s="11">
        <v>147588.0</v>
      </c>
      <c r="G467" s="18">
        <f t="shared" si="1"/>
        <v>20</v>
      </c>
      <c r="H467" s="19">
        <f t="shared" si="2"/>
        <v>21.82849144</v>
      </c>
      <c r="I467" s="19">
        <f t="shared" si="3"/>
        <v>0.1314545209</v>
      </c>
    </row>
    <row r="468">
      <c r="A468" s="6">
        <f>IFERROR(__xludf.DUMMYFUNCTION("""COMPUTED_VALUE"""),43978.0)</f>
        <v>43978</v>
      </c>
      <c r="B468" s="7" t="str">
        <f>IFERROR(__xludf.DUMMYFUNCTION("""COMPUTED_VALUE"""),"Краснодар")</f>
        <v>Краснодар</v>
      </c>
      <c r="C468" s="7">
        <f>IFERROR(__xludf.DUMMYFUNCTION("""COMPUTED_VALUE"""),28050.0)</f>
        <v>28050</v>
      </c>
      <c r="D468" s="7">
        <f>IFERROR(__xludf.DUMMYFUNCTION("""COMPUTED_VALUE"""),2458555.5)</f>
        <v>2458555.5</v>
      </c>
      <c r="E468" s="7">
        <f>IFERROR(__xludf.DUMMYFUNCTION("""COMPUTED_VALUE"""),1979227.4479999999)</f>
        <v>1979227.448</v>
      </c>
      <c r="F468" s="8">
        <v>122940.53466153846</v>
      </c>
      <c r="G468" s="18">
        <f t="shared" si="1"/>
        <v>22</v>
      </c>
      <c r="H468" s="19">
        <f t="shared" si="2"/>
        <v>24.21793678</v>
      </c>
      <c r="I468" s="19">
        <f t="shared" si="3"/>
        <v>0.0500051899</v>
      </c>
    </row>
    <row r="469">
      <c r="A469" s="9">
        <f>IFERROR(__xludf.DUMMYFUNCTION("""COMPUTED_VALUE"""),43973.0)</f>
        <v>43973</v>
      </c>
      <c r="B469" s="10" t="str">
        <f>IFERROR(__xludf.DUMMYFUNCTION("""COMPUTED_VALUE"""),"Краснодар")</f>
        <v>Краснодар</v>
      </c>
      <c r="C469" s="10">
        <f>IFERROR(__xludf.DUMMYFUNCTION("""COMPUTED_VALUE"""),30781.5)</f>
        <v>30781.5</v>
      </c>
      <c r="D469" s="10">
        <f>IFERROR(__xludf.DUMMYFUNCTION("""COMPUTED_VALUE"""),2540715.0)</f>
        <v>2540715</v>
      </c>
      <c r="E469" s="10">
        <f>IFERROR(__xludf.DUMMYFUNCTION("""COMPUTED_VALUE"""),2108065.569)</f>
        <v>2108065.569</v>
      </c>
      <c r="F469" s="11">
        <v>90381.16923076923</v>
      </c>
      <c r="G469" s="18">
        <f t="shared" si="1"/>
        <v>21</v>
      </c>
      <c r="H469" s="19">
        <f t="shared" si="2"/>
        <v>20.52352817</v>
      </c>
      <c r="I469" s="19">
        <f t="shared" si="3"/>
        <v>0.0355731238</v>
      </c>
    </row>
    <row r="470">
      <c r="A470" s="6">
        <f>IFERROR(__xludf.DUMMYFUNCTION("""COMPUTED_VALUE"""),43983.0)</f>
        <v>43983</v>
      </c>
      <c r="B470" s="7" t="str">
        <f>IFERROR(__xludf.DUMMYFUNCTION("""COMPUTED_VALUE"""),"Краснодар")</f>
        <v>Краснодар</v>
      </c>
      <c r="C470" s="7">
        <f>IFERROR(__xludf.DUMMYFUNCTION("""COMPUTED_VALUE"""),27960.0)</f>
        <v>27960</v>
      </c>
      <c r="D470" s="7">
        <f>IFERROR(__xludf.DUMMYFUNCTION("""COMPUTED_VALUE"""),2538967.5)</f>
        <v>2538967.5</v>
      </c>
      <c r="E470" s="7">
        <f>IFERROR(__xludf.DUMMYFUNCTION("""COMPUTED_VALUE"""),1983277.5959999997)</f>
        <v>1983277.596</v>
      </c>
      <c r="F470" s="8">
        <v>134168.53587692307</v>
      </c>
      <c r="G470" s="18">
        <f t="shared" si="1"/>
        <v>23</v>
      </c>
      <c r="H470" s="19">
        <f t="shared" si="2"/>
        <v>28.01876576</v>
      </c>
      <c r="I470" s="19">
        <f t="shared" si="3"/>
        <v>0.05284373899</v>
      </c>
    </row>
    <row r="471">
      <c r="A471" s="9">
        <f>IFERROR(__xludf.DUMMYFUNCTION("""COMPUTED_VALUE"""),43962.0)</f>
        <v>43962</v>
      </c>
      <c r="B471" s="10" t="str">
        <f>IFERROR(__xludf.DUMMYFUNCTION("""COMPUTED_VALUE"""),"Краснодар")</f>
        <v>Краснодар</v>
      </c>
      <c r="C471" s="10">
        <f>IFERROR(__xludf.DUMMYFUNCTION("""COMPUTED_VALUE"""),23629.5)</f>
        <v>23629.5</v>
      </c>
      <c r="D471" s="10">
        <f>IFERROR(__xludf.DUMMYFUNCTION("""COMPUTED_VALUE"""),2164365.0)</f>
        <v>2164365</v>
      </c>
      <c r="E471" s="10">
        <f>IFERROR(__xludf.DUMMYFUNCTION("""COMPUTED_VALUE"""),1678039.859)</f>
        <v>1678039.859</v>
      </c>
      <c r="F471" s="11">
        <v>151098.71538461538</v>
      </c>
      <c r="G471" s="18">
        <f t="shared" si="1"/>
        <v>20</v>
      </c>
      <c r="H471" s="19">
        <f t="shared" si="2"/>
        <v>28.98173952</v>
      </c>
      <c r="I471" s="19">
        <f t="shared" si="3"/>
        <v>0.0698120305</v>
      </c>
    </row>
    <row r="472">
      <c r="A472" s="6">
        <f>IFERROR(__xludf.DUMMYFUNCTION("""COMPUTED_VALUE"""),43980.0)</f>
        <v>43980</v>
      </c>
      <c r="B472" s="7" t="str">
        <f>IFERROR(__xludf.DUMMYFUNCTION("""COMPUTED_VALUE"""),"Ростов-на-Дону")</f>
        <v>Ростов-на-Дону</v>
      </c>
      <c r="C472" s="7">
        <f>IFERROR(__xludf.DUMMYFUNCTION("""COMPUTED_VALUE"""),17052.0)</f>
        <v>17052</v>
      </c>
      <c r="D472" s="7">
        <f>IFERROR(__xludf.DUMMYFUNCTION("""COMPUTED_VALUE"""),1549020.0)</f>
        <v>1549020</v>
      </c>
      <c r="E472" s="7">
        <f>IFERROR(__xludf.DUMMYFUNCTION("""COMPUTED_VALUE"""),1246591.997)</f>
        <v>1246591.997</v>
      </c>
      <c r="F472" s="8">
        <v>104864.4846153846</v>
      </c>
      <c r="G472" s="18">
        <f t="shared" si="1"/>
        <v>22</v>
      </c>
      <c r="H472" s="19">
        <f t="shared" si="2"/>
        <v>24.26038381</v>
      </c>
      <c r="I472" s="19">
        <f t="shared" si="3"/>
        <v>0.06769730837</v>
      </c>
    </row>
    <row r="473">
      <c r="A473" s="9">
        <f>IFERROR(__xludf.DUMMYFUNCTION("""COMPUTED_VALUE"""),43969.0)</f>
        <v>43969</v>
      </c>
      <c r="B473" s="10" t="str">
        <f>IFERROR(__xludf.DUMMYFUNCTION("""COMPUTED_VALUE"""),"Краснодар")</f>
        <v>Краснодар</v>
      </c>
      <c r="C473" s="10">
        <f>IFERROR(__xludf.DUMMYFUNCTION("""COMPUTED_VALUE"""),27181.5)</f>
        <v>27181.5</v>
      </c>
      <c r="D473" s="10">
        <f>IFERROR(__xludf.DUMMYFUNCTION("""COMPUTED_VALUE"""),2324490.0)</f>
        <v>2324490</v>
      </c>
      <c r="E473" s="10">
        <f>IFERROR(__xludf.DUMMYFUNCTION("""COMPUTED_VALUE"""),1796459.479)</f>
        <v>1796459.479</v>
      </c>
      <c r="F473" s="11">
        <v>129793.76153846155</v>
      </c>
      <c r="G473" s="18">
        <f t="shared" si="1"/>
        <v>21</v>
      </c>
      <c r="H473" s="19">
        <f t="shared" si="2"/>
        <v>29.39284338</v>
      </c>
      <c r="I473" s="19">
        <f t="shared" si="3"/>
        <v>0.05583752201</v>
      </c>
    </row>
    <row r="474">
      <c r="A474" s="6">
        <f>IFERROR(__xludf.DUMMYFUNCTION("""COMPUTED_VALUE"""),43965.0)</f>
        <v>43965</v>
      </c>
      <c r="B474" s="7" t="str">
        <f>IFERROR(__xludf.DUMMYFUNCTION("""COMPUTED_VALUE"""),"Краснодар")</f>
        <v>Краснодар</v>
      </c>
      <c r="C474" s="7">
        <f>IFERROR(__xludf.DUMMYFUNCTION("""COMPUTED_VALUE"""),25656.0)</f>
        <v>25656</v>
      </c>
      <c r="D474" s="7">
        <f>IFERROR(__xludf.DUMMYFUNCTION("""COMPUTED_VALUE"""),2225341.5)</f>
        <v>2225341.5</v>
      </c>
      <c r="E474" s="7">
        <f>IFERROR(__xludf.DUMMYFUNCTION("""COMPUTED_VALUE"""),1766450.28)</f>
        <v>1766450.28</v>
      </c>
      <c r="F474" s="8">
        <v>91828.48910769231</v>
      </c>
      <c r="G474" s="18">
        <f t="shared" si="1"/>
        <v>20</v>
      </c>
      <c r="H474" s="19">
        <f t="shared" si="2"/>
        <v>25.9781566</v>
      </c>
      <c r="I474" s="19">
        <f t="shared" si="3"/>
        <v>0.04126489759</v>
      </c>
    </row>
    <row r="475">
      <c r="A475" s="9">
        <f>IFERROR(__xludf.DUMMYFUNCTION("""COMPUTED_VALUE"""),43966.0)</f>
        <v>43966</v>
      </c>
      <c r="B475" s="10" t="str">
        <f>IFERROR(__xludf.DUMMYFUNCTION("""COMPUTED_VALUE"""),"Краснодар")</f>
        <v>Краснодар</v>
      </c>
      <c r="C475" s="10">
        <f>IFERROR(__xludf.DUMMYFUNCTION("""COMPUTED_VALUE"""),29283.0)</f>
        <v>29283</v>
      </c>
      <c r="D475" s="10">
        <f>IFERROR(__xludf.DUMMYFUNCTION("""COMPUTED_VALUE"""),2477487.0)</f>
        <v>2477487</v>
      </c>
      <c r="E475" s="10">
        <f>IFERROR(__xludf.DUMMYFUNCTION("""COMPUTED_VALUE"""),2005719.3469999998)</f>
        <v>2005719.347</v>
      </c>
      <c r="F475" s="11">
        <v>77264.32873846154</v>
      </c>
      <c r="G475" s="18">
        <f t="shared" si="1"/>
        <v>20</v>
      </c>
      <c r="H475" s="19">
        <f t="shared" si="2"/>
        <v>23.52111993</v>
      </c>
      <c r="I475" s="19">
        <f t="shared" si="3"/>
        <v>0.03118657282</v>
      </c>
    </row>
    <row r="476">
      <c r="A476" s="6">
        <f>IFERROR(__xludf.DUMMYFUNCTION("""COMPUTED_VALUE"""),43980.0)</f>
        <v>43980</v>
      </c>
      <c r="B476" s="7" t="str">
        <f>IFERROR(__xludf.DUMMYFUNCTION("""COMPUTED_VALUE"""),"Краснодар")</f>
        <v>Краснодар</v>
      </c>
      <c r="C476" s="7">
        <f>IFERROR(__xludf.DUMMYFUNCTION("""COMPUTED_VALUE"""),32782.5)</f>
        <v>32782.5</v>
      </c>
      <c r="D476" s="7">
        <f>IFERROR(__xludf.DUMMYFUNCTION("""COMPUTED_VALUE"""),2854741.5)</f>
        <v>2854741.5</v>
      </c>
      <c r="E476" s="7">
        <f>IFERROR(__xludf.DUMMYFUNCTION("""COMPUTED_VALUE"""),2293738.957)</f>
        <v>2293738.957</v>
      </c>
      <c r="F476" s="8">
        <v>58400.7992</v>
      </c>
      <c r="G476" s="18">
        <f t="shared" si="1"/>
        <v>22</v>
      </c>
      <c r="H476" s="19">
        <f t="shared" si="2"/>
        <v>24.45799428</v>
      </c>
      <c r="I476" s="19">
        <f t="shared" si="3"/>
        <v>0.02045747372</v>
      </c>
    </row>
    <row r="477">
      <c r="A477" s="9">
        <f>IFERROR(__xludf.DUMMYFUNCTION("""COMPUTED_VALUE"""),43978.0)</f>
        <v>43978</v>
      </c>
      <c r="B477" s="10" t="str">
        <f>IFERROR(__xludf.DUMMYFUNCTION("""COMPUTED_VALUE"""),"Москва Запад")</f>
        <v>Москва Запад</v>
      </c>
      <c r="C477" s="10">
        <f>IFERROR(__xludf.DUMMYFUNCTION("""COMPUTED_VALUE"""),215592.0)</f>
        <v>215592</v>
      </c>
      <c r="D477" s="10">
        <f>IFERROR(__xludf.DUMMYFUNCTION("""COMPUTED_VALUE"""),2.23423005E7)</f>
        <v>22342300.5</v>
      </c>
      <c r="E477" s="10">
        <f>IFERROR(__xludf.DUMMYFUNCTION("""COMPUTED_VALUE"""),1.6240834603999998E7)</f>
        <v>16240834.6</v>
      </c>
      <c r="F477" s="11">
        <v>285591.72307692305</v>
      </c>
      <c r="G477" s="18">
        <f t="shared" si="1"/>
        <v>22</v>
      </c>
      <c r="H477" s="19">
        <f t="shared" si="2"/>
        <v>37.56867208</v>
      </c>
      <c r="I477" s="19">
        <f t="shared" si="3"/>
        <v>0.01278255671</v>
      </c>
    </row>
    <row r="478">
      <c r="A478" s="6">
        <f>IFERROR(__xludf.DUMMYFUNCTION("""COMPUTED_VALUE"""),43973.0)</f>
        <v>43973</v>
      </c>
      <c r="B478" s="7" t="str">
        <f>IFERROR(__xludf.DUMMYFUNCTION("""COMPUTED_VALUE"""),"Москва Запад")</f>
        <v>Москва Запад</v>
      </c>
      <c r="C478" s="7">
        <f>IFERROR(__xludf.DUMMYFUNCTION("""COMPUTED_VALUE"""),228334.5)</f>
        <v>228334.5</v>
      </c>
      <c r="D478" s="7">
        <f>IFERROR(__xludf.DUMMYFUNCTION("""COMPUTED_VALUE"""),2.23807725E7)</f>
        <v>22380772.5</v>
      </c>
      <c r="E478" s="7">
        <f>IFERROR(__xludf.DUMMYFUNCTION("""COMPUTED_VALUE"""),1.7031004073E7)</f>
        <v>17031004.07</v>
      </c>
      <c r="F478" s="8">
        <v>275436.23846153845</v>
      </c>
      <c r="G478" s="18">
        <f t="shared" si="1"/>
        <v>21</v>
      </c>
      <c r="H478" s="19">
        <f t="shared" si="2"/>
        <v>31.41193792</v>
      </c>
      <c r="I478" s="19">
        <f t="shared" si="3"/>
        <v>0.01230682446</v>
      </c>
    </row>
    <row r="479">
      <c r="A479" s="9">
        <f>IFERROR(__xludf.DUMMYFUNCTION("""COMPUTED_VALUE"""),43983.0)</f>
        <v>43983</v>
      </c>
      <c r="B479" s="10" t="str">
        <f>IFERROR(__xludf.DUMMYFUNCTION("""COMPUTED_VALUE"""),"Москва Запад")</f>
        <v>Москва Запад</v>
      </c>
      <c r="C479" s="10">
        <f>IFERROR(__xludf.DUMMYFUNCTION("""COMPUTED_VALUE"""),188776.5)</f>
        <v>188776.5</v>
      </c>
      <c r="D479" s="10">
        <f>IFERROR(__xludf.DUMMYFUNCTION("""COMPUTED_VALUE"""),1.94653725E7)</f>
        <v>19465372.5</v>
      </c>
      <c r="E479" s="10">
        <f>IFERROR(__xludf.DUMMYFUNCTION("""COMPUTED_VALUE"""),1.4354207141999999E7)</f>
        <v>14354207.14</v>
      </c>
      <c r="F479" s="11">
        <v>467483.70729230763</v>
      </c>
      <c r="G479" s="18">
        <f t="shared" si="1"/>
        <v>23</v>
      </c>
      <c r="H479" s="19">
        <f t="shared" si="2"/>
        <v>35.60743765</v>
      </c>
      <c r="I479" s="19">
        <f t="shared" si="3"/>
        <v>0.02401617063</v>
      </c>
    </row>
    <row r="480">
      <c r="A480" s="6">
        <f>IFERROR(__xludf.DUMMYFUNCTION("""COMPUTED_VALUE"""),43962.0)</f>
        <v>43962</v>
      </c>
      <c r="B480" s="7" t="str">
        <f>IFERROR(__xludf.DUMMYFUNCTION("""COMPUTED_VALUE"""),"Москва Запад")</f>
        <v>Москва Запад</v>
      </c>
      <c r="C480" s="7">
        <f>IFERROR(__xludf.DUMMYFUNCTION("""COMPUTED_VALUE"""),175293.0)</f>
        <v>175293</v>
      </c>
      <c r="D480" s="7">
        <f>IFERROR(__xludf.DUMMYFUNCTION("""COMPUTED_VALUE"""),1.7919144E7)</f>
        <v>17919144</v>
      </c>
      <c r="E480" s="7">
        <f>IFERROR(__xludf.DUMMYFUNCTION("""COMPUTED_VALUE"""),1.2903628609E7)</f>
        <v>12903628.61</v>
      </c>
      <c r="F480" s="8">
        <v>355401.6076923077</v>
      </c>
      <c r="G480" s="18">
        <f t="shared" si="1"/>
        <v>20</v>
      </c>
      <c r="H480" s="19">
        <f t="shared" si="2"/>
        <v>38.8690309</v>
      </c>
      <c r="I480" s="19">
        <f t="shared" si="3"/>
        <v>0.01983362641</v>
      </c>
    </row>
    <row r="481">
      <c r="A481" s="9">
        <f>IFERROR(__xludf.DUMMYFUNCTION("""COMPUTED_VALUE"""),43969.0)</f>
        <v>43969</v>
      </c>
      <c r="B481" s="10" t="str">
        <f>IFERROR(__xludf.DUMMYFUNCTION("""COMPUTED_VALUE"""),"Москва Запад")</f>
        <v>Москва Запад</v>
      </c>
      <c r="C481" s="10">
        <f>IFERROR(__xludf.DUMMYFUNCTION("""COMPUTED_VALUE"""),201999.0)</f>
        <v>201999</v>
      </c>
      <c r="D481" s="10">
        <f>IFERROR(__xludf.DUMMYFUNCTION("""COMPUTED_VALUE"""),2.04224355E7)</f>
        <v>20422435.5</v>
      </c>
      <c r="E481" s="10">
        <f>IFERROR(__xludf.DUMMYFUNCTION("""COMPUTED_VALUE"""),1.4541626939999998E7)</f>
        <v>14541626.94</v>
      </c>
      <c r="F481" s="11">
        <v>279597.8615384615</v>
      </c>
      <c r="G481" s="18">
        <f t="shared" si="1"/>
        <v>21</v>
      </c>
      <c r="H481" s="19">
        <f t="shared" si="2"/>
        <v>40.44120087</v>
      </c>
      <c r="I481" s="19">
        <f t="shared" si="3"/>
        <v>0.01369072075</v>
      </c>
    </row>
    <row r="482">
      <c r="A482" s="6">
        <f>IFERROR(__xludf.DUMMYFUNCTION("""COMPUTED_VALUE"""),43965.0)</f>
        <v>43965</v>
      </c>
      <c r="B482" s="7" t="str">
        <f>IFERROR(__xludf.DUMMYFUNCTION("""COMPUTED_VALUE"""),"Москва Запад")</f>
        <v>Москва Запад</v>
      </c>
      <c r="C482" s="7">
        <f>IFERROR(__xludf.DUMMYFUNCTION("""COMPUTED_VALUE"""),197946.0)</f>
        <v>197946</v>
      </c>
      <c r="D482" s="7">
        <f>IFERROR(__xludf.DUMMYFUNCTION("""COMPUTED_VALUE"""),1.99424355E7)</f>
        <v>19942435.5</v>
      </c>
      <c r="E482" s="7">
        <f>IFERROR(__xludf.DUMMYFUNCTION("""COMPUTED_VALUE"""),1.4561721772999998E7)</f>
        <v>14561721.77</v>
      </c>
      <c r="F482" s="8">
        <v>363750.5569230769</v>
      </c>
      <c r="G482" s="18">
        <f t="shared" si="1"/>
        <v>20</v>
      </c>
      <c r="H482" s="19">
        <f t="shared" si="2"/>
        <v>36.95108182</v>
      </c>
      <c r="I482" s="19">
        <f t="shared" si="3"/>
        <v>0.01824002675</v>
      </c>
    </row>
    <row r="483">
      <c r="A483" s="9">
        <f>IFERROR(__xludf.DUMMYFUNCTION("""COMPUTED_VALUE"""),43966.0)</f>
        <v>43966</v>
      </c>
      <c r="B483" s="10" t="str">
        <f>IFERROR(__xludf.DUMMYFUNCTION("""COMPUTED_VALUE"""),"Москва Запад")</f>
        <v>Москва Запад</v>
      </c>
      <c r="C483" s="10">
        <f>IFERROR(__xludf.DUMMYFUNCTION("""COMPUTED_VALUE"""),230896.5)</f>
        <v>230896.5</v>
      </c>
      <c r="D483" s="10">
        <f>IFERROR(__xludf.DUMMYFUNCTION("""COMPUTED_VALUE"""),2.3085222E7)</f>
        <v>23085222</v>
      </c>
      <c r="E483" s="10">
        <f>IFERROR(__xludf.DUMMYFUNCTION("""COMPUTED_VALUE"""),1.7099721813E7)</f>
        <v>17099721.81</v>
      </c>
      <c r="F483" s="11">
        <v>329754.6307692308</v>
      </c>
      <c r="G483" s="18">
        <f t="shared" si="1"/>
        <v>20</v>
      </c>
      <c r="H483" s="19">
        <f t="shared" si="2"/>
        <v>35.00349452</v>
      </c>
      <c r="I483" s="19">
        <f t="shared" si="3"/>
        <v>0.01428423044</v>
      </c>
    </row>
    <row r="484">
      <c r="A484" s="6">
        <f>IFERROR(__xludf.DUMMYFUNCTION("""COMPUTED_VALUE"""),43978.0)</f>
        <v>43978</v>
      </c>
      <c r="B484" s="7" t="str">
        <f>IFERROR(__xludf.DUMMYFUNCTION("""COMPUTED_VALUE"""),"Москва Восток")</f>
        <v>Москва Восток</v>
      </c>
      <c r="C484" s="7">
        <f>IFERROR(__xludf.DUMMYFUNCTION("""COMPUTED_VALUE"""),203532.0)</f>
        <v>203532</v>
      </c>
      <c r="D484" s="7">
        <f>IFERROR(__xludf.DUMMYFUNCTION("""COMPUTED_VALUE"""),2.09533245E7)</f>
        <v>20953324.5</v>
      </c>
      <c r="E484" s="7">
        <f>IFERROR(__xludf.DUMMYFUNCTION("""COMPUTED_VALUE"""),1.5301120521000002E7)</f>
        <v>15301120.52</v>
      </c>
      <c r="F484" s="8">
        <v>356339.00384615385</v>
      </c>
      <c r="G484" s="18">
        <f t="shared" si="1"/>
        <v>22</v>
      </c>
      <c r="H484" s="19">
        <f t="shared" si="2"/>
        <v>36.93980432</v>
      </c>
      <c r="I484" s="19">
        <f t="shared" si="3"/>
        <v>0.01700632297</v>
      </c>
    </row>
    <row r="485">
      <c r="A485" s="9">
        <f>IFERROR(__xludf.DUMMYFUNCTION("""COMPUTED_VALUE"""),43973.0)</f>
        <v>43973</v>
      </c>
      <c r="B485" s="10" t="str">
        <f>IFERROR(__xludf.DUMMYFUNCTION("""COMPUTED_VALUE"""),"Москва Восток")</f>
        <v>Москва Восток</v>
      </c>
      <c r="C485" s="10">
        <f>IFERROR(__xludf.DUMMYFUNCTION("""COMPUTED_VALUE"""),214428.0)</f>
        <v>214428</v>
      </c>
      <c r="D485" s="10">
        <f>IFERROR(__xludf.DUMMYFUNCTION("""COMPUTED_VALUE"""),2.08125855E7)</f>
        <v>20812585.5</v>
      </c>
      <c r="E485" s="10">
        <f>IFERROR(__xludf.DUMMYFUNCTION("""COMPUTED_VALUE"""),1.5857489721E7)</f>
        <v>15857489.72</v>
      </c>
      <c r="F485" s="11">
        <v>256649.1615384615</v>
      </c>
      <c r="G485" s="18">
        <f t="shared" si="1"/>
        <v>21</v>
      </c>
      <c r="H485" s="19">
        <f t="shared" si="2"/>
        <v>31.24766824</v>
      </c>
      <c r="I485" s="19">
        <f t="shared" si="3"/>
        <v>0.01233144059</v>
      </c>
    </row>
    <row r="486">
      <c r="A486" s="6">
        <f>IFERROR(__xludf.DUMMYFUNCTION("""COMPUTED_VALUE"""),43983.0)</f>
        <v>43983</v>
      </c>
      <c r="B486" s="7" t="str">
        <f>IFERROR(__xludf.DUMMYFUNCTION("""COMPUTED_VALUE"""),"Москва Восток")</f>
        <v>Москва Восток</v>
      </c>
      <c r="C486" s="7">
        <f>IFERROR(__xludf.DUMMYFUNCTION("""COMPUTED_VALUE"""),183228.0)</f>
        <v>183228</v>
      </c>
      <c r="D486" s="7">
        <f>IFERROR(__xludf.DUMMYFUNCTION("""COMPUTED_VALUE"""),1.89141945E7)</f>
        <v>18914194.5</v>
      </c>
      <c r="E486" s="7">
        <f>IFERROR(__xludf.DUMMYFUNCTION("""COMPUTED_VALUE"""),1.3959979012E7)</f>
        <v>13959979.01</v>
      </c>
      <c r="F486" s="8">
        <v>464232.5484615384</v>
      </c>
      <c r="G486" s="18">
        <f t="shared" si="1"/>
        <v>23</v>
      </c>
      <c r="H486" s="19">
        <f t="shared" si="2"/>
        <v>35.48870298</v>
      </c>
      <c r="I486" s="19">
        <f t="shared" si="3"/>
        <v>0.02454413528</v>
      </c>
    </row>
    <row r="487">
      <c r="A487" s="9">
        <f>IFERROR(__xludf.DUMMYFUNCTION("""COMPUTED_VALUE"""),43962.0)</f>
        <v>43962</v>
      </c>
      <c r="B487" s="10" t="str">
        <f>IFERROR(__xludf.DUMMYFUNCTION("""COMPUTED_VALUE"""),"Москва Восток")</f>
        <v>Москва Восток</v>
      </c>
      <c r="C487" s="10">
        <f>IFERROR(__xludf.DUMMYFUNCTION("""COMPUTED_VALUE"""),166948.5)</f>
        <v>166948.5</v>
      </c>
      <c r="D487" s="10">
        <f>IFERROR(__xludf.DUMMYFUNCTION("""COMPUTED_VALUE"""),1.6971231E7)</f>
        <v>16971231</v>
      </c>
      <c r="E487" s="10">
        <f>IFERROR(__xludf.DUMMYFUNCTION("""COMPUTED_VALUE"""),1.2200989641E7)</f>
        <v>12200989.64</v>
      </c>
      <c r="F487" s="11">
        <v>416475.0769230769</v>
      </c>
      <c r="G487" s="18">
        <f t="shared" si="1"/>
        <v>20</v>
      </c>
      <c r="H487" s="19">
        <f t="shared" si="2"/>
        <v>39.09716752</v>
      </c>
      <c r="I487" s="19">
        <f t="shared" si="3"/>
        <v>0.02454006294</v>
      </c>
    </row>
    <row r="488">
      <c r="A488" s="6">
        <f>IFERROR(__xludf.DUMMYFUNCTION("""COMPUTED_VALUE"""),43980.0)</f>
        <v>43980</v>
      </c>
      <c r="B488" s="7" t="str">
        <f>IFERROR(__xludf.DUMMYFUNCTION("""COMPUTED_VALUE"""),"Москва Запад")</f>
        <v>Москва Запад</v>
      </c>
      <c r="C488" s="7">
        <f>IFERROR(__xludf.DUMMYFUNCTION("""COMPUTED_VALUE"""),232102.5)</f>
        <v>232102.5</v>
      </c>
      <c r="D488" s="7">
        <f>IFERROR(__xludf.DUMMYFUNCTION("""COMPUTED_VALUE"""),2.31204435E7)</f>
        <v>23120443.5</v>
      </c>
      <c r="E488" s="7">
        <f>IFERROR(__xludf.DUMMYFUNCTION("""COMPUTED_VALUE"""),1.7632080519E7)</f>
        <v>17632080.52</v>
      </c>
      <c r="F488" s="8">
        <v>331721.6692307692</v>
      </c>
      <c r="G488" s="18">
        <f t="shared" si="1"/>
        <v>22</v>
      </c>
      <c r="H488" s="19">
        <f t="shared" si="2"/>
        <v>31.12714336</v>
      </c>
      <c r="I488" s="19">
        <f t="shared" si="3"/>
        <v>0.01434754784</v>
      </c>
    </row>
    <row r="489">
      <c r="A489" s="9">
        <f>IFERROR(__xludf.DUMMYFUNCTION("""COMPUTED_VALUE"""),43969.0)</f>
        <v>43969</v>
      </c>
      <c r="B489" s="10" t="str">
        <f>IFERROR(__xludf.DUMMYFUNCTION("""COMPUTED_VALUE"""),"Москва Восток")</f>
        <v>Москва Восток</v>
      </c>
      <c r="C489" s="10">
        <f>IFERROR(__xludf.DUMMYFUNCTION("""COMPUTED_VALUE"""),196560.0)</f>
        <v>196560</v>
      </c>
      <c r="D489" s="10">
        <f>IFERROR(__xludf.DUMMYFUNCTION("""COMPUTED_VALUE"""),1.9855122E7)</f>
        <v>19855122</v>
      </c>
      <c r="E489" s="10">
        <f>IFERROR(__xludf.DUMMYFUNCTION("""COMPUTED_VALUE"""),1.4172342451E7)</f>
        <v>14172342.45</v>
      </c>
      <c r="F489" s="11">
        <v>269626.3076923077</v>
      </c>
      <c r="G489" s="18">
        <f t="shared" si="1"/>
        <v>21</v>
      </c>
      <c r="H489" s="19">
        <f t="shared" si="2"/>
        <v>40.09767312</v>
      </c>
      <c r="I489" s="19">
        <f t="shared" si="3"/>
        <v>0.01357968527</v>
      </c>
    </row>
    <row r="490">
      <c r="A490" s="6">
        <f>IFERROR(__xludf.DUMMYFUNCTION("""COMPUTED_VALUE"""),43965.0)</f>
        <v>43965</v>
      </c>
      <c r="B490" s="7" t="str">
        <f>IFERROR(__xludf.DUMMYFUNCTION("""COMPUTED_VALUE"""),"Москва Восток")</f>
        <v>Москва Восток</v>
      </c>
      <c r="C490" s="7">
        <f>IFERROR(__xludf.DUMMYFUNCTION("""COMPUTED_VALUE"""),186496.5)</f>
        <v>186496.5</v>
      </c>
      <c r="D490" s="7">
        <f>IFERROR(__xludf.DUMMYFUNCTION("""COMPUTED_VALUE"""),1.8640998E7)</f>
        <v>18640998</v>
      </c>
      <c r="E490" s="7">
        <f>IFERROR(__xludf.DUMMYFUNCTION("""COMPUTED_VALUE"""),1.3641908621E7)</f>
        <v>13641908.62</v>
      </c>
      <c r="F490" s="8">
        <v>364896.93846153846</v>
      </c>
      <c r="G490" s="18">
        <f t="shared" si="1"/>
        <v>20</v>
      </c>
      <c r="H490" s="19">
        <f t="shared" si="2"/>
        <v>36.64508771</v>
      </c>
      <c r="I490" s="19">
        <f t="shared" si="3"/>
        <v>0.01957496795</v>
      </c>
    </row>
    <row r="491">
      <c r="A491" s="9">
        <f>IFERROR(__xludf.DUMMYFUNCTION("""COMPUTED_VALUE"""),43966.0)</f>
        <v>43966</v>
      </c>
      <c r="B491" s="10" t="str">
        <f>IFERROR(__xludf.DUMMYFUNCTION("""COMPUTED_VALUE"""),"Москва Восток")</f>
        <v>Москва Восток</v>
      </c>
      <c r="C491" s="10">
        <f>IFERROR(__xludf.DUMMYFUNCTION("""COMPUTED_VALUE"""),219772.5)</f>
        <v>219772.5</v>
      </c>
      <c r="D491" s="10">
        <f>IFERROR(__xludf.DUMMYFUNCTION("""COMPUTED_VALUE"""),2.18952945E7)</f>
        <v>21895294.5</v>
      </c>
      <c r="E491" s="10">
        <f>IFERROR(__xludf.DUMMYFUNCTION("""COMPUTED_VALUE"""),1.6241999308E7)</f>
        <v>16241999.31</v>
      </c>
      <c r="F491" s="11">
        <v>317179.04615384614</v>
      </c>
      <c r="G491" s="18">
        <f t="shared" si="1"/>
        <v>20</v>
      </c>
      <c r="H491" s="19">
        <f t="shared" si="2"/>
        <v>34.80664594</v>
      </c>
      <c r="I491" s="19">
        <f t="shared" si="3"/>
        <v>0.01448617401</v>
      </c>
    </row>
    <row r="492">
      <c r="A492" s="6">
        <f>IFERROR(__xludf.DUMMYFUNCTION("""COMPUTED_VALUE"""),43980.0)</f>
        <v>43980</v>
      </c>
      <c r="B492" s="7" t="str">
        <f>IFERROR(__xludf.DUMMYFUNCTION("""COMPUTED_VALUE"""),"Москва Восток")</f>
        <v>Москва Восток</v>
      </c>
      <c r="C492" s="7">
        <f>IFERROR(__xludf.DUMMYFUNCTION("""COMPUTED_VALUE"""),226476.0)</f>
        <v>226476</v>
      </c>
      <c r="D492" s="7">
        <f>IFERROR(__xludf.DUMMYFUNCTION("""COMPUTED_VALUE"""),2.24161515E7)</f>
        <v>22416151.5</v>
      </c>
      <c r="E492" s="7">
        <f>IFERROR(__xludf.DUMMYFUNCTION("""COMPUTED_VALUE"""),1.7175270221E7)</f>
        <v>17175270.22</v>
      </c>
      <c r="F492" s="8">
        <v>306548.18846153846</v>
      </c>
      <c r="G492" s="18">
        <f t="shared" si="1"/>
        <v>22</v>
      </c>
      <c r="H492" s="19">
        <f t="shared" si="2"/>
        <v>30.51411251</v>
      </c>
      <c r="I492" s="19">
        <f t="shared" si="3"/>
        <v>0.0136753264</v>
      </c>
    </row>
    <row r="493">
      <c r="A493" s="9">
        <f>IFERROR(__xludf.DUMMYFUNCTION("""COMPUTED_VALUE"""),43978.0)</f>
        <v>43978</v>
      </c>
      <c r="B493" s="10" t="str">
        <f>IFERROR(__xludf.DUMMYFUNCTION("""COMPUTED_VALUE"""),"Тюмень")</f>
        <v>Тюмень</v>
      </c>
      <c r="C493" s="10">
        <f>IFERROR(__xludf.DUMMYFUNCTION("""COMPUTED_VALUE"""),8362.5)</f>
        <v>8362.5</v>
      </c>
      <c r="D493" s="10">
        <f>IFERROR(__xludf.DUMMYFUNCTION("""COMPUTED_VALUE"""),687684.0)</f>
        <v>687684</v>
      </c>
      <c r="E493" s="10">
        <f>IFERROR(__xludf.DUMMYFUNCTION("""COMPUTED_VALUE"""),597300.389)</f>
        <v>597300.389</v>
      </c>
      <c r="F493" s="11">
        <v>48380.49925384615</v>
      </c>
      <c r="G493" s="18">
        <f t="shared" si="1"/>
        <v>22</v>
      </c>
      <c r="H493" s="19">
        <f t="shared" si="2"/>
        <v>15.13201944</v>
      </c>
      <c r="I493" s="19">
        <f t="shared" si="3"/>
        <v>0.07035280631</v>
      </c>
    </row>
    <row r="494">
      <c r="A494" s="6">
        <f>IFERROR(__xludf.DUMMYFUNCTION("""COMPUTED_VALUE"""),43973.0)</f>
        <v>43973</v>
      </c>
      <c r="B494" s="7" t="str">
        <f>IFERROR(__xludf.DUMMYFUNCTION("""COMPUTED_VALUE"""),"Новосибирск")</f>
        <v>Новосибирск</v>
      </c>
      <c r="C494" s="7">
        <f>IFERROR(__xludf.DUMMYFUNCTION("""COMPUTED_VALUE"""),17008.5)</f>
        <v>17008.5</v>
      </c>
      <c r="D494" s="7">
        <f>IFERROR(__xludf.DUMMYFUNCTION("""COMPUTED_VALUE"""),1398771.0)</f>
        <v>1398771</v>
      </c>
      <c r="E494" s="7">
        <f>IFERROR(__xludf.DUMMYFUNCTION("""COMPUTED_VALUE"""),1144986.397)</f>
        <v>1144986.397</v>
      </c>
      <c r="F494" s="8">
        <v>158820.4117</v>
      </c>
      <c r="G494" s="18">
        <f t="shared" si="1"/>
        <v>21</v>
      </c>
      <c r="H494" s="19">
        <f t="shared" si="2"/>
        <v>22.16485747</v>
      </c>
      <c r="I494" s="19">
        <f t="shared" si="3"/>
        <v>0.1135428256</v>
      </c>
    </row>
    <row r="495">
      <c r="A495" s="9">
        <f>IFERROR(__xludf.DUMMYFUNCTION("""COMPUTED_VALUE"""),43983.0)</f>
        <v>43983</v>
      </c>
      <c r="B495" s="10" t="str">
        <f>IFERROR(__xludf.DUMMYFUNCTION("""COMPUTED_VALUE"""),"Томск")</f>
        <v>Томск</v>
      </c>
      <c r="C495" s="10">
        <f>IFERROR(__xludf.DUMMYFUNCTION("""COMPUTED_VALUE"""),5166.0)</f>
        <v>5166</v>
      </c>
      <c r="D495" s="10">
        <f>IFERROR(__xludf.DUMMYFUNCTION("""COMPUTED_VALUE"""),389013.0)</f>
        <v>389013</v>
      </c>
      <c r="E495" s="10">
        <f>IFERROR(__xludf.DUMMYFUNCTION("""COMPUTED_VALUE"""),357353.073)</f>
        <v>357353.073</v>
      </c>
      <c r="F495" s="11">
        <v>141592.70844615385</v>
      </c>
      <c r="G495" s="18">
        <f t="shared" si="1"/>
        <v>23</v>
      </c>
      <c r="H495" s="19">
        <f t="shared" si="2"/>
        <v>8.859564781</v>
      </c>
      <c r="I495" s="19">
        <f t="shared" si="3"/>
        <v>0.3639793746</v>
      </c>
    </row>
    <row r="496">
      <c r="A496" s="6">
        <f>IFERROR(__xludf.DUMMYFUNCTION("""COMPUTED_VALUE"""),43962.0)</f>
        <v>43962</v>
      </c>
      <c r="B496" s="7" t="str">
        <f>IFERROR(__xludf.DUMMYFUNCTION("""COMPUTED_VALUE"""),"Новосибирск")</f>
        <v>Новосибирск</v>
      </c>
      <c r="C496" s="7">
        <f>IFERROR(__xludf.DUMMYFUNCTION("""COMPUTED_VALUE"""),10941.0)</f>
        <v>10941</v>
      </c>
      <c r="D496" s="7">
        <f>IFERROR(__xludf.DUMMYFUNCTION("""COMPUTED_VALUE"""),880356.0)</f>
        <v>880356</v>
      </c>
      <c r="E496" s="7">
        <f>IFERROR(__xludf.DUMMYFUNCTION("""COMPUTED_VALUE"""),723289.055)</f>
        <v>723289.055</v>
      </c>
      <c r="F496" s="8">
        <v>166333.5736307692</v>
      </c>
      <c r="G496" s="18">
        <f t="shared" si="1"/>
        <v>20</v>
      </c>
      <c r="H496" s="19">
        <f t="shared" si="2"/>
        <v>21.7156535</v>
      </c>
      <c r="I496" s="19">
        <f t="shared" si="3"/>
        <v>0.1889389902</v>
      </c>
    </row>
    <row r="497">
      <c r="A497" s="9">
        <f>IFERROR(__xludf.DUMMYFUNCTION("""COMPUTED_VALUE"""),43969.0)</f>
        <v>43969</v>
      </c>
      <c r="B497" s="10" t="str">
        <f>IFERROR(__xludf.DUMMYFUNCTION("""COMPUTED_VALUE"""),"Новосибирск")</f>
        <v>Новосибирск</v>
      </c>
      <c r="C497" s="10">
        <f>IFERROR(__xludf.DUMMYFUNCTION("""COMPUTED_VALUE"""),14497.5)</f>
        <v>14497.5</v>
      </c>
      <c r="D497" s="10">
        <f>IFERROR(__xludf.DUMMYFUNCTION("""COMPUTED_VALUE"""),1230711.0)</f>
        <v>1230711</v>
      </c>
      <c r="E497" s="10">
        <f>IFERROR(__xludf.DUMMYFUNCTION("""COMPUTED_VALUE"""),1005560.455)</f>
        <v>1005560.455</v>
      </c>
      <c r="F497" s="11">
        <v>171097.83406153845</v>
      </c>
      <c r="G497" s="18">
        <f t="shared" si="1"/>
        <v>21</v>
      </c>
      <c r="H497" s="19">
        <f t="shared" si="2"/>
        <v>22.39055284</v>
      </c>
      <c r="I497" s="19">
        <f t="shared" si="3"/>
        <v>0.1390235677</v>
      </c>
    </row>
    <row r="498">
      <c r="A498" s="6">
        <f>IFERROR(__xludf.DUMMYFUNCTION("""COMPUTED_VALUE"""),43965.0)</f>
        <v>43965</v>
      </c>
      <c r="B498" s="7" t="str">
        <f>IFERROR(__xludf.DUMMYFUNCTION("""COMPUTED_VALUE"""),"Новосибирск")</f>
        <v>Новосибирск</v>
      </c>
      <c r="C498" s="7">
        <f>IFERROR(__xludf.DUMMYFUNCTION("""COMPUTED_VALUE"""),13810.5)</f>
        <v>13810.5</v>
      </c>
      <c r="D498" s="7">
        <f>IFERROR(__xludf.DUMMYFUNCTION("""COMPUTED_VALUE"""),1131676.5)</f>
        <v>1131676.5</v>
      </c>
      <c r="E498" s="7">
        <f>IFERROR(__xludf.DUMMYFUNCTION("""COMPUTED_VALUE"""),966968.6359999999)</f>
        <v>966968.636</v>
      </c>
      <c r="F498" s="8">
        <v>195740.02307692307</v>
      </c>
      <c r="G498" s="18">
        <f t="shared" si="1"/>
        <v>20</v>
      </c>
      <c r="H498" s="19">
        <f t="shared" si="2"/>
        <v>17.03342362</v>
      </c>
      <c r="I498" s="19">
        <f t="shared" si="3"/>
        <v>0.1729646441</v>
      </c>
    </row>
    <row r="499">
      <c r="A499" s="9">
        <f>IFERROR(__xludf.DUMMYFUNCTION("""COMPUTED_VALUE"""),43966.0)</f>
        <v>43966</v>
      </c>
      <c r="B499" s="10" t="str">
        <f>IFERROR(__xludf.DUMMYFUNCTION("""COMPUTED_VALUE"""),"Новосибирск")</f>
        <v>Новосибирск</v>
      </c>
      <c r="C499" s="10">
        <f>IFERROR(__xludf.DUMMYFUNCTION("""COMPUTED_VALUE"""),13752.0)</f>
        <v>13752</v>
      </c>
      <c r="D499" s="10">
        <f>IFERROR(__xludf.DUMMYFUNCTION("""COMPUTED_VALUE"""),1091040.0)</f>
        <v>1091040</v>
      </c>
      <c r="E499" s="10">
        <f>IFERROR(__xludf.DUMMYFUNCTION("""COMPUTED_VALUE"""),898790.646)</f>
        <v>898790.646</v>
      </c>
      <c r="F499" s="11">
        <v>149313.46028461537</v>
      </c>
      <c r="G499" s="18">
        <f t="shared" si="1"/>
        <v>20</v>
      </c>
      <c r="H499" s="19">
        <f t="shared" si="2"/>
        <v>21.38978135</v>
      </c>
      <c r="I499" s="19">
        <f t="shared" si="3"/>
        <v>0.1368542494</v>
      </c>
    </row>
    <row r="500">
      <c r="A500" s="6">
        <f>IFERROR(__xludf.DUMMYFUNCTION("""COMPUTED_VALUE"""),43978.0)</f>
        <v>43978</v>
      </c>
      <c r="B500" s="7" t="str">
        <f>IFERROR(__xludf.DUMMYFUNCTION("""COMPUTED_VALUE"""),"Новосибирск")</f>
        <v>Новосибирск</v>
      </c>
      <c r="C500" s="7">
        <f>IFERROR(__xludf.DUMMYFUNCTION("""COMPUTED_VALUE"""),15276.0)</f>
        <v>15276</v>
      </c>
      <c r="D500" s="7">
        <f>IFERROR(__xludf.DUMMYFUNCTION("""COMPUTED_VALUE"""),1350199.5)</f>
        <v>1350199.5</v>
      </c>
      <c r="E500" s="7">
        <f>IFERROR(__xludf.DUMMYFUNCTION("""COMPUTED_VALUE"""),1100106.21)</f>
        <v>1100106.21</v>
      </c>
      <c r="F500" s="8">
        <v>107692.85196923077</v>
      </c>
      <c r="G500" s="18">
        <f t="shared" si="1"/>
        <v>22</v>
      </c>
      <c r="H500" s="19">
        <f t="shared" si="2"/>
        <v>22.73355861</v>
      </c>
      <c r="I500" s="19">
        <f t="shared" si="3"/>
        <v>0.07976069608</v>
      </c>
    </row>
    <row r="501">
      <c r="A501" s="9">
        <f>IFERROR(__xludf.DUMMYFUNCTION("""COMPUTED_VALUE"""),43983.0)</f>
        <v>43983</v>
      </c>
      <c r="B501" s="10" t="str">
        <f>IFERROR(__xludf.DUMMYFUNCTION("""COMPUTED_VALUE"""),"Уфа")</f>
        <v>Уфа</v>
      </c>
      <c r="C501" s="10">
        <f>IFERROR(__xludf.DUMMYFUNCTION("""COMPUTED_VALUE"""),4408.5)</f>
        <v>4408.5</v>
      </c>
      <c r="D501" s="10">
        <f>IFERROR(__xludf.DUMMYFUNCTION("""COMPUTED_VALUE"""),410892.0)</f>
        <v>410892</v>
      </c>
      <c r="E501" s="10">
        <f>IFERROR(__xludf.DUMMYFUNCTION("""COMPUTED_VALUE"""),346029.05)</f>
        <v>346029.05</v>
      </c>
      <c r="F501" s="11">
        <v>36168.75384615384</v>
      </c>
      <c r="G501" s="18">
        <f t="shared" si="1"/>
        <v>23</v>
      </c>
      <c r="H501" s="19">
        <f t="shared" si="2"/>
        <v>18.74494352</v>
      </c>
      <c r="I501" s="19">
        <f t="shared" si="3"/>
        <v>0.08802496482</v>
      </c>
    </row>
    <row r="502">
      <c r="A502" s="6">
        <f>IFERROR(__xludf.DUMMYFUNCTION("""COMPUTED_VALUE"""),43980.0)</f>
        <v>43980</v>
      </c>
      <c r="B502" s="7" t="str">
        <f>IFERROR(__xludf.DUMMYFUNCTION("""COMPUTED_VALUE"""),"Тюмень")</f>
        <v>Тюмень</v>
      </c>
      <c r="C502" s="7">
        <f>IFERROR(__xludf.DUMMYFUNCTION("""COMPUTED_VALUE"""),9927.0)</f>
        <v>9927</v>
      </c>
      <c r="D502" s="7">
        <f>IFERROR(__xludf.DUMMYFUNCTION("""COMPUTED_VALUE"""),850840.5)</f>
        <v>850840.5</v>
      </c>
      <c r="E502" s="7">
        <f>IFERROR(__xludf.DUMMYFUNCTION("""COMPUTED_VALUE"""),733232.389)</f>
        <v>733232.389</v>
      </c>
      <c r="F502" s="8">
        <v>51066.35384615384</v>
      </c>
      <c r="G502" s="18">
        <f t="shared" si="1"/>
        <v>22</v>
      </c>
      <c r="H502" s="19">
        <f t="shared" si="2"/>
        <v>16.03967757</v>
      </c>
      <c r="I502" s="19">
        <f t="shared" si="3"/>
        <v>0.06001871543</v>
      </c>
    </row>
    <row r="503">
      <c r="A503" s="9">
        <f>IFERROR(__xludf.DUMMYFUNCTION("""COMPUTED_VALUE"""),43983.0)</f>
        <v>43983</v>
      </c>
      <c r="B503" s="10" t="str">
        <f>IFERROR(__xludf.DUMMYFUNCTION("""COMPUTED_VALUE"""),"Тюмень")</f>
        <v>Тюмень</v>
      </c>
      <c r="C503" s="10">
        <f>IFERROR(__xludf.DUMMYFUNCTION("""COMPUTED_VALUE"""),9474.0)</f>
        <v>9474</v>
      </c>
      <c r="D503" s="10">
        <f>IFERROR(__xludf.DUMMYFUNCTION("""COMPUTED_VALUE"""),802447.5)</f>
        <v>802447.5</v>
      </c>
      <c r="E503" s="10">
        <f>IFERROR(__xludf.DUMMYFUNCTION("""COMPUTED_VALUE"""),682814.146)</f>
        <v>682814.146</v>
      </c>
      <c r="F503" s="11">
        <v>81560.98336923077</v>
      </c>
      <c r="G503" s="18">
        <f t="shared" si="1"/>
        <v>23</v>
      </c>
      <c r="H503" s="19">
        <f t="shared" si="2"/>
        <v>17.52063203</v>
      </c>
      <c r="I503" s="19">
        <f t="shared" si="3"/>
        <v>0.1016402735</v>
      </c>
    </row>
    <row r="504">
      <c r="A504" s="6">
        <f>IFERROR(__xludf.DUMMYFUNCTION("""COMPUTED_VALUE"""),43980.0)</f>
        <v>43980</v>
      </c>
      <c r="B504" s="7" t="str">
        <f>IFERROR(__xludf.DUMMYFUNCTION("""COMPUTED_VALUE"""),"Новосибирск")</f>
        <v>Новосибирск</v>
      </c>
      <c r="C504" s="7">
        <f>IFERROR(__xludf.DUMMYFUNCTION("""COMPUTED_VALUE"""),16878.0)</f>
        <v>16878</v>
      </c>
      <c r="D504" s="7">
        <f>IFERROR(__xludf.DUMMYFUNCTION("""COMPUTED_VALUE"""),1438255.5)</f>
        <v>1438255.5</v>
      </c>
      <c r="E504" s="7">
        <f>IFERROR(__xludf.DUMMYFUNCTION("""COMPUTED_VALUE"""),1180692.704)</f>
        <v>1180692.704</v>
      </c>
      <c r="F504" s="8">
        <v>102040.10621538461</v>
      </c>
      <c r="G504" s="18">
        <f t="shared" si="1"/>
        <v>22</v>
      </c>
      <c r="H504" s="19">
        <f t="shared" si="2"/>
        <v>21.81454964</v>
      </c>
      <c r="I504" s="19">
        <f t="shared" si="3"/>
        <v>0.07094713437</v>
      </c>
    </row>
    <row r="505">
      <c r="A505" s="12">
        <f>IFERROR(__xludf.DUMMYFUNCTION("""COMPUTED_VALUE"""),43983.0)</f>
        <v>43983</v>
      </c>
      <c r="B505" s="13" t="str">
        <f>IFERROR(__xludf.DUMMYFUNCTION("""COMPUTED_VALUE"""),"Новосибирск")</f>
        <v>Новосибирск</v>
      </c>
      <c r="C505" s="13">
        <f>IFERROR(__xludf.DUMMYFUNCTION("""COMPUTED_VALUE"""),14238.0)</f>
        <v>14238</v>
      </c>
      <c r="D505" s="13">
        <f>IFERROR(__xludf.DUMMYFUNCTION("""COMPUTED_VALUE"""),1293219.0)</f>
        <v>1293219</v>
      </c>
      <c r="E505" s="13">
        <f>IFERROR(__xludf.DUMMYFUNCTION("""COMPUTED_VALUE"""),1006008.1159999999)</f>
        <v>1006008.116</v>
      </c>
      <c r="F505" s="14">
        <v>129348.2923076923</v>
      </c>
      <c r="G505" s="18">
        <f t="shared" si="1"/>
        <v>23</v>
      </c>
      <c r="H505" s="19">
        <f t="shared" si="2"/>
        <v>28.54955934</v>
      </c>
      <c r="I505" s="19">
        <f t="shared" si="3"/>
        <v>0.1000204082</v>
      </c>
    </row>
    <row r="506">
      <c r="A506" s="20">
        <f>IFERROR(__xludf.DUMMYFUNCTION("""COMPUTED_VALUE"""),43949.0)</f>
        <v>43949</v>
      </c>
      <c r="B506" s="18" t="str">
        <f>IFERROR(__xludf.DUMMYFUNCTION("""COMPUTED_VALUE"""),"Волгоград")</f>
        <v>Волгоград</v>
      </c>
      <c r="C506" s="18">
        <f>IFERROR(__xludf.DUMMYFUNCTION("""COMPUTED_VALUE"""),36.0)</f>
        <v>36</v>
      </c>
      <c r="D506" s="18">
        <f>IFERROR(__xludf.DUMMYFUNCTION("""COMPUTED_VALUE"""),4923.0)</f>
        <v>4923</v>
      </c>
      <c r="E506" s="18">
        <f>IFERROR(__xludf.DUMMYFUNCTION("""COMPUTED_VALUE"""),4560.0)</f>
        <v>4560</v>
      </c>
      <c r="G506" s="18">
        <f t="shared" si="1"/>
        <v>18</v>
      </c>
    </row>
    <row r="507">
      <c r="A507" s="20">
        <f>IFERROR(__xludf.DUMMYFUNCTION("""COMPUTED_VALUE"""),43949.0)</f>
        <v>43949</v>
      </c>
      <c r="B507" s="18" t="str">
        <f>IFERROR(__xludf.DUMMYFUNCTION("""COMPUTED_VALUE"""),"Екатеринбург")</f>
        <v>Екатеринбург</v>
      </c>
      <c r="C507" s="18">
        <f>IFERROR(__xludf.DUMMYFUNCTION("""COMPUTED_VALUE"""),31.0)</f>
        <v>31</v>
      </c>
      <c r="D507" s="18">
        <f>IFERROR(__xludf.DUMMYFUNCTION("""COMPUTED_VALUE"""),5465.0)</f>
        <v>5465</v>
      </c>
      <c r="E507" s="18">
        <f>IFERROR(__xludf.DUMMYFUNCTION("""COMPUTED_VALUE"""),5096.0)</f>
        <v>5096</v>
      </c>
      <c r="G507" s="18">
        <f t="shared" si="1"/>
        <v>18</v>
      </c>
    </row>
    <row r="508">
      <c r="A508" s="20">
        <f>IFERROR(__xludf.DUMMYFUNCTION("""COMPUTED_VALUE"""),43949.0)</f>
        <v>43949</v>
      </c>
      <c r="B508" s="18" t="str">
        <f>IFERROR(__xludf.DUMMYFUNCTION("""COMPUTED_VALUE"""),"Казань")</f>
        <v>Казань</v>
      </c>
      <c r="C508" s="18">
        <f>IFERROR(__xludf.DUMMYFUNCTION("""COMPUTED_VALUE"""),19.0)</f>
        <v>19</v>
      </c>
      <c r="D508" s="18">
        <f>IFERROR(__xludf.DUMMYFUNCTION("""COMPUTED_VALUE"""),1846.0)</f>
        <v>1846</v>
      </c>
      <c r="E508" s="18">
        <f>IFERROR(__xludf.DUMMYFUNCTION("""COMPUTED_VALUE"""),1681.0)</f>
        <v>1681</v>
      </c>
      <c r="G508" s="18">
        <f t="shared" si="1"/>
        <v>18</v>
      </c>
    </row>
    <row r="509">
      <c r="A509" s="20">
        <f>IFERROR(__xludf.DUMMYFUNCTION("""COMPUTED_VALUE"""),43949.0)</f>
        <v>43949</v>
      </c>
      <c r="B509" s="18" t="str">
        <f>IFERROR(__xludf.DUMMYFUNCTION("""COMPUTED_VALUE"""),"Кемерово")</f>
        <v>Кемерово</v>
      </c>
      <c r="C509" s="18">
        <f>IFERROR(__xludf.DUMMYFUNCTION("""COMPUTED_VALUE"""),18.0)</f>
        <v>18</v>
      </c>
      <c r="D509" s="18">
        <f>IFERROR(__xludf.DUMMYFUNCTION("""COMPUTED_VALUE"""),1539.0)</f>
        <v>1539</v>
      </c>
      <c r="E509" s="18">
        <f>IFERROR(__xludf.DUMMYFUNCTION("""COMPUTED_VALUE"""),1404.0)</f>
        <v>1404</v>
      </c>
      <c r="G509" s="18">
        <f t="shared" si="1"/>
        <v>18</v>
      </c>
    </row>
    <row r="510">
      <c r="A510" s="20">
        <f>IFERROR(__xludf.DUMMYFUNCTION("""COMPUTED_VALUE"""),43949.0)</f>
        <v>43949</v>
      </c>
      <c r="B510" s="18" t="str">
        <f>IFERROR(__xludf.DUMMYFUNCTION("""COMPUTED_VALUE"""),"Краснодар")</f>
        <v>Краснодар</v>
      </c>
      <c r="C510" s="18">
        <f>IFERROR(__xludf.DUMMYFUNCTION("""COMPUTED_VALUE"""),18.0)</f>
        <v>18</v>
      </c>
      <c r="D510" s="18">
        <f>IFERROR(__xludf.DUMMYFUNCTION("""COMPUTED_VALUE"""),1505.0)</f>
        <v>1505</v>
      </c>
      <c r="E510" s="18">
        <f>IFERROR(__xludf.DUMMYFUNCTION("""COMPUTED_VALUE"""),1368.0)</f>
        <v>1368</v>
      </c>
      <c r="G510" s="18">
        <f t="shared" si="1"/>
        <v>18</v>
      </c>
    </row>
    <row r="511">
      <c r="A511" s="20">
        <f>IFERROR(__xludf.DUMMYFUNCTION("""COMPUTED_VALUE"""),43949.0)</f>
        <v>43949</v>
      </c>
      <c r="B511" s="18" t="str">
        <f>IFERROR(__xludf.DUMMYFUNCTION("""COMPUTED_VALUE"""),"Москва Восток")</f>
        <v>Москва Восток</v>
      </c>
      <c r="C511" s="18">
        <f>IFERROR(__xludf.DUMMYFUNCTION("""COMPUTED_VALUE"""),54.0)</f>
        <v>54</v>
      </c>
      <c r="D511" s="18">
        <f>IFERROR(__xludf.DUMMYFUNCTION("""COMPUTED_VALUE"""),12306.0)</f>
        <v>12306</v>
      </c>
      <c r="E511" s="18">
        <f>IFERROR(__xludf.DUMMYFUNCTION("""COMPUTED_VALUE"""),11532.0)</f>
        <v>11532</v>
      </c>
      <c r="G511" s="18">
        <f t="shared" si="1"/>
        <v>18</v>
      </c>
    </row>
    <row r="512">
      <c r="A512" s="20">
        <f>IFERROR(__xludf.DUMMYFUNCTION("""COMPUTED_VALUE"""),43949.0)</f>
        <v>43949</v>
      </c>
      <c r="B512" s="18" t="str">
        <f>IFERROR(__xludf.DUMMYFUNCTION("""COMPUTED_VALUE"""),"Москва Запад")</f>
        <v>Москва Запад</v>
      </c>
      <c r="C512" s="18">
        <f>IFERROR(__xludf.DUMMYFUNCTION("""COMPUTED_VALUE"""),59.0)</f>
        <v>59</v>
      </c>
      <c r="D512" s="18">
        <f>IFERROR(__xludf.DUMMYFUNCTION("""COMPUTED_VALUE"""),12943.0)</f>
        <v>12943</v>
      </c>
      <c r="E512" s="18">
        <f>IFERROR(__xludf.DUMMYFUNCTION("""COMPUTED_VALUE"""),12072.0)</f>
        <v>12072</v>
      </c>
      <c r="G512" s="18">
        <f t="shared" si="1"/>
        <v>18</v>
      </c>
    </row>
    <row r="513">
      <c r="A513" s="20">
        <f>IFERROR(__xludf.DUMMYFUNCTION("""COMPUTED_VALUE"""),43949.0)</f>
        <v>43949</v>
      </c>
      <c r="B513" s="18" t="str">
        <f>IFERROR(__xludf.DUMMYFUNCTION("""COMPUTED_VALUE"""),"Нижний Новгород")</f>
        <v>Нижний Новгород</v>
      </c>
      <c r="C513" s="18">
        <f>IFERROR(__xludf.DUMMYFUNCTION("""COMPUTED_VALUE"""),17.0)</f>
        <v>17</v>
      </c>
      <c r="D513" s="18">
        <f>IFERROR(__xludf.DUMMYFUNCTION("""COMPUTED_VALUE"""),1439.0)</f>
        <v>1439</v>
      </c>
      <c r="E513" s="18">
        <f>IFERROR(__xludf.DUMMYFUNCTION("""COMPUTED_VALUE"""),1265.0)</f>
        <v>1265</v>
      </c>
      <c r="G513" s="18">
        <f t="shared" si="1"/>
        <v>18</v>
      </c>
    </row>
    <row r="514">
      <c r="A514" s="20">
        <f>IFERROR(__xludf.DUMMYFUNCTION("""COMPUTED_VALUE"""),43949.0)</f>
        <v>43949</v>
      </c>
      <c r="B514" s="18" t="str">
        <f>IFERROR(__xludf.DUMMYFUNCTION("""COMPUTED_VALUE"""),"Новосибирск")</f>
        <v>Новосибирск</v>
      </c>
      <c r="C514" s="18">
        <f>IFERROR(__xludf.DUMMYFUNCTION("""COMPUTED_VALUE"""),15.0)</f>
        <v>15</v>
      </c>
      <c r="D514" s="18">
        <f>IFERROR(__xludf.DUMMYFUNCTION("""COMPUTED_VALUE"""),636.0)</f>
        <v>636</v>
      </c>
      <c r="E514" s="18">
        <f>IFERROR(__xludf.DUMMYFUNCTION("""COMPUTED_VALUE"""),547.0)</f>
        <v>547</v>
      </c>
      <c r="G514" s="18">
        <f t="shared" si="1"/>
        <v>18</v>
      </c>
    </row>
    <row r="515">
      <c r="A515" s="20">
        <f>IFERROR(__xludf.DUMMYFUNCTION("""COMPUTED_VALUE"""),43949.0)</f>
        <v>43949</v>
      </c>
      <c r="B515" s="18" t="str">
        <f>IFERROR(__xludf.DUMMYFUNCTION("""COMPUTED_VALUE"""),"Пермь")</f>
        <v>Пермь</v>
      </c>
      <c r="C515" s="18">
        <f>IFERROR(__xludf.DUMMYFUNCTION("""COMPUTED_VALUE"""),15.0)</f>
        <v>15</v>
      </c>
      <c r="D515" s="18">
        <f>IFERROR(__xludf.DUMMYFUNCTION("""COMPUTED_VALUE"""),780.0)</f>
        <v>780</v>
      </c>
      <c r="E515" s="18">
        <f>IFERROR(__xludf.DUMMYFUNCTION("""COMPUTED_VALUE"""),690.0)</f>
        <v>690</v>
      </c>
      <c r="G515" s="18">
        <f t="shared" si="1"/>
        <v>18</v>
      </c>
    </row>
    <row r="516">
      <c r="A516" s="20">
        <f>IFERROR(__xludf.DUMMYFUNCTION("""COMPUTED_VALUE"""),43949.0)</f>
        <v>43949</v>
      </c>
      <c r="B516" s="18" t="str">
        <f>IFERROR(__xludf.DUMMYFUNCTION("""COMPUTED_VALUE"""),"Санкт-Петербург Север")</f>
        <v>Санкт-Петербург Север</v>
      </c>
      <c r="C516" s="18">
        <f>IFERROR(__xludf.DUMMYFUNCTION("""COMPUTED_VALUE"""),125.0)</f>
        <v>125</v>
      </c>
      <c r="D516" s="18">
        <f>IFERROR(__xludf.DUMMYFUNCTION("""COMPUTED_VALUE"""),20914.0)</f>
        <v>20914</v>
      </c>
      <c r="E516" s="18">
        <f>IFERROR(__xludf.DUMMYFUNCTION("""COMPUTED_VALUE"""),19479.0)</f>
        <v>19479</v>
      </c>
      <c r="G516" s="18">
        <f t="shared" si="1"/>
        <v>18</v>
      </c>
    </row>
    <row r="517">
      <c r="A517" s="20">
        <f>IFERROR(__xludf.DUMMYFUNCTION("""COMPUTED_VALUE"""),43949.0)</f>
        <v>43949</v>
      </c>
      <c r="B517" s="18" t="str">
        <f>IFERROR(__xludf.DUMMYFUNCTION("""COMPUTED_VALUE"""),"Санкт-Петербург Юг")</f>
        <v>Санкт-Петербург Юг</v>
      </c>
      <c r="C517" s="18">
        <f>IFERROR(__xludf.DUMMYFUNCTION("""COMPUTED_VALUE"""),128.0)</f>
        <v>128</v>
      </c>
      <c r="D517" s="18">
        <f>IFERROR(__xludf.DUMMYFUNCTION("""COMPUTED_VALUE"""),16450.0)</f>
        <v>16450</v>
      </c>
      <c r="E517" s="18">
        <f>IFERROR(__xludf.DUMMYFUNCTION("""COMPUTED_VALUE"""),15320.0)</f>
        <v>15320</v>
      </c>
      <c r="G517" s="18">
        <f t="shared" si="1"/>
        <v>18</v>
      </c>
    </row>
    <row r="518">
      <c r="A518" s="20">
        <f>IFERROR(__xludf.DUMMYFUNCTION("""COMPUTED_VALUE"""),43949.0)</f>
        <v>43949</v>
      </c>
      <c r="B518" s="18" t="str">
        <f>IFERROR(__xludf.DUMMYFUNCTION("""COMPUTED_VALUE"""),"Тольятти")</f>
        <v>Тольятти</v>
      </c>
      <c r="C518" s="18">
        <f>IFERROR(__xludf.DUMMYFUNCTION("""COMPUTED_VALUE"""),10.0)</f>
        <v>10</v>
      </c>
      <c r="D518" s="18">
        <f>IFERROR(__xludf.DUMMYFUNCTION("""COMPUTED_VALUE"""),580.0)</f>
        <v>580</v>
      </c>
      <c r="E518" s="18">
        <f>IFERROR(__xludf.DUMMYFUNCTION("""COMPUTED_VALUE"""),506.0)</f>
        <v>506</v>
      </c>
      <c r="G518" s="18">
        <f t="shared" si="1"/>
        <v>18</v>
      </c>
    </row>
    <row r="519">
      <c r="A519" s="20">
        <f>IFERROR(__xludf.DUMMYFUNCTION("""COMPUTED_VALUE"""),43950.0)</f>
        <v>43950</v>
      </c>
      <c r="B519" s="18" t="str">
        <f>IFERROR(__xludf.DUMMYFUNCTION("""COMPUTED_VALUE"""),"Волгоград")</f>
        <v>Волгоград</v>
      </c>
      <c r="C519" s="18">
        <f>IFERROR(__xludf.DUMMYFUNCTION("""COMPUTED_VALUE"""),36.0)</f>
        <v>36</v>
      </c>
      <c r="D519" s="18">
        <f>IFERROR(__xludf.DUMMYFUNCTION("""COMPUTED_VALUE"""),4937.0)</f>
        <v>4937</v>
      </c>
      <c r="E519" s="18">
        <f>IFERROR(__xludf.DUMMYFUNCTION("""COMPUTED_VALUE"""),4561.0)</f>
        <v>4561</v>
      </c>
      <c r="G519" s="18">
        <f t="shared" si="1"/>
        <v>18</v>
      </c>
    </row>
    <row r="520">
      <c r="A520" s="20">
        <f>IFERROR(__xludf.DUMMYFUNCTION("""COMPUTED_VALUE"""),43950.0)</f>
        <v>43950</v>
      </c>
      <c r="B520" s="18" t="str">
        <f>IFERROR(__xludf.DUMMYFUNCTION("""COMPUTED_VALUE"""),"Екатеринбург")</f>
        <v>Екатеринбург</v>
      </c>
      <c r="C520" s="18">
        <f>IFERROR(__xludf.DUMMYFUNCTION("""COMPUTED_VALUE"""),31.0)</f>
        <v>31</v>
      </c>
      <c r="D520" s="18">
        <f>IFERROR(__xludf.DUMMYFUNCTION("""COMPUTED_VALUE"""),5378.0)</f>
        <v>5378</v>
      </c>
      <c r="E520" s="18">
        <f>IFERROR(__xludf.DUMMYFUNCTION("""COMPUTED_VALUE"""),4985.0)</f>
        <v>4985</v>
      </c>
      <c r="G520" s="18">
        <f t="shared" si="1"/>
        <v>18</v>
      </c>
    </row>
    <row r="521">
      <c r="A521" s="20">
        <f>IFERROR(__xludf.DUMMYFUNCTION("""COMPUTED_VALUE"""),43950.0)</f>
        <v>43950</v>
      </c>
      <c r="B521" s="18" t="str">
        <f>IFERROR(__xludf.DUMMYFUNCTION("""COMPUTED_VALUE"""),"Казань")</f>
        <v>Казань</v>
      </c>
      <c r="C521" s="18">
        <f>IFERROR(__xludf.DUMMYFUNCTION("""COMPUTED_VALUE"""),19.0)</f>
        <v>19</v>
      </c>
      <c r="D521" s="18">
        <f>IFERROR(__xludf.DUMMYFUNCTION("""COMPUTED_VALUE"""),1676.0)</f>
        <v>1676</v>
      </c>
      <c r="E521" s="18">
        <f>IFERROR(__xludf.DUMMYFUNCTION("""COMPUTED_VALUE"""),1516.0)</f>
        <v>1516</v>
      </c>
      <c r="G521" s="18">
        <f t="shared" si="1"/>
        <v>18</v>
      </c>
    </row>
    <row r="522">
      <c r="A522" s="20">
        <f>IFERROR(__xludf.DUMMYFUNCTION("""COMPUTED_VALUE"""),43950.0)</f>
        <v>43950</v>
      </c>
      <c r="B522" s="18" t="str">
        <f>IFERROR(__xludf.DUMMYFUNCTION("""COMPUTED_VALUE"""),"Кемерово")</f>
        <v>Кемерово</v>
      </c>
      <c r="C522" s="18">
        <f>IFERROR(__xludf.DUMMYFUNCTION("""COMPUTED_VALUE"""),18.0)</f>
        <v>18</v>
      </c>
      <c r="D522" s="18">
        <f>IFERROR(__xludf.DUMMYFUNCTION("""COMPUTED_VALUE"""),1684.0)</f>
        <v>1684</v>
      </c>
      <c r="E522" s="18">
        <f>IFERROR(__xludf.DUMMYFUNCTION("""COMPUTED_VALUE"""),1528.0)</f>
        <v>1528</v>
      </c>
      <c r="G522" s="18">
        <f t="shared" si="1"/>
        <v>18</v>
      </c>
    </row>
    <row r="523">
      <c r="A523" s="20">
        <f>IFERROR(__xludf.DUMMYFUNCTION("""COMPUTED_VALUE"""),43950.0)</f>
        <v>43950</v>
      </c>
      <c r="B523" s="18" t="str">
        <f>IFERROR(__xludf.DUMMYFUNCTION("""COMPUTED_VALUE"""),"Краснодар")</f>
        <v>Краснодар</v>
      </c>
      <c r="C523" s="18">
        <f>IFERROR(__xludf.DUMMYFUNCTION("""COMPUTED_VALUE"""),18.0)</f>
        <v>18</v>
      </c>
      <c r="D523" s="18">
        <f>IFERROR(__xludf.DUMMYFUNCTION("""COMPUTED_VALUE"""),1599.0)</f>
        <v>1599</v>
      </c>
      <c r="E523" s="18">
        <f>IFERROR(__xludf.DUMMYFUNCTION("""COMPUTED_VALUE"""),1450.0)</f>
        <v>1450</v>
      </c>
      <c r="G523" s="18">
        <f t="shared" si="1"/>
        <v>18</v>
      </c>
    </row>
    <row r="524">
      <c r="A524" s="20">
        <f>IFERROR(__xludf.DUMMYFUNCTION("""COMPUTED_VALUE"""),43950.0)</f>
        <v>43950</v>
      </c>
      <c r="B524" s="18" t="str">
        <f>IFERROR(__xludf.DUMMYFUNCTION("""COMPUTED_VALUE"""),"Москва Восток")</f>
        <v>Москва Восток</v>
      </c>
      <c r="C524" s="18">
        <f>IFERROR(__xludf.DUMMYFUNCTION("""COMPUTED_VALUE"""),54.0)</f>
        <v>54</v>
      </c>
      <c r="D524" s="18">
        <f>IFERROR(__xludf.DUMMYFUNCTION("""COMPUTED_VALUE"""),12747.0)</f>
        <v>12747</v>
      </c>
      <c r="E524" s="18">
        <f>IFERROR(__xludf.DUMMYFUNCTION("""COMPUTED_VALUE"""),11884.0)</f>
        <v>11884</v>
      </c>
      <c r="G524" s="18">
        <f t="shared" si="1"/>
        <v>18</v>
      </c>
    </row>
    <row r="525">
      <c r="A525" s="20">
        <f>IFERROR(__xludf.DUMMYFUNCTION("""COMPUTED_VALUE"""),43950.0)</f>
        <v>43950</v>
      </c>
      <c r="B525" s="18" t="str">
        <f>IFERROR(__xludf.DUMMYFUNCTION("""COMPUTED_VALUE"""),"Москва Запад")</f>
        <v>Москва Запад</v>
      </c>
      <c r="C525" s="18">
        <f>IFERROR(__xludf.DUMMYFUNCTION("""COMPUTED_VALUE"""),59.0)</f>
        <v>59</v>
      </c>
      <c r="D525" s="18">
        <f>IFERROR(__xludf.DUMMYFUNCTION("""COMPUTED_VALUE"""),13186.0)</f>
        <v>13186</v>
      </c>
      <c r="E525" s="18">
        <f>IFERROR(__xludf.DUMMYFUNCTION("""COMPUTED_VALUE"""),12251.0)</f>
        <v>12251</v>
      </c>
      <c r="G525" s="18">
        <f t="shared" si="1"/>
        <v>18</v>
      </c>
    </row>
    <row r="526">
      <c r="A526" s="20">
        <f>IFERROR(__xludf.DUMMYFUNCTION("""COMPUTED_VALUE"""),43950.0)</f>
        <v>43950</v>
      </c>
      <c r="B526" s="18" t="str">
        <f>IFERROR(__xludf.DUMMYFUNCTION("""COMPUTED_VALUE"""),"Нижний Новгород")</f>
        <v>Нижний Новгород</v>
      </c>
      <c r="C526" s="18">
        <f>IFERROR(__xludf.DUMMYFUNCTION("""COMPUTED_VALUE"""),18.0)</f>
        <v>18</v>
      </c>
      <c r="D526" s="18">
        <f>IFERROR(__xludf.DUMMYFUNCTION("""COMPUTED_VALUE"""),1534.0)</f>
        <v>1534</v>
      </c>
      <c r="E526" s="18">
        <f>IFERROR(__xludf.DUMMYFUNCTION("""COMPUTED_VALUE"""),1369.0)</f>
        <v>1369</v>
      </c>
      <c r="G526" s="18">
        <f t="shared" si="1"/>
        <v>18</v>
      </c>
    </row>
    <row r="527">
      <c r="A527" s="20">
        <f>IFERROR(__xludf.DUMMYFUNCTION("""COMPUTED_VALUE"""),43950.0)</f>
        <v>43950</v>
      </c>
      <c r="B527" s="18" t="str">
        <f>IFERROR(__xludf.DUMMYFUNCTION("""COMPUTED_VALUE"""),"Новосибирск")</f>
        <v>Новосибирск</v>
      </c>
      <c r="C527" s="18">
        <f>IFERROR(__xludf.DUMMYFUNCTION("""COMPUTED_VALUE"""),15.0)</f>
        <v>15</v>
      </c>
      <c r="D527" s="18">
        <f>IFERROR(__xludf.DUMMYFUNCTION("""COMPUTED_VALUE"""),659.0)</f>
        <v>659</v>
      </c>
      <c r="E527" s="18">
        <f>IFERROR(__xludf.DUMMYFUNCTION("""COMPUTED_VALUE"""),575.0)</f>
        <v>575</v>
      </c>
      <c r="G527" s="18">
        <f t="shared" si="1"/>
        <v>18</v>
      </c>
    </row>
    <row r="528">
      <c r="A528" s="20">
        <f>IFERROR(__xludf.DUMMYFUNCTION("""COMPUTED_VALUE"""),43950.0)</f>
        <v>43950</v>
      </c>
      <c r="B528" s="18" t="str">
        <f>IFERROR(__xludf.DUMMYFUNCTION("""COMPUTED_VALUE"""),"Пермь")</f>
        <v>Пермь</v>
      </c>
      <c r="C528" s="18">
        <f>IFERROR(__xludf.DUMMYFUNCTION("""COMPUTED_VALUE"""),15.0)</f>
        <v>15</v>
      </c>
      <c r="D528" s="18">
        <f>IFERROR(__xludf.DUMMYFUNCTION("""COMPUTED_VALUE"""),786.0)</f>
        <v>786</v>
      </c>
      <c r="E528" s="18">
        <f>IFERROR(__xludf.DUMMYFUNCTION("""COMPUTED_VALUE"""),695.0)</f>
        <v>695</v>
      </c>
      <c r="G528" s="18">
        <f t="shared" si="1"/>
        <v>18</v>
      </c>
    </row>
    <row r="529">
      <c r="A529" s="20">
        <f>IFERROR(__xludf.DUMMYFUNCTION("""COMPUTED_VALUE"""),43950.0)</f>
        <v>43950</v>
      </c>
      <c r="B529" s="18" t="str">
        <f>IFERROR(__xludf.DUMMYFUNCTION("""COMPUTED_VALUE"""),"Санкт-Петербург Север")</f>
        <v>Санкт-Петербург Север</v>
      </c>
      <c r="C529" s="18">
        <f>IFERROR(__xludf.DUMMYFUNCTION("""COMPUTED_VALUE"""),125.0)</f>
        <v>125</v>
      </c>
      <c r="D529" s="18">
        <f>IFERROR(__xludf.DUMMYFUNCTION("""COMPUTED_VALUE"""),21863.0)</f>
        <v>21863</v>
      </c>
      <c r="E529" s="18">
        <f>IFERROR(__xludf.DUMMYFUNCTION("""COMPUTED_VALUE"""),20160.0)</f>
        <v>20160</v>
      </c>
      <c r="G529" s="18">
        <f t="shared" si="1"/>
        <v>18</v>
      </c>
    </row>
    <row r="530">
      <c r="A530" s="20">
        <f>IFERROR(__xludf.DUMMYFUNCTION("""COMPUTED_VALUE"""),43950.0)</f>
        <v>43950</v>
      </c>
      <c r="B530" s="18" t="str">
        <f>IFERROR(__xludf.DUMMYFUNCTION("""COMPUTED_VALUE"""),"Санкт-Петербург Юг")</f>
        <v>Санкт-Петербург Юг</v>
      </c>
      <c r="C530" s="18">
        <f>IFERROR(__xludf.DUMMYFUNCTION("""COMPUTED_VALUE"""),128.0)</f>
        <v>128</v>
      </c>
      <c r="D530" s="18">
        <f>IFERROR(__xludf.DUMMYFUNCTION("""COMPUTED_VALUE"""),17368.0)</f>
        <v>17368</v>
      </c>
      <c r="E530" s="18">
        <f>IFERROR(__xludf.DUMMYFUNCTION("""COMPUTED_VALUE"""),16077.0)</f>
        <v>16077</v>
      </c>
      <c r="G530" s="18">
        <f t="shared" si="1"/>
        <v>18</v>
      </c>
    </row>
    <row r="531">
      <c r="A531" s="20">
        <f>IFERROR(__xludf.DUMMYFUNCTION("""COMPUTED_VALUE"""),43950.0)</f>
        <v>43950</v>
      </c>
      <c r="B531" s="18" t="str">
        <f>IFERROR(__xludf.DUMMYFUNCTION("""COMPUTED_VALUE"""),"Тольятти")</f>
        <v>Тольятти</v>
      </c>
      <c r="C531" s="18">
        <f>IFERROR(__xludf.DUMMYFUNCTION("""COMPUTED_VALUE"""),10.0)</f>
        <v>10</v>
      </c>
      <c r="D531" s="18">
        <f>IFERROR(__xludf.DUMMYFUNCTION("""COMPUTED_VALUE"""),502.0)</f>
        <v>502</v>
      </c>
      <c r="E531" s="18">
        <f>IFERROR(__xludf.DUMMYFUNCTION("""COMPUTED_VALUE"""),433.0)</f>
        <v>433</v>
      </c>
      <c r="G531" s="18">
        <f t="shared" si="1"/>
        <v>18</v>
      </c>
    </row>
    <row r="532">
      <c r="A532" s="20">
        <f>IFERROR(__xludf.DUMMYFUNCTION("""COMPUTED_VALUE"""),43951.0)</f>
        <v>43951</v>
      </c>
      <c r="B532" s="18" t="str">
        <f>IFERROR(__xludf.DUMMYFUNCTION("""COMPUTED_VALUE"""),"Волгоград")</f>
        <v>Волгоград</v>
      </c>
      <c r="C532" s="18">
        <f>IFERROR(__xludf.DUMMYFUNCTION("""COMPUTED_VALUE"""),36.0)</f>
        <v>36</v>
      </c>
      <c r="D532" s="18">
        <f>IFERROR(__xludf.DUMMYFUNCTION("""COMPUTED_VALUE"""),5143.0)</f>
        <v>5143</v>
      </c>
      <c r="E532" s="18">
        <f>IFERROR(__xludf.DUMMYFUNCTION("""COMPUTED_VALUE"""),4715.0)</f>
        <v>4715</v>
      </c>
      <c r="G532" s="18">
        <f t="shared" si="1"/>
        <v>18</v>
      </c>
    </row>
    <row r="533">
      <c r="A533" s="20">
        <f>IFERROR(__xludf.DUMMYFUNCTION("""COMPUTED_VALUE"""),43951.0)</f>
        <v>43951</v>
      </c>
      <c r="B533" s="18" t="str">
        <f>IFERROR(__xludf.DUMMYFUNCTION("""COMPUTED_VALUE"""),"Екатеринбург")</f>
        <v>Екатеринбург</v>
      </c>
      <c r="C533" s="18">
        <f>IFERROR(__xludf.DUMMYFUNCTION("""COMPUTED_VALUE"""),31.0)</f>
        <v>31</v>
      </c>
      <c r="D533" s="18">
        <f>IFERROR(__xludf.DUMMYFUNCTION("""COMPUTED_VALUE"""),5120.0)</f>
        <v>5120</v>
      </c>
      <c r="E533" s="18">
        <f>IFERROR(__xludf.DUMMYFUNCTION("""COMPUTED_VALUE"""),4737.0)</f>
        <v>4737</v>
      </c>
      <c r="G533" s="18">
        <f t="shared" si="1"/>
        <v>18</v>
      </c>
    </row>
    <row r="534">
      <c r="A534" s="20">
        <f>IFERROR(__xludf.DUMMYFUNCTION("""COMPUTED_VALUE"""),43951.0)</f>
        <v>43951</v>
      </c>
      <c r="B534" s="18" t="str">
        <f>IFERROR(__xludf.DUMMYFUNCTION("""COMPUTED_VALUE"""),"Казань")</f>
        <v>Казань</v>
      </c>
      <c r="C534" s="18">
        <f>IFERROR(__xludf.DUMMYFUNCTION("""COMPUTED_VALUE"""),20.0)</f>
        <v>20</v>
      </c>
      <c r="D534" s="18">
        <f>IFERROR(__xludf.DUMMYFUNCTION("""COMPUTED_VALUE"""),1756.0)</f>
        <v>1756</v>
      </c>
      <c r="E534" s="18">
        <f>IFERROR(__xludf.DUMMYFUNCTION("""COMPUTED_VALUE"""),1586.0)</f>
        <v>1586</v>
      </c>
      <c r="G534" s="18">
        <f t="shared" si="1"/>
        <v>18</v>
      </c>
    </row>
    <row r="535">
      <c r="A535" s="20">
        <f>IFERROR(__xludf.DUMMYFUNCTION("""COMPUTED_VALUE"""),43951.0)</f>
        <v>43951</v>
      </c>
      <c r="B535" s="18" t="str">
        <f>IFERROR(__xludf.DUMMYFUNCTION("""COMPUTED_VALUE"""),"Кемерово")</f>
        <v>Кемерово</v>
      </c>
      <c r="C535" s="18">
        <f>IFERROR(__xludf.DUMMYFUNCTION("""COMPUTED_VALUE"""),19.0)</f>
        <v>19</v>
      </c>
      <c r="D535" s="18">
        <f>IFERROR(__xludf.DUMMYFUNCTION("""COMPUTED_VALUE"""),1712.0)</f>
        <v>1712</v>
      </c>
      <c r="E535" s="18">
        <f>IFERROR(__xludf.DUMMYFUNCTION("""COMPUTED_VALUE"""),1552.0)</f>
        <v>1552</v>
      </c>
      <c r="G535" s="18">
        <f t="shared" si="1"/>
        <v>18</v>
      </c>
    </row>
    <row r="536">
      <c r="A536" s="20">
        <f>IFERROR(__xludf.DUMMYFUNCTION("""COMPUTED_VALUE"""),43951.0)</f>
        <v>43951</v>
      </c>
      <c r="B536" s="18" t="str">
        <f>IFERROR(__xludf.DUMMYFUNCTION("""COMPUTED_VALUE"""),"Краснодар")</f>
        <v>Краснодар</v>
      </c>
      <c r="C536" s="18">
        <f>IFERROR(__xludf.DUMMYFUNCTION("""COMPUTED_VALUE"""),19.0)</f>
        <v>19</v>
      </c>
      <c r="D536" s="18">
        <f>IFERROR(__xludf.DUMMYFUNCTION("""COMPUTED_VALUE"""),1662.0)</f>
        <v>1662</v>
      </c>
      <c r="E536" s="18">
        <f>IFERROR(__xludf.DUMMYFUNCTION("""COMPUTED_VALUE"""),1506.0)</f>
        <v>1506</v>
      </c>
      <c r="G536" s="18">
        <f t="shared" si="1"/>
        <v>18</v>
      </c>
    </row>
    <row r="537">
      <c r="A537" s="20">
        <f>IFERROR(__xludf.DUMMYFUNCTION("""COMPUTED_VALUE"""),43951.0)</f>
        <v>43951</v>
      </c>
      <c r="B537" s="18" t="str">
        <f>IFERROR(__xludf.DUMMYFUNCTION("""COMPUTED_VALUE"""),"Москва Восток")</f>
        <v>Москва Восток</v>
      </c>
      <c r="C537" s="18">
        <f>IFERROR(__xludf.DUMMYFUNCTION("""COMPUTED_VALUE"""),54.0)</f>
        <v>54</v>
      </c>
      <c r="D537" s="18">
        <f>IFERROR(__xludf.DUMMYFUNCTION("""COMPUTED_VALUE"""),12817.0)</f>
        <v>12817</v>
      </c>
      <c r="E537" s="18">
        <f>IFERROR(__xludf.DUMMYFUNCTION("""COMPUTED_VALUE"""),11865.0)</f>
        <v>11865</v>
      </c>
      <c r="G537" s="18">
        <f t="shared" si="1"/>
        <v>18</v>
      </c>
    </row>
    <row r="538">
      <c r="A538" s="20">
        <f>IFERROR(__xludf.DUMMYFUNCTION("""COMPUTED_VALUE"""),43951.0)</f>
        <v>43951</v>
      </c>
      <c r="B538" s="18" t="str">
        <f>IFERROR(__xludf.DUMMYFUNCTION("""COMPUTED_VALUE"""),"Москва Запад")</f>
        <v>Москва Запад</v>
      </c>
      <c r="C538" s="18">
        <f>IFERROR(__xludf.DUMMYFUNCTION("""COMPUTED_VALUE"""),59.0)</f>
        <v>59</v>
      </c>
      <c r="D538" s="18">
        <f>IFERROR(__xludf.DUMMYFUNCTION("""COMPUTED_VALUE"""),13251.0)</f>
        <v>13251</v>
      </c>
      <c r="E538" s="18">
        <f>IFERROR(__xludf.DUMMYFUNCTION("""COMPUTED_VALUE"""),12255.0)</f>
        <v>12255</v>
      </c>
      <c r="G538" s="18">
        <f t="shared" si="1"/>
        <v>18</v>
      </c>
    </row>
    <row r="539">
      <c r="A539" s="20">
        <f>IFERROR(__xludf.DUMMYFUNCTION("""COMPUTED_VALUE"""),43951.0)</f>
        <v>43951</v>
      </c>
      <c r="B539" s="18" t="str">
        <f>IFERROR(__xludf.DUMMYFUNCTION("""COMPUTED_VALUE"""),"Нижний Новгород")</f>
        <v>Нижний Новгород</v>
      </c>
      <c r="C539" s="18">
        <f>IFERROR(__xludf.DUMMYFUNCTION("""COMPUTED_VALUE"""),19.0)</f>
        <v>19</v>
      </c>
      <c r="D539" s="18">
        <f>IFERROR(__xludf.DUMMYFUNCTION("""COMPUTED_VALUE"""),1499.0)</f>
        <v>1499</v>
      </c>
      <c r="E539" s="18">
        <f>IFERROR(__xludf.DUMMYFUNCTION("""COMPUTED_VALUE"""),1322.0)</f>
        <v>1322</v>
      </c>
      <c r="G539" s="18">
        <f t="shared" si="1"/>
        <v>18</v>
      </c>
    </row>
    <row r="540">
      <c r="A540" s="20">
        <f>IFERROR(__xludf.DUMMYFUNCTION("""COMPUTED_VALUE"""),43951.0)</f>
        <v>43951</v>
      </c>
      <c r="B540" s="18" t="str">
        <f>IFERROR(__xludf.DUMMYFUNCTION("""COMPUTED_VALUE"""),"Новосибирск")</f>
        <v>Новосибирск</v>
      </c>
      <c r="C540" s="18">
        <f>IFERROR(__xludf.DUMMYFUNCTION("""COMPUTED_VALUE"""),15.0)</f>
        <v>15</v>
      </c>
      <c r="D540" s="18">
        <f>IFERROR(__xludf.DUMMYFUNCTION("""COMPUTED_VALUE"""),644.0)</f>
        <v>644</v>
      </c>
      <c r="E540" s="18">
        <f>IFERROR(__xludf.DUMMYFUNCTION("""COMPUTED_VALUE"""),550.0)</f>
        <v>550</v>
      </c>
      <c r="G540" s="18">
        <f t="shared" si="1"/>
        <v>18</v>
      </c>
    </row>
    <row r="541">
      <c r="A541" s="20">
        <f>IFERROR(__xludf.DUMMYFUNCTION("""COMPUTED_VALUE"""),43951.0)</f>
        <v>43951</v>
      </c>
      <c r="B541" s="18" t="str">
        <f>IFERROR(__xludf.DUMMYFUNCTION("""COMPUTED_VALUE"""),"Пермь")</f>
        <v>Пермь</v>
      </c>
      <c r="C541" s="18">
        <f>IFERROR(__xludf.DUMMYFUNCTION("""COMPUTED_VALUE"""),15.0)</f>
        <v>15</v>
      </c>
      <c r="D541" s="18">
        <f>IFERROR(__xludf.DUMMYFUNCTION("""COMPUTED_VALUE"""),791.0)</f>
        <v>791</v>
      </c>
      <c r="E541" s="18">
        <f>IFERROR(__xludf.DUMMYFUNCTION("""COMPUTED_VALUE"""),691.0)</f>
        <v>691</v>
      </c>
      <c r="G541" s="18">
        <f t="shared" si="1"/>
        <v>18</v>
      </c>
    </row>
    <row r="542">
      <c r="A542" s="20">
        <f>IFERROR(__xludf.DUMMYFUNCTION("""COMPUTED_VALUE"""),43951.0)</f>
        <v>43951</v>
      </c>
      <c r="B542" s="18" t="str">
        <f>IFERROR(__xludf.DUMMYFUNCTION("""COMPUTED_VALUE"""),"Ростов-на-Дону")</f>
        <v>Ростов-на-Дону</v>
      </c>
      <c r="C542" s="18">
        <f>IFERROR(__xludf.DUMMYFUNCTION("""COMPUTED_VALUE"""),15.0)</f>
        <v>15</v>
      </c>
      <c r="D542" s="18">
        <f>IFERROR(__xludf.DUMMYFUNCTION("""COMPUTED_VALUE"""),262.0)</f>
        <v>262</v>
      </c>
      <c r="E542" s="18">
        <f>IFERROR(__xludf.DUMMYFUNCTION("""COMPUTED_VALUE"""),195.0)</f>
        <v>195</v>
      </c>
      <c r="G542" s="18">
        <f t="shared" si="1"/>
        <v>18</v>
      </c>
    </row>
    <row r="543">
      <c r="A543" s="20">
        <f>IFERROR(__xludf.DUMMYFUNCTION("""COMPUTED_VALUE"""),43951.0)</f>
        <v>43951</v>
      </c>
      <c r="B543" s="18" t="str">
        <f>IFERROR(__xludf.DUMMYFUNCTION("""COMPUTED_VALUE"""),"Санкт-Петербург Север")</f>
        <v>Санкт-Петербург Север</v>
      </c>
      <c r="C543" s="18">
        <f>IFERROR(__xludf.DUMMYFUNCTION("""COMPUTED_VALUE"""),125.0)</f>
        <v>125</v>
      </c>
      <c r="D543" s="18">
        <f>IFERROR(__xludf.DUMMYFUNCTION("""COMPUTED_VALUE"""),22368.0)</f>
        <v>22368</v>
      </c>
      <c r="E543" s="18">
        <f>IFERROR(__xludf.DUMMYFUNCTION("""COMPUTED_VALUE"""),20625.0)</f>
        <v>20625</v>
      </c>
      <c r="G543" s="18">
        <f t="shared" si="1"/>
        <v>18</v>
      </c>
    </row>
    <row r="544">
      <c r="A544" s="20">
        <f>IFERROR(__xludf.DUMMYFUNCTION("""COMPUTED_VALUE"""),43951.0)</f>
        <v>43951</v>
      </c>
      <c r="B544" s="18" t="str">
        <f>IFERROR(__xludf.DUMMYFUNCTION("""COMPUTED_VALUE"""),"Санкт-Петербург Юг")</f>
        <v>Санкт-Петербург Юг</v>
      </c>
      <c r="C544" s="18">
        <f>IFERROR(__xludf.DUMMYFUNCTION("""COMPUTED_VALUE"""),129.0)</f>
        <v>129</v>
      </c>
      <c r="D544" s="18">
        <f>IFERROR(__xludf.DUMMYFUNCTION("""COMPUTED_VALUE"""),18042.0)</f>
        <v>18042</v>
      </c>
      <c r="E544" s="18">
        <f>IFERROR(__xludf.DUMMYFUNCTION("""COMPUTED_VALUE"""),16631.0)</f>
        <v>16631</v>
      </c>
      <c r="G544" s="18">
        <f t="shared" si="1"/>
        <v>18</v>
      </c>
    </row>
    <row r="545">
      <c r="A545" s="20">
        <f>IFERROR(__xludf.DUMMYFUNCTION("""COMPUTED_VALUE"""),43951.0)</f>
        <v>43951</v>
      </c>
      <c r="B545" s="18" t="str">
        <f>IFERROR(__xludf.DUMMYFUNCTION("""COMPUTED_VALUE"""),"Тольятти")</f>
        <v>Тольятти</v>
      </c>
      <c r="C545" s="18">
        <f>IFERROR(__xludf.DUMMYFUNCTION("""COMPUTED_VALUE"""),10.0)</f>
        <v>10</v>
      </c>
      <c r="D545" s="18">
        <f>IFERROR(__xludf.DUMMYFUNCTION("""COMPUTED_VALUE"""),448.0)</f>
        <v>448</v>
      </c>
      <c r="E545" s="18">
        <f>IFERROR(__xludf.DUMMYFUNCTION("""COMPUTED_VALUE"""),376.0)</f>
        <v>376</v>
      </c>
      <c r="G545" s="18">
        <f t="shared" si="1"/>
        <v>18</v>
      </c>
    </row>
    <row r="546">
      <c r="A546" s="20">
        <f>IFERROR(__xludf.DUMMYFUNCTION("""COMPUTED_VALUE"""),43952.0)</f>
        <v>43952</v>
      </c>
      <c r="B546" s="18" t="str">
        <f>IFERROR(__xludf.DUMMYFUNCTION("""COMPUTED_VALUE"""),"Волгоград")</f>
        <v>Волгоград</v>
      </c>
      <c r="C546" s="18">
        <f>IFERROR(__xludf.DUMMYFUNCTION("""COMPUTED_VALUE"""),36.0)</f>
        <v>36</v>
      </c>
      <c r="D546" s="18">
        <f>IFERROR(__xludf.DUMMYFUNCTION("""COMPUTED_VALUE"""),5457.0)</f>
        <v>5457</v>
      </c>
      <c r="E546" s="18">
        <f>IFERROR(__xludf.DUMMYFUNCTION("""COMPUTED_VALUE"""),4916.0)</f>
        <v>4916</v>
      </c>
      <c r="G546" s="18">
        <f t="shared" si="1"/>
        <v>18</v>
      </c>
    </row>
    <row r="547">
      <c r="A547" s="20">
        <f>IFERROR(__xludf.DUMMYFUNCTION("""COMPUTED_VALUE"""),43952.0)</f>
        <v>43952</v>
      </c>
      <c r="B547" s="18" t="str">
        <f>IFERROR(__xludf.DUMMYFUNCTION("""COMPUTED_VALUE"""),"Екатеринбург")</f>
        <v>Екатеринбург</v>
      </c>
      <c r="C547" s="18">
        <f>IFERROR(__xludf.DUMMYFUNCTION("""COMPUTED_VALUE"""),31.0)</f>
        <v>31</v>
      </c>
      <c r="D547" s="18">
        <f>IFERROR(__xludf.DUMMYFUNCTION("""COMPUTED_VALUE"""),6118.0)</f>
        <v>6118</v>
      </c>
      <c r="E547" s="18">
        <f>IFERROR(__xludf.DUMMYFUNCTION("""COMPUTED_VALUE"""),5564.0)</f>
        <v>5564</v>
      </c>
      <c r="G547" s="18">
        <f t="shared" si="1"/>
        <v>18</v>
      </c>
    </row>
    <row r="548">
      <c r="A548" s="20">
        <f>IFERROR(__xludf.DUMMYFUNCTION("""COMPUTED_VALUE"""),43952.0)</f>
        <v>43952</v>
      </c>
      <c r="B548" s="18" t="str">
        <f>IFERROR(__xludf.DUMMYFUNCTION("""COMPUTED_VALUE"""),"Казань")</f>
        <v>Казань</v>
      </c>
      <c r="C548" s="18">
        <f>IFERROR(__xludf.DUMMYFUNCTION("""COMPUTED_VALUE"""),20.0)</f>
        <v>20</v>
      </c>
      <c r="D548" s="18">
        <f>IFERROR(__xludf.DUMMYFUNCTION("""COMPUTED_VALUE"""),2468.0)</f>
        <v>2468</v>
      </c>
      <c r="E548" s="18">
        <f>IFERROR(__xludf.DUMMYFUNCTION("""COMPUTED_VALUE"""),2221.0)</f>
        <v>2221</v>
      </c>
      <c r="G548" s="18">
        <f t="shared" si="1"/>
        <v>18</v>
      </c>
    </row>
    <row r="549">
      <c r="A549" s="20">
        <f>IFERROR(__xludf.DUMMYFUNCTION("""COMPUTED_VALUE"""),43952.0)</f>
        <v>43952</v>
      </c>
      <c r="B549" s="18" t="str">
        <f>IFERROR(__xludf.DUMMYFUNCTION("""COMPUTED_VALUE"""),"Кемерово")</f>
        <v>Кемерово</v>
      </c>
      <c r="C549" s="18">
        <f>IFERROR(__xludf.DUMMYFUNCTION("""COMPUTED_VALUE"""),18.0)</f>
        <v>18</v>
      </c>
      <c r="D549" s="18">
        <f>IFERROR(__xludf.DUMMYFUNCTION("""COMPUTED_VALUE"""),1826.0)</f>
        <v>1826</v>
      </c>
      <c r="E549" s="18">
        <f>IFERROR(__xludf.DUMMYFUNCTION("""COMPUTED_VALUE"""),1633.0)</f>
        <v>1633</v>
      </c>
      <c r="G549" s="18">
        <f t="shared" si="1"/>
        <v>18</v>
      </c>
    </row>
    <row r="550">
      <c r="A550" s="20">
        <f>IFERROR(__xludf.DUMMYFUNCTION("""COMPUTED_VALUE"""),43952.0)</f>
        <v>43952</v>
      </c>
      <c r="B550" s="18" t="str">
        <f>IFERROR(__xludf.DUMMYFUNCTION("""COMPUTED_VALUE"""),"Краснодар")</f>
        <v>Краснодар</v>
      </c>
      <c r="C550" s="18">
        <f>IFERROR(__xludf.DUMMYFUNCTION("""COMPUTED_VALUE"""),19.0)</f>
        <v>19</v>
      </c>
      <c r="D550" s="18">
        <f>IFERROR(__xludf.DUMMYFUNCTION("""COMPUTED_VALUE"""),1987.0)</f>
        <v>1987</v>
      </c>
      <c r="E550" s="18">
        <f>IFERROR(__xludf.DUMMYFUNCTION("""COMPUTED_VALUE"""),1791.0)</f>
        <v>1791</v>
      </c>
      <c r="G550" s="18">
        <f t="shared" si="1"/>
        <v>18</v>
      </c>
    </row>
    <row r="551">
      <c r="A551" s="20">
        <f>IFERROR(__xludf.DUMMYFUNCTION("""COMPUTED_VALUE"""),43952.0)</f>
        <v>43952</v>
      </c>
      <c r="B551" s="18" t="str">
        <f>IFERROR(__xludf.DUMMYFUNCTION("""COMPUTED_VALUE"""),"Москва Восток")</f>
        <v>Москва Восток</v>
      </c>
      <c r="C551" s="18">
        <f>IFERROR(__xludf.DUMMYFUNCTION("""COMPUTED_VALUE"""),54.0)</f>
        <v>54</v>
      </c>
      <c r="D551" s="18">
        <f>IFERROR(__xludf.DUMMYFUNCTION("""COMPUTED_VALUE"""),14205.0)</f>
        <v>14205</v>
      </c>
      <c r="E551" s="18">
        <f>IFERROR(__xludf.DUMMYFUNCTION("""COMPUTED_VALUE"""),13026.0)</f>
        <v>13026</v>
      </c>
      <c r="G551" s="18">
        <f t="shared" si="1"/>
        <v>18</v>
      </c>
    </row>
    <row r="552">
      <c r="A552" s="20">
        <f>IFERROR(__xludf.DUMMYFUNCTION("""COMPUTED_VALUE"""),43952.0)</f>
        <v>43952</v>
      </c>
      <c r="B552" s="18" t="str">
        <f>IFERROR(__xludf.DUMMYFUNCTION("""COMPUTED_VALUE"""),"Москва Запад")</f>
        <v>Москва Запад</v>
      </c>
      <c r="C552" s="18">
        <f>IFERROR(__xludf.DUMMYFUNCTION("""COMPUTED_VALUE"""),59.0)</f>
        <v>59</v>
      </c>
      <c r="D552" s="18">
        <f>IFERROR(__xludf.DUMMYFUNCTION("""COMPUTED_VALUE"""),15222.0)</f>
        <v>15222</v>
      </c>
      <c r="E552" s="18">
        <f>IFERROR(__xludf.DUMMYFUNCTION("""COMPUTED_VALUE"""),13873.0)</f>
        <v>13873</v>
      </c>
      <c r="G552" s="18">
        <f t="shared" si="1"/>
        <v>18</v>
      </c>
    </row>
    <row r="553">
      <c r="A553" s="20">
        <f>IFERROR(__xludf.DUMMYFUNCTION("""COMPUTED_VALUE"""),43952.0)</f>
        <v>43952</v>
      </c>
      <c r="B553" s="18" t="str">
        <f>IFERROR(__xludf.DUMMYFUNCTION("""COMPUTED_VALUE"""),"Нижний Новгород")</f>
        <v>Нижний Новгород</v>
      </c>
      <c r="C553" s="18">
        <f>IFERROR(__xludf.DUMMYFUNCTION("""COMPUTED_VALUE"""),19.0)</f>
        <v>19</v>
      </c>
      <c r="D553" s="18">
        <f>IFERROR(__xludf.DUMMYFUNCTION("""COMPUTED_VALUE"""),1497.0)</f>
        <v>1497</v>
      </c>
      <c r="E553" s="18">
        <f>IFERROR(__xludf.DUMMYFUNCTION("""COMPUTED_VALUE"""),1291.0)</f>
        <v>1291</v>
      </c>
      <c r="G553" s="18">
        <f t="shared" si="1"/>
        <v>18</v>
      </c>
    </row>
    <row r="554">
      <c r="A554" s="20">
        <f>IFERROR(__xludf.DUMMYFUNCTION("""COMPUTED_VALUE"""),43952.0)</f>
        <v>43952</v>
      </c>
      <c r="B554" s="18" t="str">
        <f>IFERROR(__xludf.DUMMYFUNCTION("""COMPUTED_VALUE"""),"Новосибирск")</f>
        <v>Новосибирск</v>
      </c>
      <c r="C554" s="18">
        <f>IFERROR(__xludf.DUMMYFUNCTION("""COMPUTED_VALUE"""),15.0)</f>
        <v>15</v>
      </c>
      <c r="D554" s="18">
        <f>IFERROR(__xludf.DUMMYFUNCTION("""COMPUTED_VALUE"""),721.0)</f>
        <v>721</v>
      </c>
      <c r="E554" s="18">
        <f>IFERROR(__xludf.DUMMYFUNCTION("""COMPUTED_VALUE"""),625.0)</f>
        <v>625</v>
      </c>
      <c r="G554" s="18">
        <f t="shared" si="1"/>
        <v>18</v>
      </c>
    </row>
    <row r="555">
      <c r="A555" s="20">
        <f>IFERROR(__xludf.DUMMYFUNCTION("""COMPUTED_VALUE"""),43952.0)</f>
        <v>43952</v>
      </c>
      <c r="B555" s="18" t="str">
        <f>IFERROR(__xludf.DUMMYFUNCTION("""COMPUTED_VALUE"""),"Пермь")</f>
        <v>Пермь</v>
      </c>
      <c r="C555" s="18">
        <f>IFERROR(__xludf.DUMMYFUNCTION("""COMPUTED_VALUE"""),15.0)</f>
        <v>15</v>
      </c>
      <c r="D555" s="18">
        <f>IFERROR(__xludf.DUMMYFUNCTION("""COMPUTED_VALUE"""),996.0)</f>
        <v>996</v>
      </c>
      <c r="E555" s="18">
        <f>IFERROR(__xludf.DUMMYFUNCTION("""COMPUTED_VALUE"""),888.0)</f>
        <v>888</v>
      </c>
      <c r="G555" s="18">
        <f t="shared" si="1"/>
        <v>18</v>
      </c>
    </row>
    <row r="556">
      <c r="A556" s="20">
        <f>IFERROR(__xludf.DUMMYFUNCTION("""COMPUTED_VALUE"""),43952.0)</f>
        <v>43952</v>
      </c>
      <c r="B556" s="18" t="str">
        <f>IFERROR(__xludf.DUMMYFUNCTION("""COMPUTED_VALUE"""),"Ростов-на-Дону")</f>
        <v>Ростов-на-Дону</v>
      </c>
      <c r="C556" s="18">
        <f>IFERROR(__xludf.DUMMYFUNCTION("""COMPUTED_VALUE"""),15.0)</f>
        <v>15</v>
      </c>
      <c r="D556" s="18">
        <f>IFERROR(__xludf.DUMMYFUNCTION("""COMPUTED_VALUE"""),294.0)</f>
        <v>294</v>
      </c>
      <c r="E556" s="18">
        <f>IFERROR(__xludf.DUMMYFUNCTION("""COMPUTED_VALUE"""),225.0)</f>
        <v>225</v>
      </c>
      <c r="G556" s="18">
        <f t="shared" si="1"/>
        <v>18</v>
      </c>
    </row>
    <row r="557">
      <c r="A557" s="20">
        <f>IFERROR(__xludf.DUMMYFUNCTION("""COMPUTED_VALUE"""),43952.0)</f>
        <v>43952</v>
      </c>
      <c r="B557" s="18" t="str">
        <f>IFERROR(__xludf.DUMMYFUNCTION("""COMPUTED_VALUE"""),"Санкт-Петербург Север")</f>
        <v>Санкт-Петербург Север</v>
      </c>
      <c r="C557" s="18">
        <f>IFERROR(__xludf.DUMMYFUNCTION("""COMPUTED_VALUE"""),125.0)</f>
        <v>125</v>
      </c>
      <c r="D557" s="18">
        <f>IFERROR(__xludf.DUMMYFUNCTION("""COMPUTED_VALUE"""),20602.0)</f>
        <v>20602</v>
      </c>
      <c r="E557" s="18">
        <f>IFERROR(__xludf.DUMMYFUNCTION("""COMPUTED_VALUE"""),18845.0)</f>
        <v>18845</v>
      </c>
      <c r="G557" s="18">
        <f t="shared" si="1"/>
        <v>18</v>
      </c>
    </row>
    <row r="558">
      <c r="A558" s="20">
        <f>IFERROR(__xludf.DUMMYFUNCTION("""COMPUTED_VALUE"""),43952.0)</f>
        <v>43952</v>
      </c>
      <c r="B558" s="18" t="str">
        <f>IFERROR(__xludf.DUMMYFUNCTION("""COMPUTED_VALUE"""),"Санкт-Петербург Юг")</f>
        <v>Санкт-Петербург Юг</v>
      </c>
      <c r="C558" s="18">
        <f>IFERROR(__xludf.DUMMYFUNCTION("""COMPUTED_VALUE"""),129.0)</f>
        <v>129</v>
      </c>
      <c r="D558" s="18">
        <f>IFERROR(__xludf.DUMMYFUNCTION("""COMPUTED_VALUE"""),17002.0)</f>
        <v>17002</v>
      </c>
      <c r="E558" s="18">
        <f>IFERROR(__xludf.DUMMYFUNCTION("""COMPUTED_VALUE"""),15570.0)</f>
        <v>15570</v>
      </c>
      <c r="G558" s="18">
        <f t="shared" si="1"/>
        <v>18</v>
      </c>
    </row>
    <row r="559">
      <c r="A559" s="20">
        <f>IFERROR(__xludf.DUMMYFUNCTION("""COMPUTED_VALUE"""),43952.0)</f>
        <v>43952</v>
      </c>
      <c r="B559" s="18" t="str">
        <f>IFERROR(__xludf.DUMMYFUNCTION("""COMPUTED_VALUE"""),"Тольятти")</f>
        <v>Тольятти</v>
      </c>
      <c r="C559" s="18">
        <f>IFERROR(__xludf.DUMMYFUNCTION("""COMPUTED_VALUE"""),10.0)</f>
        <v>10</v>
      </c>
      <c r="D559" s="18">
        <f>IFERROR(__xludf.DUMMYFUNCTION("""COMPUTED_VALUE"""),554.0)</f>
        <v>554</v>
      </c>
      <c r="E559" s="18">
        <f>IFERROR(__xludf.DUMMYFUNCTION("""COMPUTED_VALUE"""),472.0)</f>
        <v>472</v>
      </c>
      <c r="G559" s="18">
        <f t="shared" si="1"/>
        <v>18</v>
      </c>
    </row>
    <row r="560">
      <c r="A560" s="20">
        <f>IFERROR(__xludf.DUMMYFUNCTION("""COMPUTED_VALUE"""),43953.0)</f>
        <v>43953</v>
      </c>
      <c r="B560" s="18" t="str">
        <f>IFERROR(__xludf.DUMMYFUNCTION("""COMPUTED_VALUE"""),"Волгоград")</f>
        <v>Волгоград</v>
      </c>
      <c r="C560" s="18">
        <f>IFERROR(__xludf.DUMMYFUNCTION("""COMPUTED_VALUE"""),36.0)</f>
        <v>36</v>
      </c>
      <c r="D560" s="18">
        <f>IFERROR(__xludf.DUMMYFUNCTION("""COMPUTED_VALUE"""),3442.0)</f>
        <v>3442</v>
      </c>
      <c r="E560" s="18">
        <f>IFERROR(__xludf.DUMMYFUNCTION("""COMPUTED_VALUE"""),3147.0)</f>
        <v>3147</v>
      </c>
      <c r="G560" s="18">
        <f t="shared" si="1"/>
        <v>18</v>
      </c>
    </row>
    <row r="561">
      <c r="A561" s="20">
        <f>IFERROR(__xludf.DUMMYFUNCTION("""COMPUTED_VALUE"""),43953.0)</f>
        <v>43953</v>
      </c>
      <c r="B561" s="18" t="str">
        <f>IFERROR(__xludf.DUMMYFUNCTION("""COMPUTED_VALUE"""),"Екатеринбург")</f>
        <v>Екатеринбург</v>
      </c>
      <c r="C561" s="18">
        <f>IFERROR(__xludf.DUMMYFUNCTION("""COMPUTED_VALUE"""),31.0)</f>
        <v>31</v>
      </c>
      <c r="D561" s="18">
        <f>IFERROR(__xludf.DUMMYFUNCTION("""COMPUTED_VALUE"""),4157.0)</f>
        <v>4157</v>
      </c>
      <c r="E561" s="18">
        <f>IFERROR(__xludf.DUMMYFUNCTION("""COMPUTED_VALUE"""),3823.0)</f>
        <v>3823</v>
      </c>
      <c r="G561" s="18">
        <f t="shared" si="1"/>
        <v>18</v>
      </c>
    </row>
    <row r="562">
      <c r="A562" s="20">
        <f>IFERROR(__xludf.DUMMYFUNCTION("""COMPUTED_VALUE"""),43953.0)</f>
        <v>43953</v>
      </c>
      <c r="B562" s="18" t="str">
        <f>IFERROR(__xludf.DUMMYFUNCTION("""COMPUTED_VALUE"""),"Казань")</f>
        <v>Казань</v>
      </c>
      <c r="C562" s="18">
        <f>IFERROR(__xludf.DUMMYFUNCTION("""COMPUTED_VALUE"""),20.0)</f>
        <v>20</v>
      </c>
      <c r="D562" s="18">
        <f>IFERROR(__xludf.DUMMYFUNCTION("""COMPUTED_VALUE"""),1613.0)</f>
        <v>1613</v>
      </c>
      <c r="E562" s="18">
        <f>IFERROR(__xludf.DUMMYFUNCTION("""COMPUTED_VALUE"""),1457.0)</f>
        <v>1457</v>
      </c>
      <c r="G562" s="18">
        <f t="shared" si="1"/>
        <v>18</v>
      </c>
    </row>
    <row r="563">
      <c r="A563" s="20">
        <f>IFERROR(__xludf.DUMMYFUNCTION("""COMPUTED_VALUE"""),43953.0)</f>
        <v>43953</v>
      </c>
      <c r="B563" s="18" t="str">
        <f>IFERROR(__xludf.DUMMYFUNCTION("""COMPUTED_VALUE"""),"Кемерово")</f>
        <v>Кемерово</v>
      </c>
      <c r="C563" s="18">
        <f>IFERROR(__xludf.DUMMYFUNCTION("""COMPUTED_VALUE"""),18.0)</f>
        <v>18</v>
      </c>
      <c r="D563" s="18">
        <f>IFERROR(__xludf.DUMMYFUNCTION("""COMPUTED_VALUE"""),1708.0)</f>
        <v>1708</v>
      </c>
      <c r="E563" s="18">
        <f>IFERROR(__xludf.DUMMYFUNCTION("""COMPUTED_VALUE"""),1534.0)</f>
        <v>1534</v>
      </c>
      <c r="G563" s="18">
        <f t="shared" si="1"/>
        <v>18</v>
      </c>
    </row>
    <row r="564">
      <c r="A564" s="20">
        <f>IFERROR(__xludf.DUMMYFUNCTION("""COMPUTED_VALUE"""),43953.0)</f>
        <v>43953</v>
      </c>
      <c r="B564" s="18" t="str">
        <f>IFERROR(__xludf.DUMMYFUNCTION("""COMPUTED_VALUE"""),"Краснодар")</f>
        <v>Краснодар</v>
      </c>
      <c r="C564" s="18">
        <f>IFERROR(__xludf.DUMMYFUNCTION("""COMPUTED_VALUE"""),19.0)</f>
        <v>19</v>
      </c>
      <c r="D564" s="18">
        <f>IFERROR(__xludf.DUMMYFUNCTION("""COMPUTED_VALUE"""),1206.0)</f>
        <v>1206</v>
      </c>
      <c r="E564" s="18">
        <f>IFERROR(__xludf.DUMMYFUNCTION("""COMPUTED_VALUE"""),1080.0)</f>
        <v>1080</v>
      </c>
      <c r="G564" s="18">
        <f t="shared" si="1"/>
        <v>18</v>
      </c>
    </row>
    <row r="565">
      <c r="A565" s="20">
        <f>IFERROR(__xludf.DUMMYFUNCTION("""COMPUTED_VALUE"""),43953.0)</f>
        <v>43953</v>
      </c>
      <c r="B565" s="18" t="str">
        <f>IFERROR(__xludf.DUMMYFUNCTION("""COMPUTED_VALUE"""),"Москва Восток")</f>
        <v>Москва Восток</v>
      </c>
      <c r="C565" s="18">
        <f>IFERROR(__xludf.DUMMYFUNCTION("""COMPUTED_VALUE"""),54.0)</f>
        <v>54</v>
      </c>
      <c r="D565" s="18">
        <f>IFERROR(__xludf.DUMMYFUNCTION("""COMPUTED_VALUE"""),11622.0)</f>
        <v>11622</v>
      </c>
      <c r="E565" s="18">
        <f>IFERROR(__xludf.DUMMYFUNCTION("""COMPUTED_VALUE"""),10754.0)</f>
        <v>10754</v>
      </c>
      <c r="G565" s="18">
        <f t="shared" si="1"/>
        <v>18</v>
      </c>
    </row>
    <row r="566">
      <c r="A566" s="20">
        <f>IFERROR(__xludf.DUMMYFUNCTION("""COMPUTED_VALUE"""),43953.0)</f>
        <v>43953</v>
      </c>
      <c r="B566" s="18" t="str">
        <f>IFERROR(__xludf.DUMMYFUNCTION("""COMPUTED_VALUE"""),"Москва Запад")</f>
        <v>Москва Запад</v>
      </c>
      <c r="C566" s="18">
        <f>IFERROR(__xludf.DUMMYFUNCTION("""COMPUTED_VALUE"""),59.0)</f>
        <v>59</v>
      </c>
      <c r="D566" s="18">
        <f>IFERROR(__xludf.DUMMYFUNCTION("""COMPUTED_VALUE"""),12429.0)</f>
        <v>12429</v>
      </c>
      <c r="E566" s="18">
        <f>IFERROR(__xludf.DUMMYFUNCTION("""COMPUTED_VALUE"""),11477.0)</f>
        <v>11477</v>
      </c>
      <c r="G566" s="18">
        <f t="shared" si="1"/>
        <v>18</v>
      </c>
    </row>
    <row r="567">
      <c r="A567" s="20">
        <f>IFERROR(__xludf.DUMMYFUNCTION("""COMPUTED_VALUE"""),43953.0)</f>
        <v>43953</v>
      </c>
      <c r="B567" s="18" t="str">
        <f>IFERROR(__xludf.DUMMYFUNCTION("""COMPUTED_VALUE"""),"Нижний Новгород")</f>
        <v>Нижний Новгород</v>
      </c>
      <c r="C567" s="18">
        <f>IFERROR(__xludf.DUMMYFUNCTION("""COMPUTED_VALUE"""),19.0)</f>
        <v>19</v>
      </c>
      <c r="D567" s="18">
        <f>IFERROR(__xludf.DUMMYFUNCTION("""COMPUTED_VALUE"""),1217.0)</f>
        <v>1217</v>
      </c>
      <c r="E567" s="18">
        <f>IFERROR(__xludf.DUMMYFUNCTION("""COMPUTED_VALUE"""),1048.0)</f>
        <v>1048</v>
      </c>
      <c r="G567" s="18">
        <f t="shared" si="1"/>
        <v>18</v>
      </c>
    </row>
    <row r="568">
      <c r="A568" s="20">
        <f>IFERROR(__xludf.DUMMYFUNCTION("""COMPUTED_VALUE"""),43953.0)</f>
        <v>43953</v>
      </c>
      <c r="B568" s="18" t="str">
        <f>IFERROR(__xludf.DUMMYFUNCTION("""COMPUTED_VALUE"""),"Новосибирск")</f>
        <v>Новосибирск</v>
      </c>
      <c r="C568" s="18">
        <f>IFERROR(__xludf.DUMMYFUNCTION("""COMPUTED_VALUE"""),15.0)</f>
        <v>15</v>
      </c>
      <c r="D568" s="18">
        <f>IFERROR(__xludf.DUMMYFUNCTION("""COMPUTED_VALUE"""),567.0)</f>
        <v>567</v>
      </c>
      <c r="E568" s="18">
        <f>IFERROR(__xludf.DUMMYFUNCTION("""COMPUTED_VALUE"""),493.0)</f>
        <v>493</v>
      </c>
      <c r="G568" s="18">
        <f t="shared" si="1"/>
        <v>18</v>
      </c>
    </row>
    <row r="569">
      <c r="A569" s="20">
        <f>IFERROR(__xludf.DUMMYFUNCTION("""COMPUTED_VALUE"""),43953.0)</f>
        <v>43953</v>
      </c>
      <c r="B569" s="18" t="str">
        <f>IFERROR(__xludf.DUMMYFUNCTION("""COMPUTED_VALUE"""),"Пермь")</f>
        <v>Пермь</v>
      </c>
      <c r="C569" s="18">
        <f>IFERROR(__xludf.DUMMYFUNCTION("""COMPUTED_VALUE"""),15.0)</f>
        <v>15</v>
      </c>
      <c r="D569" s="18">
        <f>IFERROR(__xludf.DUMMYFUNCTION("""COMPUTED_VALUE"""),751.0)</f>
        <v>751</v>
      </c>
      <c r="E569" s="18">
        <f>IFERROR(__xludf.DUMMYFUNCTION("""COMPUTED_VALUE"""),651.0)</f>
        <v>651</v>
      </c>
      <c r="G569" s="18">
        <f t="shared" si="1"/>
        <v>18</v>
      </c>
    </row>
    <row r="570">
      <c r="A570" s="20">
        <f>IFERROR(__xludf.DUMMYFUNCTION("""COMPUTED_VALUE"""),43953.0)</f>
        <v>43953</v>
      </c>
      <c r="B570" s="18" t="str">
        <f>IFERROR(__xludf.DUMMYFUNCTION("""COMPUTED_VALUE"""),"Ростов-на-Дону")</f>
        <v>Ростов-на-Дону</v>
      </c>
      <c r="C570" s="18">
        <f>IFERROR(__xludf.DUMMYFUNCTION("""COMPUTED_VALUE"""),15.0)</f>
        <v>15</v>
      </c>
      <c r="D570" s="18">
        <f>IFERROR(__xludf.DUMMYFUNCTION("""COMPUTED_VALUE"""),274.0)</f>
        <v>274</v>
      </c>
      <c r="E570" s="18">
        <f>IFERROR(__xludf.DUMMYFUNCTION("""COMPUTED_VALUE"""),203.0)</f>
        <v>203</v>
      </c>
      <c r="G570" s="18">
        <f t="shared" si="1"/>
        <v>18</v>
      </c>
    </row>
    <row r="571">
      <c r="A571" s="20">
        <f>IFERROR(__xludf.DUMMYFUNCTION("""COMPUTED_VALUE"""),43953.0)</f>
        <v>43953</v>
      </c>
      <c r="B571" s="18" t="str">
        <f>IFERROR(__xludf.DUMMYFUNCTION("""COMPUTED_VALUE"""),"Санкт-Петербург Север")</f>
        <v>Санкт-Петербург Север</v>
      </c>
      <c r="C571" s="18">
        <f>IFERROR(__xludf.DUMMYFUNCTION("""COMPUTED_VALUE"""),125.0)</f>
        <v>125</v>
      </c>
      <c r="D571" s="18">
        <f>IFERROR(__xludf.DUMMYFUNCTION("""COMPUTED_VALUE"""),16932.0)</f>
        <v>16932</v>
      </c>
      <c r="E571" s="18">
        <f>IFERROR(__xludf.DUMMYFUNCTION("""COMPUTED_VALUE"""),15601.0)</f>
        <v>15601</v>
      </c>
      <c r="G571" s="18">
        <f t="shared" si="1"/>
        <v>18</v>
      </c>
    </row>
    <row r="572">
      <c r="A572" s="20">
        <f>IFERROR(__xludf.DUMMYFUNCTION("""COMPUTED_VALUE"""),43953.0)</f>
        <v>43953</v>
      </c>
      <c r="B572" s="18" t="str">
        <f>IFERROR(__xludf.DUMMYFUNCTION("""COMPUTED_VALUE"""),"Санкт-Петербург Юг")</f>
        <v>Санкт-Петербург Юг</v>
      </c>
      <c r="C572" s="18">
        <f>IFERROR(__xludf.DUMMYFUNCTION("""COMPUTED_VALUE"""),129.0)</f>
        <v>129</v>
      </c>
      <c r="D572" s="18">
        <f>IFERROR(__xludf.DUMMYFUNCTION("""COMPUTED_VALUE"""),14009.0)</f>
        <v>14009</v>
      </c>
      <c r="E572" s="18">
        <f>IFERROR(__xludf.DUMMYFUNCTION("""COMPUTED_VALUE"""),12920.0)</f>
        <v>12920</v>
      </c>
      <c r="G572" s="18">
        <f t="shared" si="1"/>
        <v>18</v>
      </c>
    </row>
    <row r="573">
      <c r="A573" s="20">
        <f>IFERROR(__xludf.DUMMYFUNCTION("""COMPUTED_VALUE"""),43953.0)</f>
        <v>43953</v>
      </c>
      <c r="B573" s="18" t="str">
        <f>IFERROR(__xludf.DUMMYFUNCTION("""COMPUTED_VALUE"""),"Тольятти")</f>
        <v>Тольятти</v>
      </c>
      <c r="C573" s="18">
        <f>IFERROR(__xludf.DUMMYFUNCTION("""COMPUTED_VALUE"""),10.0)</f>
        <v>10</v>
      </c>
      <c r="D573" s="18">
        <f>IFERROR(__xludf.DUMMYFUNCTION("""COMPUTED_VALUE"""),416.0)</f>
        <v>416</v>
      </c>
      <c r="E573" s="18">
        <f>IFERROR(__xludf.DUMMYFUNCTION("""COMPUTED_VALUE"""),341.0)</f>
        <v>341</v>
      </c>
      <c r="G573" s="18">
        <f t="shared" si="1"/>
        <v>18</v>
      </c>
    </row>
    <row r="574">
      <c r="A574" s="20">
        <f>IFERROR(__xludf.DUMMYFUNCTION("""COMPUTED_VALUE"""),43954.0)</f>
        <v>43954</v>
      </c>
      <c r="B574" s="18" t="str">
        <f>IFERROR(__xludf.DUMMYFUNCTION("""COMPUTED_VALUE"""),"Волгоград")</f>
        <v>Волгоград</v>
      </c>
      <c r="C574" s="18">
        <f>IFERROR(__xludf.DUMMYFUNCTION("""COMPUTED_VALUE"""),36.0)</f>
        <v>36</v>
      </c>
      <c r="D574" s="18">
        <f>IFERROR(__xludf.DUMMYFUNCTION("""COMPUTED_VALUE"""),4751.0)</f>
        <v>4751</v>
      </c>
      <c r="E574" s="18">
        <f>IFERROR(__xludf.DUMMYFUNCTION("""COMPUTED_VALUE"""),4370.0)</f>
        <v>4370</v>
      </c>
      <c r="G574" s="18">
        <f t="shared" si="1"/>
        <v>18</v>
      </c>
    </row>
    <row r="575">
      <c r="A575" s="20">
        <f>IFERROR(__xludf.DUMMYFUNCTION("""COMPUTED_VALUE"""),43954.0)</f>
        <v>43954</v>
      </c>
      <c r="B575" s="18" t="str">
        <f>IFERROR(__xludf.DUMMYFUNCTION("""COMPUTED_VALUE"""),"Екатеринбург")</f>
        <v>Екатеринбург</v>
      </c>
      <c r="C575" s="18">
        <f>IFERROR(__xludf.DUMMYFUNCTION("""COMPUTED_VALUE"""),31.0)</f>
        <v>31</v>
      </c>
      <c r="D575" s="18">
        <f>IFERROR(__xludf.DUMMYFUNCTION("""COMPUTED_VALUE"""),5155.0)</f>
        <v>5155</v>
      </c>
      <c r="E575" s="18">
        <f>IFERROR(__xludf.DUMMYFUNCTION("""COMPUTED_VALUE"""),4762.0)</f>
        <v>4762</v>
      </c>
      <c r="G575" s="18">
        <f t="shared" si="1"/>
        <v>18</v>
      </c>
    </row>
    <row r="576">
      <c r="A576" s="20">
        <f>IFERROR(__xludf.DUMMYFUNCTION("""COMPUTED_VALUE"""),43954.0)</f>
        <v>43954</v>
      </c>
      <c r="B576" s="18" t="str">
        <f>IFERROR(__xludf.DUMMYFUNCTION("""COMPUTED_VALUE"""),"Казань")</f>
        <v>Казань</v>
      </c>
      <c r="C576" s="18">
        <f>IFERROR(__xludf.DUMMYFUNCTION("""COMPUTED_VALUE"""),20.0)</f>
        <v>20</v>
      </c>
      <c r="D576" s="18">
        <f>IFERROR(__xludf.DUMMYFUNCTION("""COMPUTED_VALUE"""),1716.0)</f>
        <v>1716</v>
      </c>
      <c r="E576" s="18">
        <f>IFERROR(__xludf.DUMMYFUNCTION("""COMPUTED_VALUE"""),1561.0)</f>
        <v>1561</v>
      </c>
      <c r="G576" s="18">
        <f t="shared" si="1"/>
        <v>18</v>
      </c>
    </row>
    <row r="577">
      <c r="A577" s="20">
        <f>IFERROR(__xludf.DUMMYFUNCTION("""COMPUTED_VALUE"""),43954.0)</f>
        <v>43954</v>
      </c>
      <c r="B577" s="18" t="str">
        <f>IFERROR(__xludf.DUMMYFUNCTION("""COMPUTED_VALUE"""),"Кемерово")</f>
        <v>Кемерово</v>
      </c>
      <c r="C577" s="18">
        <f>IFERROR(__xludf.DUMMYFUNCTION("""COMPUTED_VALUE"""),20.0)</f>
        <v>20</v>
      </c>
      <c r="D577" s="18">
        <f>IFERROR(__xludf.DUMMYFUNCTION("""COMPUTED_VALUE"""),1520.0)</f>
        <v>1520</v>
      </c>
      <c r="E577" s="18">
        <f>IFERROR(__xludf.DUMMYFUNCTION("""COMPUTED_VALUE"""),1373.0)</f>
        <v>1373</v>
      </c>
      <c r="G577" s="18">
        <f t="shared" si="1"/>
        <v>18</v>
      </c>
    </row>
    <row r="578">
      <c r="A578" s="20">
        <f>IFERROR(__xludf.DUMMYFUNCTION("""COMPUTED_VALUE"""),43954.0)</f>
        <v>43954</v>
      </c>
      <c r="B578" s="18" t="str">
        <f>IFERROR(__xludf.DUMMYFUNCTION("""COMPUTED_VALUE"""),"Краснодар")</f>
        <v>Краснодар</v>
      </c>
      <c r="C578" s="18">
        <f>IFERROR(__xludf.DUMMYFUNCTION("""COMPUTED_VALUE"""),19.0)</f>
        <v>19</v>
      </c>
      <c r="D578" s="18">
        <f>IFERROR(__xludf.DUMMYFUNCTION("""COMPUTED_VALUE"""),1314.0)</f>
        <v>1314</v>
      </c>
      <c r="E578" s="18">
        <f>IFERROR(__xludf.DUMMYFUNCTION("""COMPUTED_VALUE"""),1192.0)</f>
        <v>1192</v>
      </c>
      <c r="G578" s="18">
        <f t="shared" si="1"/>
        <v>18</v>
      </c>
    </row>
    <row r="579">
      <c r="A579" s="20">
        <f>IFERROR(__xludf.DUMMYFUNCTION("""COMPUTED_VALUE"""),43954.0)</f>
        <v>43954</v>
      </c>
      <c r="B579" s="18" t="str">
        <f>IFERROR(__xludf.DUMMYFUNCTION("""COMPUTED_VALUE"""),"Москва Восток")</f>
        <v>Москва Восток</v>
      </c>
      <c r="C579" s="18">
        <f>IFERROR(__xludf.DUMMYFUNCTION("""COMPUTED_VALUE"""),54.0)</f>
        <v>54</v>
      </c>
      <c r="D579" s="18">
        <f>IFERROR(__xludf.DUMMYFUNCTION("""COMPUTED_VALUE"""),14823.0)</f>
        <v>14823</v>
      </c>
      <c r="E579" s="18">
        <f>IFERROR(__xludf.DUMMYFUNCTION("""COMPUTED_VALUE"""),13751.0)</f>
        <v>13751</v>
      </c>
      <c r="G579" s="18">
        <f t="shared" si="1"/>
        <v>18</v>
      </c>
    </row>
    <row r="580">
      <c r="A580" s="20">
        <f>IFERROR(__xludf.DUMMYFUNCTION("""COMPUTED_VALUE"""),43954.0)</f>
        <v>43954</v>
      </c>
      <c r="B580" s="18" t="str">
        <f>IFERROR(__xludf.DUMMYFUNCTION("""COMPUTED_VALUE"""),"Москва Запад")</f>
        <v>Москва Запад</v>
      </c>
      <c r="C580" s="18">
        <f>IFERROR(__xludf.DUMMYFUNCTION("""COMPUTED_VALUE"""),59.0)</f>
        <v>59</v>
      </c>
      <c r="D580" s="18">
        <f>IFERROR(__xludf.DUMMYFUNCTION("""COMPUTED_VALUE"""),15277.0)</f>
        <v>15277</v>
      </c>
      <c r="E580" s="18">
        <f>IFERROR(__xludf.DUMMYFUNCTION("""COMPUTED_VALUE"""),14163.0)</f>
        <v>14163</v>
      </c>
      <c r="G580" s="18">
        <f t="shared" si="1"/>
        <v>18</v>
      </c>
    </row>
    <row r="581">
      <c r="A581" s="20">
        <f>IFERROR(__xludf.DUMMYFUNCTION("""COMPUTED_VALUE"""),43954.0)</f>
        <v>43954</v>
      </c>
      <c r="B581" s="18" t="str">
        <f>IFERROR(__xludf.DUMMYFUNCTION("""COMPUTED_VALUE"""),"Нижний Новгород")</f>
        <v>Нижний Новгород</v>
      </c>
      <c r="C581" s="18">
        <f>IFERROR(__xludf.DUMMYFUNCTION("""COMPUTED_VALUE"""),19.0)</f>
        <v>19</v>
      </c>
      <c r="D581" s="18">
        <f>IFERROR(__xludf.DUMMYFUNCTION("""COMPUTED_VALUE"""),1402.0)</f>
        <v>1402</v>
      </c>
      <c r="E581" s="18">
        <f>IFERROR(__xludf.DUMMYFUNCTION("""COMPUTED_VALUE"""),1234.0)</f>
        <v>1234</v>
      </c>
      <c r="G581" s="18">
        <f t="shared" si="1"/>
        <v>18</v>
      </c>
    </row>
    <row r="582">
      <c r="A582" s="20">
        <f>IFERROR(__xludf.DUMMYFUNCTION("""COMPUTED_VALUE"""),43954.0)</f>
        <v>43954</v>
      </c>
      <c r="B582" s="18" t="str">
        <f>IFERROR(__xludf.DUMMYFUNCTION("""COMPUTED_VALUE"""),"Новосибирск")</f>
        <v>Новосибирск</v>
      </c>
      <c r="C582" s="18">
        <f>IFERROR(__xludf.DUMMYFUNCTION("""COMPUTED_VALUE"""),15.0)</f>
        <v>15</v>
      </c>
      <c r="D582" s="18">
        <f>IFERROR(__xludf.DUMMYFUNCTION("""COMPUTED_VALUE"""),585.0)</f>
        <v>585</v>
      </c>
      <c r="E582" s="18">
        <f>IFERROR(__xludf.DUMMYFUNCTION("""COMPUTED_VALUE"""),502.0)</f>
        <v>502</v>
      </c>
      <c r="G582" s="18">
        <f t="shared" si="1"/>
        <v>18</v>
      </c>
    </row>
    <row r="583">
      <c r="A583" s="20">
        <f>IFERROR(__xludf.DUMMYFUNCTION("""COMPUTED_VALUE"""),43954.0)</f>
        <v>43954</v>
      </c>
      <c r="B583" s="18" t="str">
        <f>IFERROR(__xludf.DUMMYFUNCTION("""COMPUTED_VALUE"""),"Пермь")</f>
        <v>Пермь</v>
      </c>
      <c r="C583" s="18">
        <f>IFERROR(__xludf.DUMMYFUNCTION("""COMPUTED_VALUE"""),15.0)</f>
        <v>15</v>
      </c>
      <c r="D583" s="18">
        <f>IFERROR(__xludf.DUMMYFUNCTION("""COMPUTED_VALUE"""),784.0)</f>
        <v>784</v>
      </c>
      <c r="E583" s="18">
        <f>IFERROR(__xludf.DUMMYFUNCTION("""COMPUTED_VALUE"""),696.0)</f>
        <v>696</v>
      </c>
      <c r="G583" s="18">
        <f t="shared" si="1"/>
        <v>18</v>
      </c>
    </row>
    <row r="584">
      <c r="A584" s="20">
        <f>IFERROR(__xludf.DUMMYFUNCTION("""COMPUTED_VALUE"""),43954.0)</f>
        <v>43954</v>
      </c>
      <c r="B584" s="18" t="str">
        <f>IFERROR(__xludf.DUMMYFUNCTION("""COMPUTED_VALUE"""),"Ростов-на-Дону")</f>
        <v>Ростов-на-Дону</v>
      </c>
      <c r="C584" s="18">
        <f>IFERROR(__xludf.DUMMYFUNCTION("""COMPUTED_VALUE"""),15.0)</f>
        <v>15</v>
      </c>
      <c r="D584" s="18">
        <f>IFERROR(__xludf.DUMMYFUNCTION("""COMPUTED_VALUE"""),455.0)</f>
        <v>455</v>
      </c>
      <c r="E584" s="18">
        <f>IFERROR(__xludf.DUMMYFUNCTION("""COMPUTED_VALUE"""),384.0)</f>
        <v>384</v>
      </c>
      <c r="G584" s="18">
        <f t="shared" si="1"/>
        <v>18</v>
      </c>
    </row>
    <row r="585">
      <c r="A585" s="20">
        <f>IFERROR(__xludf.DUMMYFUNCTION("""COMPUTED_VALUE"""),43954.0)</f>
        <v>43954</v>
      </c>
      <c r="B585" s="18" t="str">
        <f>IFERROR(__xludf.DUMMYFUNCTION("""COMPUTED_VALUE"""),"Санкт-Петербург Север")</f>
        <v>Санкт-Петербург Север</v>
      </c>
      <c r="C585" s="18">
        <f>IFERROR(__xludf.DUMMYFUNCTION("""COMPUTED_VALUE"""),125.0)</f>
        <v>125</v>
      </c>
      <c r="D585" s="18">
        <f>IFERROR(__xludf.DUMMYFUNCTION("""COMPUTED_VALUE"""),18861.0)</f>
        <v>18861</v>
      </c>
      <c r="E585" s="18">
        <f>IFERROR(__xludf.DUMMYFUNCTION("""COMPUTED_VALUE"""),17420.0)</f>
        <v>17420</v>
      </c>
      <c r="G585" s="18">
        <f t="shared" si="1"/>
        <v>18</v>
      </c>
    </row>
    <row r="586">
      <c r="A586" s="20">
        <f>IFERROR(__xludf.DUMMYFUNCTION("""COMPUTED_VALUE"""),43954.0)</f>
        <v>43954</v>
      </c>
      <c r="B586" s="18" t="str">
        <f>IFERROR(__xludf.DUMMYFUNCTION("""COMPUTED_VALUE"""),"Санкт-Петербург Юг")</f>
        <v>Санкт-Петербург Юг</v>
      </c>
      <c r="C586" s="18">
        <f>IFERROR(__xludf.DUMMYFUNCTION("""COMPUTED_VALUE"""),129.0)</f>
        <v>129</v>
      </c>
      <c r="D586" s="18">
        <f>IFERROR(__xludf.DUMMYFUNCTION("""COMPUTED_VALUE"""),15778.0)</f>
        <v>15778</v>
      </c>
      <c r="E586" s="18">
        <f>IFERROR(__xludf.DUMMYFUNCTION("""COMPUTED_VALUE"""),14624.0)</f>
        <v>14624</v>
      </c>
      <c r="G586" s="18">
        <f t="shared" si="1"/>
        <v>18</v>
      </c>
    </row>
    <row r="587">
      <c r="A587" s="20">
        <f>IFERROR(__xludf.DUMMYFUNCTION("""COMPUTED_VALUE"""),43954.0)</f>
        <v>43954</v>
      </c>
      <c r="B587" s="18" t="str">
        <f>IFERROR(__xludf.DUMMYFUNCTION("""COMPUTED_VALUE"""),"Тольятти")</f>
        <v>Тольятти</v>
      </c>
      <c r="C587" s="18">
        <f>IFERROR(__xludf.DUMMYFUNCTION("""COMPUTED_VALUE"""),10.0)</f>
        <v>10</v>
      </c>
      <c r="D587" s="18">
        <f>IFERROR(__xludf.DUMMYFUNCTION("""COMPUTED_VALUE"""),402.0)</f>
        <v>402</v>
      </c>
      <c r="E587" s="18">
        <f>IFERROR(__xludf.DUMMYFUNCTION("""COMPUTED_VALUE"""),333.0)</f>
        <v>333</v>
      </c>
      <c r="G587" s="18">
        <f t="shared" si="1"/>
        <v>18</v>
      </c>
    </row>
    <row r="588">
      <c r="A588" s="20">
        <f>IFERROR(__xludf.DUMMYFUNCTION("""COMPUTED_VALUE"""),43955.0)</f>
        <v>43955</v>
      </c>
      <c r="B588" s="18" t="str">
        <f>IFERROR(__xludf.DUMMYFUNCTION("""COMPUTED_VALUE"""),"Волгоград")</f>
        <v>Волгоград</v>
      </c>
      <c r="C588" s="18">
        <f>IFERROR(__xludf.DUMMYFUNCTION("""COMPUTED_VALUE"""),36.0)</f>
        <v>36</v>
      </c>
      <c r="D588" s="18">
        <f>IFERROR(__xludf.DUMMYFUNCTION("""COMPUTED_VALUE"""),4508.0)</f>
        <v>4508</v>
      </c>
      <c r="E588" s="18">
        <f>IFERROR(__xludf.DUMMYFUNCTION("""COMPUTED_VALUE"""),4149.0)</f>
        <v>4149</v>
      </c>
      <c r="G588" s="18">
        <f t="shared" si="1"/>
        <v>19</v>
      </c>
    </row>
    <row r="589">
      <c r="A589" s="20">
        <f>IFERROR(__xludf.DUMMYFUNCTION("""COMPUTED_VALUE"""),43955.0)</f>
        <v>43955</v>
      </c>
      <c r="B589" s="18" t="str">
        <f>IFERROR(__xludf.DUMMYFUNCTION("""COMPUTED_VALUE"""),"Екатеринбург")</f>
        <v>Екатеринбург</v>
      </c>
      <c r="C589" s="18">
        <f>IFERROR(__xludf.DUMMYFUNCTION("""COMPUTED_VALUE"""),31.0)</f>
        <v>31</v>
      </c>
      <c r="D589" s="18">
        <f>IFERROR(__xludf.DUMMYFUNCTION("""COMPUTED_VALUE"""),4968.0)</f>
        <v>4968</v>
      </c>
      <c r="E589" s="18">
        <f>IFERROR(__xludf.DUMMYFUNCTION("""COMPUTED_VALUE"""),4596.0)</f>
        <v>4596</v>
      </c>
      <c r="G589" s="18">
        <f t="shared" si="1"/>
        <v>19</v>
      </c>
    </row>
    <row r="590">
      <c r="A590" s="20">
        <f>IFERROR(__xludf.DUMMYFUNCTION("""COMPUTED_VALUE"""),43955.0)</f>
        <v>43955</v>
      </c>
      <c r="B590" s="18" t="str">
        <f>IFERROR(__xludf.DUMMYFUNCTION("""COMPUTED_VALUE"""),"Казань")</f>
        <v>Казань</v>
      </c>
      <c r="C590" s="18">
        <f>IFERROR(__xludf.DUMMYFUNCTION("""COMPUTED_VALUE"""),20.0)</f>
        <v>20</v>
      </c>
      <c r="D590" s="18">
        <f>IFERROR(__xludf.DUMMYFUNCTION("""COMPUTED_VALUE"""),1804.0)</f>
        <v>1804</v>
      </c>
      <c r="E590" s="18">
        <f>IFERROR(__xludf.DUMMYFUNCTION("""COMPUTED_VALUE"""),1638.0)</f>
        <v>1638</v>
      </c>
      <c r="G590" s="18">
        <f t="shared" si="1"/>
        <v>19</v>
      </c>
    </row>
    <row r="591">
      <c r="A591" s="20">
        <f>IFERROR(__xludf.DUMMYFUNCTION("""COMPUTED_VALUE"""),43955.0)</f>
        <v>43955</v>
      </c>
      <c r="B591" s="18" t="str">
        <f>IFERROR(__xludf.DUMMYFUNCTION("""COMPUTED_VALUE"""),"Кемерово")</f>
        <v>Кемерово</v>
      </c>
      <c r="C591" s="18">
        <f>IFERROR(__xludf.DUMMYFUNCTION("""COMPUTED_VALUE"""),20.0)</f>
        <v>20</v>
      </c>
      <c r="D591" s="18">
        <f>IFERROR(__xludf.DUMMYFUNCTION("""COMPUTED_VALUE"""),1519.0)</f>
        <v>1519</v>
      </c>
      <c r="E591" s="18">
        <f>IFERROR(__xludf.DUMMYFUNCTION("""COMPUTED_VALUE"""),1372.0)</f>
        <v>1372</v>
      </c>
      <c r="G591" s="18">
        <f t="shared" si="1"/>
        <v>19</v>
      </c>
    </row>
    <row r="592">
      <c r="A592" s="20">
        <f>IFERROR(__xludf.DUMMYFUNCTION("""COMPUTED_VALUE"""),43955.0)</f>
        <v>43955</v>
      </c>
      <c r="B592" s="18" t="str">
        <f>IFERROR(__xludf.DUMMYFUNCTION("""COMPUTED_VALUE"""),"Краснодар")</f>
        <v>Краснодар</v>
      </c>
      <c r="C592" s="18">
        <f>IFERROR(__xludf.DUMMYFUNCTION("""COMPUTED_VALUE"""),19.0)</f>
        <v>19</v>
      </c>
      <c r="D592" s="18">
        <f>IFERROR(__xludf.DUMMYFUNCTION("""COMPUTED_VALUE"""),1479.0)</f>
        <v>1479</v>
      </c>
      <c r="E592" s="18">
        <f>IFERROR(__xludf.DUMMYFUNCTION("""COMPUTED_VALUE"""),1346.0)</f>
        <v>1346</v>
      </c>
      <c r="G592" s="18">
        <f t="shared" si="1"/>
        <v>19</v>
      </c>
    </row>
    <row r="593">
      <c r="A593" s="20">
        <f>IFERROR(__xludf.DUMMYFUNCTION("""COMPUTED_VALUE"""),43955.0)</f>
        <v>43955</v>
      </c>
      <c r="B593" s="18" t="str">
        <f>IFERROR(__xludf.DUMMYFUNCTION("""COMPUTED_VALUE"""),"Москва Восток")</f>
        <v>Москва Восток</v>
      </c>
      <c r="C593" s="18">
        <f>IFERROR(__xludf.DUMMYFUNCTION("""COMPUTED_VALUE"""),54.0)</f>
        <v>54</v>
      </c>
      <c r="D593" s="18">
        <f>IFERROR(__xludf.DUMMYFUNCTION("""COMPUTED_VALUE"""),13606.0)</f>
        <v>13606</v>
      </c>
      <c r="E593" s="18">
        <f>IFERROR(__xludf.DUMMYFUNCTION("""COMPUTED_VALUE"""),12697.0)</f>
        <v>12697</v>
      </c>
      <c r="G593" s="18">
        <f t="shared" si="1"/>
        <v>19</v>
      </c>
    </row>
    <row r="594">
      <c r="A594" s="20">
        <f>IFERROR(__xludf.DUMMYFUNCTION("""COMPUTED_VALUE"""),43955.0)</f>
        <v>43955</v>
      </c>
      <c r="B594" s="18" t="str">
        <f>IFERROR(__xludf.DUMMYFUNCTION("""COMPUTED_VALUE"""),"Москва Запад")</f>
        <v>Москва Запад</v>
      </c>
      <c r="C594" s="18">
        <f>IFERROR(__xludf.DUMMYFUNCTION("""COMPUTED_VALUE"""),59.0)</f>
        <v>59</v>
      </c>
      <c r="D594" s="18">
        <f>IFERROR(__xludf.DUMMYFUNCTION("""COMPUTED_VALUE"""),14423.0)</f>
        <v>14423</v>
      </c>
      <c r="E594" s="18">
        <f>IFERROR(__xludf.DUMMYFUNCTION("""COMPUTED_VALUE"""),13432.0)</f>
        <v>13432</v>
      </c>
      <c r="G594" s="18">
        <f t="shared" si="1"/>
        <v>19</v>
      </c>
    </row>
    <row r="595">
      <c r="A595" s="20">
        <f>IFERROR(__xludf.DUMMYFUNCTION("""COMPUTED_VALUE"""),43955.0)</f>
        <v>43955</v>
      </c>
      <c r="B595" s="18" t="str">
        <f>IFERROR(__xludf.DUMMYFUNCTION("""COMPUTED_VALUE"""),"Нижний Новгород")</f>
        <v>Нижний Новгород</v>
      </c>
      <c r="C595" s="18">
        <f>IFERROR(__xludf.DUMMYFUNCTION("""COMPUTED_VALUE"""),19.0)</f>
        <v>19</v>
      </c>
      <c r="D595" s="18">
        <f>IFERROR(__xludf.DUMMYFUNCTION("""COMPUTED_VALUE"""),1582.0)</f>
        <v>1582</v>
      </c>
      <c r="E595" s="18">
        <f>IFERROR(__xludf.DUMMYFUNCTION("""COMPUTED_VALUE"""),1403.0)</f>
        <v>1403</v>
      </c>
      <c r="G595" s="18">
        <f t="shared" si="1"/>
        <v>19</v>
      </c>
    </row>
    <row r="596">
      <c r="A596" s="20">
        <f>IFERROR(__xludf.DUMMYFUNCTION("""COMPUTED_VALUE"""),43955.0)</f>
        <v>43955</v>
      </c>
      <c r="B596" s="18" t="str">
        <f>IFERROR(__xludf.DUMMYFUNCTION("""COMPUTED_VALUE"""),"Новосибирск")</f>
        <v>Новосибирск</v>
      </c>
      <c r="C596" s="18">
        <f>IFERROR(__xludf.DUMMYFUNCTION("""COMPUTED_VALUE"""),15.0)</f>
        <v>15</v>
      </c>
      <c r="D596" s="18">
        <f>IFERROR(__xludf.DUMMYFUNCTION("""COMPUTED_VALUE"""),622.0)</f>
        <v>622</v>
      </c>
      <c r="E596" s="18">
        <f>IFERROR(__xludf.DUMMYFUNCTION("""COMPUTED_VALUE"""),538.0)</f>
        <v>538</v>
      </c>
      <c r="G596" s="18">
        <f t="shared" si="1"/>
        <v>19</v>
      </c>
    </row>
    <row r="597">
      <c r="A597" s="20">
        <f>IFERROR(__xludf.DUMMYFUNCTION("""COMPUTED_VALUE"""),43955.0)</f>
        <v>43955</v>
      </c>
      <c r="B597" s="18" t="str">
        <f>IFERROR(__xludf.DUMMYFUNCTION("""COMPUTED_VALUE"""),"Пермь")</f>
        <v>Пермь</v>
      </c>
      <c r="C597" s="18">
        <f>IFERROR(__xludf.DUMMYFUNCTION("""COMPUTED_VALUE"""),15.0)</f>
        <v>15</v>
      </c>
      <c r="D597" s="18">
        <f>IFERROR(__xludf.DUMMYFUNCTION("""COMPUTED_VALUE"""),750.0)</f>
        <v>750</v>
      </c>
      <c r="E597" s="18">
        <f>IFERROR(__xludf.DUMMYFUNCTION("""COMPUTED_VALUE"""),647.0)</f>
        <v>647</v>
      </c>
      <c r="G597" s="18">
        <f t="shared" si="1"/>
        <v>19</v>
      </c>
    </row>
    <row r="598">
      <c r="A598" s="20">
        <f>IFERROR(__xludf.DUMMYFUNCTION("""COMPUTED_VALUE"""),43955.0)</f>
        <v>43955</v>
      </c>
      <c r="B598" s="18" t="str">
        <f>IFERROR(__xludf.DUMMYFUNCTION("""COMPUTED_VALUE"""),"Ростов-на-Дону")</f>
        <v>Ростов-на-Дону</v>
      </c>
      <c r="C598" s="18">
        <f>IFERROR(__xludf.DUMMYFUNCTION("""COMPUTED_VALUE"""),15.0)</f>
        <v>15</v>
      </c>
      <c r="D598" s="18">
        <f>IFERROR(__xludf.DUMMYFUNCTION("""COMPUTED_VALUE"""),390.0)</f>
        <v>390</v>
      </c>
      <c r="E598" s="18">
        <f>IFERROR(__xludf.DUMMYFUNCTION("""COMPUTED_VALUE"""),315.0)</f>
        <v>315</v>
      </c>
      <c r="G598" s="18">
        <f t="shared" si="1"/>
        <v>19</v>
      </c>
    </row>
    <row r="599">
      <c r="A599" s="20">
        <f>IFERROR(__xludf.DUMMYFUNCTION("""COMPUTED_VALUE"""),43955.0)</f>
        <v>43955</v>
      </c>
      <c r="B599" s="18" t="str">
        <f>IFERROR(__xludf.DUMMYFUNCTION("""COMPUTED_VALUE"""),"Санкт-Петербург Север")</f>
        <v>Санкт-Петербург Север</v>
      </c>
      <c r="C599" s="18">
        <f>IFERROR(__xludf.DUMMYFUNCTION("""COMPUTED_VALUE"""),125.0)</f>
        <v>125</v>
      </c>
      <c r="D599" s="18">
        <f>IFERROR(__xludf.DUMMYFUNCTION("""COMPUTED_VALUE"""),20495.0)</f>
        <v>20495</v>
      </c>
      <c r="E599" s="18">
        <f>IFERROR(__xludf.DUMMYFUNCTION("""COMPUTED_VALUE"""),18964.0)</f>
        <v>18964</v>
      </c>
      <c r="G599" s="18">
        <f t="shared" si="1"/>
        <v>19</v>
      </c>
    </row>
    <row r="600">
      <c r="A600" s="20">
        <f>IFERROR(__xludf.DUMMYFUNCTION("""COMPUTED_VALUE"""),43955.0)</f>
        <v>43955</v>
      </c>
      <c r="B600" s="18" t="str">
        <f>IFERROR(__xludf.DUMMYFUNCTION("""COMPUTED_VALUE"""),"Санкт-Петербург Юг")</f>
        <v>Санкт-Петербург Юг</v>
      </c>
      <c r="C600" s="18">
        <f>IFERROR(__xludf.DUMMYFUNCTION("""COMPUTED_VALUE"""),129.0)</f>
        <v>129</v>
      </c>
      <c r="D600" s="18">
        <f>IFERROR(__xludf.DUMMYFUNCTION("""COMPUTED_VALUE"""),16525.0)</f>
        <v>16525</v>
      </c>
      <c r="E600" s="18">
        <f>IFERROR(__xludf.DUMMYFUNCTION("""COMPUTED_VALUE"""),15310.0)</f>
        <v>15310</v>
      </c>
      <c r="G600" s="18">
        <f t="shared" si="1"/>
        <v>19</v>
      </c>
    </row>
    <row r="601">
      <c r="A601" s="20">
        <f>IFERROR(__xludf.DUMMYFUNCTION("""COMPUTED_VALUE"""),43955.0)</f>
        <v>43955</v>
      </c>
      <c r="B601" s="18" t="str">
        <f>IFERROR(__xludf.DUMMYFUNCTION("""COMPUTED_VALUE"""),"Тольятти")</f>
        <v>Тольятти</v>
      </c>
      <c r="C601" s="18">
        <f>IFERROR(__xludf.DUMMYFUNCTION("""COMPUTED_VALUE"""),10.0)</f>
        <v>10</v>
      </c>
      <c r="D601" s="18">
        <f>IFERROR(__xludf.DUMMYFUNCTION("""COMPUTED_VALUE"""),462.0)</f>
        <v>462</v>
      </c>
      <c r="E601" s="18">
        <f>IFERROR(__xludf.DUMMYFUNCTION("""COMPUTED_VALUE"""),396.0)</f>
        <v>396</v>
      </c>
      <c r="G601" s="18">
        <f t="shared" si="1"/>
        <v>19</v>
      </c>
    </row>
    <row r="602">
      <c r="A602" s="20">
        <f>IFERROR(__xludf.DUMMYFUNCTION("""COMPUTED_VALUE"""),43956.0)</f>
        <v>43956</v>
      </c>
      <c r="B602" s="18" t="str">
        <f>IFERROR(__xludf.DUMMYFUNCTION("""COMPUTED_VALUE"""),"Волгоград")</f>
        <v>Волгоград</v>
      </c>
      <c r="C602" s="18">
        <f>IFERROR(__xludf.DUMMYFUNCTION("""COMPUTED_VALUE"""),36.0)</f>
        <v>36</v>
      </c>
      <c r="D602" s="18">
        <f>IFERROR(__xludf.DUMMYFUNCTION("""COMPUTED_VALUE"""),4575.0)</f>
        <v>4575</v>
      </c>
      <c r="E602" s="18">
        <f>IFERROR(__xludf.DUMMYFUNCTION("""COMPUTED_VALUE"""),4206.0)</f>
        <v>4206</v>
      </c>
      <c r="G602" s="18">
        <f t="shared" si="1"/>
        <v>19</v>
      </c>
    </row>
    <row r="603">
      <c r="A603" s="20">
        <f>IFERROR(__xludf.DUMMYFUNCTION("""COMPUTED_VALUE"""),43956.0)</f>
        <v>43956</v>
      </c>
      <c r="B603" s="18" t="str">
        <f>IFERROR(__xludf.DUMMYFUNCTION("""COMPUTED_VALUE"""),"Екатеринбург")</f>
        <v>Екатеринбург</v>
      </c>
      <c r="C603" s="18">
        <f>IFERROR(__xludf.DUMMYFUNCTION("""COMPUTED_VALUE"""),31.0)</f>
        <v>31</v>
      </c>
      <c r="D603" s="18">
        <f>IFERROR(__xludf.DUMMYFUNCTION("""COMPUTED_VALUE"""),5188.0)</f>
        <v>5188</v>
      </c>
      <c r="E603" s="18">
        <f>IFERROR(__xludf.DUMMYFUNCTION("""COMPUTED_VALUE"""),4800.0)</f>
        <v>4800</v>
      </c>
      <c r="G603" s="18">
        <f t="shared" si="1"/>
        <v>19</v>
      </c>
    </row>
    <row r="604">
      <c r="A604" s="20">
        <f>IFERROR(__xludf.DUMMYFUNCTION("""COMPUTED_VALUE"""),43956.0)</f>
        <v>43956</v>
      </c>
      <c r="B604" s="18" t="str">
        <f>IFERROR(__xludf.DUMMYFUNCTION("""COMPUTED_VALUE"""),"Казань")</f>
        <v>Казань</v>
      </c>
      <c r="C604" s="18">
        <f>IFERROR(__xludf.DUMMYFUNCTION("""COMPUTED_VALUE"""),20.0)</f>
        <v>20</v>
      </c>
      <c r="D604" s="18">
        <f>IFERROR(__xludf.DUMMYFUNCTION("""COMPUTED_VALUE"""),1757.0)</f>
        <v>1757</v>
      </c>
      <c r="E604" s="18">
        <f>IFERROR(__xludf.DUMMYFUNCTION("""COMPUTED_VALUE"""),1596.0)</f>
        <v>1596</v>
      </c>
      <c r="G604" s="18">
        <f t="shared" si="1"/>
        <v>19</v>
      </c>
    </row>
    <row r="605">
      <c r="A605" s="20">
        <f>IFERROR(__xludf.DUMMYFUNCTION("""COMPUTED_VALUE"""),43956.0)</f>
        <v>43956</v>
      </c>
      <c r="B605" s="18" t="str">
        <f>IFERROR(__xludf.DUMMYFUNCTION("""COMPUTED_VALUE"""),"Кемерово")</f>
        <v>Кемерово</v>
      </c>
      <c r="C605" s="18">
        <f>IFERROR(__xludf.DUMMYFUNCTION("""COMPUTED_VALUE"""),20.0)</f>
        <v>20</v>
      </c>
      <c r="D605" s="18">
        <f>IFERROR(__xludf.DUMMYFUNCTION("""COMPUTED_VALUE"""),1773.0)</f>
        <v>1773</v>
      </c>
      <c r="E605" s="18">
        <f>IFERROR(__xludf.DUMMYFUNCTION("""COMPUTED_VALUE"""),1604.0)</f>
        <v>1604</v>
      </c>
      <c r="G605" s="18">
        <f t="shared" si="1"/>
        <v>19</v>
      </c>
    </row>
    <row r="606">
      <c r="A606" s="20">
        <f>IFERROR(__xludf.DUMMYFUNCTION("""COMPUTED_VALUE"""),43956.0)</f>
        <v>43956</v>
      </c>
      <c r="B606" s="18" t="str">
        <f>IFERROR(__xludf.DUMMYFUNCTION("""COMPUTED_VALUE"""),"Краснодар")</f>
        <v>Краснодар</v>
      </c>
      <c r="C606" s="18">
        <f>IFERROR(__xludf.DUMMYFUNCTION("""COMPUTED_VALUE"""),19.0)</f>
        <v>19</v>
      </c>
      <c r="D606" s="18">
        <f>IFERROR(__xludf.DUMMYFUNCTION("""COMPUTED_VALUE"""),1622.0)</f>
        <v>1622</v>
      </c>
      <c r="E606" s="18">
        <f>IFERROR(__xludf.DUMMYFUNCTION("""COMPUTED_VALUE"""),1482.0)</f>
        <v>1482</v>
      </c>
      <c r="G606" s="18">
        <f t="shared" si="1"/>
        <v>19</v>
      </c>
    </row>
    <row r="607">
      <c r="A607" s="20">
        <f>IFERROR(__xludf.DUMMYFUNCTION("""COMPUTED_VALUE"""),43956.0)</f>
        <v>43956</v>
      </c>
      <c r="B607" s="18" t="str">
        <f>IFERROR(__xludf.DUMMYFUNCTION("""COMPUTED_VALUE"""),"Москва Восток")</f>
        <v>Москва Восток</v>
      </c>
      <c r="C607" s="18">
        <f>IFERROR(__xludf.DUMMYFUNCTION("""COMPUTED_VALUE"""),54.0)</f>
        <v>54</v>
      </c>
      <c r="D607" s="18">
        <f>IFERROR(__xludf.DUMMYFUNCTION("""COMPUTED_VALUE"""),12775.0)</f>
        <v>12775</v>
      </c>
      <c r="E607" s="18">
        <f>IFERROR(__xludf.DUMMYFUNCTION("""COMPUTED_VALUE"""),11887.0)</f>
        <v>11887</v>
      </c>
      <c r="G607" s="18">
        <f t="shared" si="1"/>
        <v>19</v>
      </c>
    </row>
    <row r="608">
      <c r="A608" s="20">
        <f>IFERROR(__xludf.DUMMYFUNCTION("""COMPUTED_VALUE"""),43956.0)</f>
        <v>43956</v>
      </c>
      <c r="B608" s="18" t="str">
        <f>IFERROR(__xludf.DUMMYFUNCTION("""COMPUTED_VALUE"""),"Москва Запад")</f>
        <v>Москва Запад</v>
      </c>
      <c r="C608" s="18">
        <f>IFERROR(__xludf.DUMMYFUNCTION("""COMPUTED_VALUE"""),59.0)</f>
        <v>59</v>
      </c>
      <c r="D608" s="18">
        <f>IFERROR(__xludf.DUMMYFUNCTION("""COMPUTED_VALUE"""),13469.0)</f>
        <v>13469</v>
      </c>
      <c r="E608" s="18">
        <f>IFERROR(__xludf.DUMMYFUNCTION("""COMPUTED_VALUE"""),12486.0)</f>
        <v>12486</v>
      </c>
      <c r="G608" s="18">
        <f t="shared" si="1"/>
        <v>19</v>
      </c>
    </row>
    <row r="609">
      <c r="A609" s="20">
        <f>IFERROR(__xludf.DUMMYFUNCTION("""COMPUTED_VALUE"""),43956.0)</f>
        <v>43956</v>
      </c>
      <c r="B609" s="18" t="str">
        <f>IFERROR(__xludf.DUMMYFUNCTION("""COMPUTED_VALUE"""),"Нижний Новгород")</f>
        <v>Нижний Новгород</v>
      </c>
      <c r="C609" s="18">
        <f>IFERROR(__xludf.DUMMYFUNCTION("""COMPUTED_VALUE"""),19.0)</f>
        <v>19</v>
      </c>
      <c r="D609" s="18">
        <f>IFERROR(__xludf.DUMMYFUNCTION("""COMPUTED_VALUE"""),1417.0)</f>
        <v>1417</v>
      </c>
      <c r="E609" s="18">
        <f>IFERROR(__xludf.DUMMYFUNCTION("""COMPUTED_VALUE"""),1245.0)</f>
        <v>1245</v>
      </c>
      <c r="G609" s="18">
        <f t="shared" si="1"/>
        <v>19</v>
      </c>
    </row>
    <row r="610">
      <c r="A610" s="20">
        <f>IFERROR(__xludf.DUMMYFUNCTION("""COMPUTED_VALUE"""),43956.0)</f>
        <v>43956</v>
      </c>
      <c r="B610" s="18" t="str">
        <f>IFERROR(__xludf.DUMMYFUNCTION("""COMPUTED_VALUE"""),"Новосибирск")</f>
        <v>Новосибирск</v>
      </c>
      <c r="C610" s="18">
        <f>IFERROR(__xludf.DUMMYFUNCTION("""COMPUTED_VALUE"""),15.0)</f>
        <v>15</v>
      </c>
      <c r="D610" s="18">
        <f>IFERROR(__xludf.DUMMYFUNCTION("""COMPUTED_VALUE"""),750.0)</f>
        <v>750</v>
      </c>
      <c r="E610" s="18">
        <f>IFERROR(__xludf.DUMMYFUNCTION("""COMPUTED_VALUE"""),658.0)</f>
        <v>658</v>
      </c>
      <c r="G610" s="18">
        <f t="shared" si="1"/>
        <v>19</v>
      </c>
    </row>
    <row r="611">
      <c r="A611" s="20">
        <f>IFERROR(__xludf.DUMMYFUNCTION("""COMPUTED_VALUE"""),43956.0)</f>
        <v>43956</v>
      </c>
      <c r="B611" s="18" t="str">
        <f>IFERROR(__xludf.DUMMYFUNCTION("""COMPUTED_VALUE"""),"Пермь")</f>
        <v>Пермь</v>
      </c>
      <c r="C611" s="18">
        <f>IFERROR(__xludf.DUMMYFUNCTION("""COMPUTED_VALUE"""),15.0)</f>
        <v>15</v>
      </c>
      <c r="D611" s="18">
        <f>IFERROR(__xludf.DUMMYFUNCTION("""COMPUTED_VALUE"""),922.0)</f>
        <v>922</v>
      </c>
      <c r="E611" s="18">
        <f>IFERROR(__xludf.DUMMYFUNCTION("""COMPUTED_VALUE"""),823.0)</f>
        <v>823</v>
      </c>
      <c r="G611" s="18">
        <f t="shared" si="1"/>
        <v>19</v>
      </c>
    </row>
    <row r="612">
      <c r="A612" s="20">
        <f>IFERROR(__xludf.DUMMYFUNCTION("""COMPUTED_VALUE"""),43956.0)</f>
        <v>43956</v>
      </c>
      <c r="B612" s="18" t="str">
        <f>IFERROR(__xludf.DUMMYFUNCTION("""COMPUTED_VALUE"""),"Ростов-на-Дону")</f>
        <v>Ростов-на-Дону</v>
      </c>
      <c r="C612" s="18">
        <f>IFERROR(__xludf.DUMMYFUNCTION("""COMPUTED_VALUE"""),15.0)</f>
        <v>15</v>
      </c>
      <c r="D612" s="18">
        <f>IFERROR(__xludf.DUMMYFUNCTION("""COMPUTED_VALUE"""),455.0)</f>
        <v>455</v>
      </c>
      <c r="E612" s="18">
        <f>IFERROR(__xludf.DUMMYFUNCTION("""COMPUTED_VALUE"""),381.0)</f>
        <v>381</v>
      </c>
      <c r="G612" s="18">
        <f t="shared" si="1"/>
        <v>19</v>
      </c>
    </row>
    <row r="613">
      <c r="A613" s="20">
        <f>IFERROR(__xludf.DUMMYFUNCTION("""COMPUTED_VALUE"""),43956.0)</f>
        <v>43956</v>
      </c>
      <c r="B613" s="18" t="str">
        <f>IFERROR(__xludf.DUMMYFUNCTION("""COMPUTED_VALUE"""),"Санкт-Петербург Север")</f>
        <v>Санкт-Петербург Север</v>
      </c>
      <c r="C613" s="18">
        <f>IFERROR(__xludf.DUMMYFUNCTION("""COMPUTED_VALUE"""),125.0)</f>
        <v>125</v>
      </c>
      <c r="D613" s="18">
        <f>IFERROR(__xludf.DUMMYFUNCTION("""COMPUTED_VALUE"""),18944.0)</f>
        <v>18944</v>
      </c>
      <c r="E613" s="18">
        <f>IFERROR(__xludf.DUMMYFUNCTION("""COMPUTED_VALUE"""),17541.0)</f>
        <v>17541</v>
      </c>
      <c r="G613" s="18">
        <f t="shared" si="1"/>
        <v>19</v>
      </c>
    </row>
    <row r="614">
      <c r="A614" s="20">
        <f>IFERROR(__xludf.DUMMYFUNCTION("""COMPUTED_VALUE"""),43956.0)</f>
        <v>43956</v>
      </c>
      <c r="B614" s="18" t="str">
        <f>IFERROR(__xludf.DUMMYFUNCTION("""COMPUTED_VALUE"""),"Санкт-Петербург Юг")</f>
        <v>Санкт-Петербург Юг</v>
      </c>
      <c r="C614" s="18">
        <f>IFERROR(__xludf.DUMMYFUNCTION("""COMPUTED_VALUE"""),129.0)</f>
        <v>129</v>
      </c>
      <c r="D614" s="18">
        <f>IFERROR(__xludf.DUMMYFUNCTION("""COMPUTED_VALUE"""),15665.0)</f>
        <v>15665</v>
      </c>
      <c r="E614" s="18">
        <f>IFERROR(__xludf.DUMMYFUNCTION("""COMPUTED_VALUE"""),14501.0)</f>
        <v>14501</v>
      </c>
      <c r="G614" s="18">
        <f t="shared" si="1"/>
        <v>19</v>
      </c>
    </row>
    <row r="615">
      <c r="A615" s="20">
        <f>IFERROR(__xludf.DUMMYFUNCTION("""COMPUTED_VALUE"""),43956.0)</f>
        <v>43956</v>
      </c>
      <c r="B615" s="18" t="str">
        <f>IFERROR(__xludf.DUMMYFUNCTION("""COMPUTED_VALUE"""),"Тольятти")</f>
        <v>Тольятти</v>
      </c>
      <c r="C615" s="18">
        <f>IFERROR(__xludf.DUMMYFUNCTION("""COMPUTED_VALUE"""),10.0)</f>
        <v>10</v>
      </c>
      <c r="D615" s="18">
        <f>IFERROR(__xludf.DUMMYFUNCTION("""COMPUTED_VALUE"""),511.0)</f>
        <v>511</v>
      </c>
      <c r="E615" s="18">
        <f>IFERROR(__xludf.DUMMYFUNCTION("""COMPUTED_VALUE"""),437.0)</f>
        <v>437</v>
      </c>
      <c r="G615" s="18">
        <f t="shared" si="1"/>
        <v>19</v>
      </c>
    </row>
    <row r="616">
      <c r="A616" s="20">
        <f>IFERROR(__xludf.DUMMYFUNCTION("""COMPUTED_VALUE"""),43957.0)</f>
        <v>43957</v>
      </c>
      <c r="B616" s="18" t="str">
        <f>IFERROR(__xludf.DUMMYFUNCTION("""COMPUTED_VALUE"""),"Волгоград")</f>
        <v>Волгоград</v>
      </c>
      <c r="C616" s="18">
        <f>IFERROR(__xludf.DUMMYFUNCTION("""COMPUTED_VALUE"""),36.0)</f>
        <v>36</v>
      </c>
      <c r="D616" s="18">
        <f>IFERROR(__xludf.DUMMYFUNCTION("""COMPUTED_VALUE"""),4384.0)</f>
        <v>4384</v>
      </c>
      <c r="E616" s="18">
        <f>IFERROR(__xludf.DUMMYFUNCTION("""COMPUTED_VALUE"""),4025.0)</f>
        <v>4025</v>
      </c>
      <c r="G616" s="18">
        <f t="shared" si="1"/>
        <v>19</v>
      </c>
    </row>
    <row r="617">
      <c r="A617" s="20">
        <f>IFERROR(__xludf.DUMMYFUNCTION("""COMPUTED_VALUE"""),43957.0)</f>
        <v>43957</v>
      </c>
      <c r="B617" s="18" t="str">
        <f>IFERROR(__xludf.DUMMYFUNCTION("""COMPUTED_VALUE"""),"Екатеринбург")</f>
        <v>Екатеринбург</v>
      </c>
      <c r="C617" s="18">
        <f>IFERROR(__xludf.DUMMYFUNCTION("""COMPUTED_VALUE"""),31.0)</f>
        <v>31</v>
      </c>
      <c r="D617" s="18">
        <f>IFERROR(__xludf.DUMMYFUNCTION("""COMPUTED_VALUE"""),4709.0)</f>
        <v>4709</v>
      </c>
      <c r="E617" s="18">
        <f>IFERROR(__xludf.DUMMYFUNCTION("""COMPUTED_VALUE"""),4348.0)</f>
        <v>4348</v>
      </c>
      <c r="G617" s="18">
        <f t="shared" si="1"/>
        <v>19</v>
      </c>
    </row>
    <row r="618">
      <c r="A618" s="20">
        <f>IFERROR(__xludf.DUMMYFUNCTION("""COMPUTED_VALUE"""),43957.0)</f>
        <v>43957</v>
      </c>
      <c r="B618" s="18" t="str">
        <f>IFERROR(__xludf.DUMMYFUNCTION("""COMPUTED_VALUE"""),"Казань")</f>
        <v>Казань</v>
      </c>
      <c r="C618" s="18">
        <f>IFERROR(__xludf.DUMMYFUNCTION("""COMPUTED_VALUE"""),20.0)</f>
        <v>20</v>
      </c>
      <c r="D618" s="18">
        <f>IFERROR(__xludf.DUMMYFUNCTION("""COMPUTED_VALUE"""),1747.0)</f>
        <v>1747</v>
      </c>
      <c r="E618" s="18">
        <f>IFERROR(__xludf.DUMMYFUNCTION("""COMPUTED_VALUE"""),1570.0)</f>
        <v>1570</v>
      </c>
      <c r="G618" s="18">
        <f t="shared" si="1"/>
        <v>19</v>
      </c>
    </row>
    <row r="619">
      <c r="A619" s="20">
        <f>IFERROR(__xludf.DUMMYFUNCTION("""COMPUTED_VALUE"""),43957.0)</f>
        <v>43957</v>
      </c>
      <c r="B619" s="18" t="str">
        <f>IFERROR(__xludf.DUMMYFUNCTION("""COMPUTED_VALUE"""),"Кемерово")</f>
        <v>Кемерово</v>
      </c>
      <c r="C619" s="18">
        <f>IFERROR(__xludf.DUMMYFUNCTION("""COMPUTED_VALUE"""),20.0)</f>
        <v>20</v>
      </c>
      <c r="D619" s="18">
        <f>IFERROR(__xludf.DUMMYFUNCTION("""COMPUTED_VALUE"""),1784.0)</f>
        <v>1784</v>
      </c>
      <c r="E619" s="18">
        <f>IFERROR(__xludf.DUMMYFUNCTION("""COMPUTED_VALUE"""),1632.0)</f>
        <v>1632</v>
      </c>
      <c r="G619" s="18">
        <f t="shared" si="1"/>
        <v>19</v>
      </c>
    </row>
    <row r="620">
      <c r="A620" s="20">
        <f>IFERROR(__xludf.DUMMYFUNCTION("""COMPUTED_VALUE"""),43957.0)</f>
        <v>43957</v>
      </c>
      <c r="B620" s="18" t="str">
        <f>IFERROR(__xludf.DUMMYFUNCTION("""COMPUTED_VALUE"""),"Краснодар")</f>
        <v>Краснодар</v>
      </c>
      <c r="C620" s="18">
        <f>IFERROR(__xludf.DUMMYFUNCTION("""COMPUTED_VALUE"""),19.0)</f>
        <v>19</v>
      </c>
      <c r="D620" s="18">
        <f>IFERROR(__xludf.DUMMYFUNCTION("""COMPUTED_VALUE"""),1509.0)</f>
        <v>1509</v>
      </c>
      <c r="E620" s="18">
        <f>IFERROR(__xludf.DUMMYFUNCTION("""COMPUTED_VALUE"""),1374.0)</f>
        <v>1374</v>
      </c>
      <c r="G620" s="18">
        <f t="shared" si="1"/>
        <v>19</v>
      </c>
    </row>
    <row r="621">
      <c r="A621" s="20">
        <f>IFERROR(__xludf.DUMMYFUNCTION("""COMPUTED_VALUE"""),43957.0)</f>
        <v>43957</v>
      </c>
      <c r="B621" s="18" t="str">
        <f>IFERROR(__xludf.DUMMYFUNCTION("""COMPUTED_VALUE"""),"Москва Восток")</f>
        <v>Москва Восток</v>
      </c>
      <c r="C621" s="18">
        <f>IFERROR(__xludf.DUMMYFUNCTION("""COMPUTED_VALUE"""),54.0)</f>
        <v>54</v>
      </c>
      <c r="D621" s="18">
        <f>IFERROR(__xludf.DUMMYFUNCTION("""COMPUTED_VALUE"""),13406.0)</f>
        <v>13406</v>
      </c>
      <c r="E621" s="18">
        <f>IFERROR(__xludf.DUMMYFUNCTION("""COMPUTED_VALUE"""),12518.0)</f>
        <v>12518</v>
      </c>
      <c r="G621" s="18">
        <f t="shared" si="1"/>
        <v>19</v>
      </c>
    </row>
    <row r="622">
      <c r="A622" s="20">
        <f>IFERROR(__xludf.DUMMYFUNCTION("""COMPUTED_VALUE"""),43957.0)</f>
        <v>43957</v>
      </c>
      <c r="B622" s="18" t="str">
        <f>IFERROR(__xludf.DUMMYFUNCTION("""COMPUTED_VALUE"""),"Москва Запад")</f>
        <v>Москва Запад</v>
      </c>
      <c r="C622" s="18">
        <f>IFERROR(__xludf.DUMMYFUNCTION("""COMPUTED_VALUE"""),59.0)</f>
        <v>59</v>
      </c>
      <c r="D622" s="18">
        <f>IFERROR(__xludf.DUMMYFUNCTION("""COMPUTED_VALUE"""),14103.0)</f>
        <v>14103</v>
      </c>
      <c r="E622" s="18">
        <f>IFERROR(__xludf.DUMMYFUNCTION("""COMPUTED_VALUE"""),13118.0)</f>
        <v>13118</v>
      </c>
      <c r="G622" s="18">
        <f t="shared" si="1"/>
        <v>19</v>
      </c>
    </row>
    <row r="623">
      <c r="A623" s="20">
        <f>IFERROR(__xludf.DUMMYFUNCTION("""COMPUTED_VALUE"""),43957.0)</f>
        <v>43957</v>
      </c>
      <c r="B623" s="18" t="str">
        <f>IFERROR(__xludf.DUMMYFUNCTION("""COMPUTED_VALUE"""),"Нижний Новгород")</f>
        <v>Нижний Новгород</v>
      </c>
      <c r="C623" s="18">
        <f>IFERROR(__xludf.DUMMYFUNCTION("""COMPUTED_VALUE"""),19.0)</f>
        <v>19</v>
      </c>
      <c r="D623" s="18">
        <f>IFERROR(__xludf.DUMMYFUNCTION("""COMPUTED_VALUE"""),1499.0)</f>
        <v>1499</v>
      </c>
      <c r="E623" s="18">
        <f>IFERROR(__xludf.DUMMYFUNCTION("""COMPUTED_VALUE"""),1323.0)</f>
        <v>1323</v>
      </c>
      <c r="G623" s="18">
        <f t="shared" si="1"/>
        <v>19</v>
      </c>
    </row>
    <row r="624">
      <c r="A624" s="20">
        <f>IFERROR(__xludf.DUMMYFUNCTION("""COMPUTED_VALUE"""),43957.0)</f>
        <v>43957</v>
      </c>
      <c r="B624" s="18" t="str">
        <f>IFERROR(__xludf.DUMMYFUNCTION("""COMPUTED_VALUE"""),"Новосибирск")</f>
        <v>Новосибирск</v>
      </c>
      <c r="C624" s="18">
        <f>IFERROR(__xludf.DUMMYFUNCTION("""COMPUTED_VALUE"""),15.0)</f>
        <v>15</v>
      </c>
      <c r="D624" s="18">
        <f>IFERROR(__xludf.DUMMYFUNCTION("""COMPUTED_VALUE"""),701.0)</f>
        <v>701</v>
      </c>
      <c r="E624" s="18">
        <f>IFERROR(__xludf.DUMMYFUNCTION("""COMPUTED_VALUE"""),611.0)</f>
        <v>611</v>
      </c>
      <c r="G624" s="18">
        <f t="shared" si="1"/>
        <v>19</v>
      </c>
    </row>
    <row r="625">
      <c r="A625" s="20">
        <f>IFERROR(__xludf.DUMMYFUNCTION("""COMPUTED_VALUE"""),43957.0)</f>
        <v>43957</v>
      </c>
      <c r="B625" s="18" t="str">
        <f>IFERROR(__xludf.DUMMYFUNCTION("""COMPUTED_VALUE"""),"Пермь")</f>
        <v>Пермь</v>
      </c>
      <c r="C625" s="18">
        <f>IFERROR(__xludf.DUMMYFUNCTION("""COMPUTED_VALUE"""),15.0)</f>
        <v>15</v>
      </c>
      <c r="D625" s="18">
        <f>IFERROR(__xludf.DUMMYFUNCTION("""COMPUTED_VALUE"""),839.0)</f>
        <v>839</v>
      </c>
      <c r="E625" s="18">
        <f>IFERROR(__xludf.DUMMYFUNCTION("""COMPUTED_VALUE"""),733.0)</f>
        <v>733</v>
      </c>
      <c r="G625" s="18">
        <f t="shared" si="1"/>
        <v>19</v>
      </c>
    </row>
    <row r="626">
      <c r="A626" s="20">
        <f>IFERROR(__xludf.DUMMYFUNCTION("""COMPUTED_VALUE"""),43957.0)</f>
        <v>43957</v>
      </c>
      <c r="B626" s="18" t="str">
        <f>IFERROR(__xludf.DUMMYFUNCTION("""COMPUTED_VALUE"""),"Ростов-на-Дону")</f>
        <v>Ростов-на-Дону</v>
      </c>
      <c r="C626" s="18">
        <f>IFERROR(__xludf.DUMMYFUNCTION("""COMPUTED_VALUE"""),15.0)</f>
        <v>15</v>
      </c>
      <c r="D626" s="18">
        <f>IFERROR(__xludf.DUMMYFUNCTION("""COMPUTED_VALUE"""),467.0)</f>
        <v>467</v>
      </c>
      <c r="E626" s="18">
        <f>IFERROR(__xludf.DUMMYFUNCTION("""COMPUTED_VALUE"""),389.0)</f>
        <v>389</v>
      </c>
      <c r="G626" s="18">
        <f t="shared" si="1"/>
        <v>19</v>
      </c>
    </row>
    <row r="627">
      <c r="A627" s="20">
        <f>IFERROR(__xludf.DUMMYFUNCTION("""COMPUTED_VALUE"""),43957.0)</f>
        <v>43957</v>
      </c>
      <c r="B627" s="18" t="str">
        <f>IFERROR(__xludf.DUMMYFUNCTION("""COMPUTED_VALUE"""),"Санкт-Петербург Север")</f>
        <v>Санкт-Петербург Север</v>
      </c>
      <c r="C627" s="18">
        <f>IFERROR(__xludf.DUMMYFUNCTION("""COMPUTED_VALUE"""),125.0)</f>
        <v>125</v>
      </c>
      <c r="D627" s="18">
        <f>IFERROR(__xludf.DUMMYFUNCTION("""COMPUTED_VALUE"""),20218.0)</f>
        <v>20218</v>
      </c>
      <c r="E627" s="18">
        <f>IFERROR(__xludf.DUMMYFUNCTION("""COMPUTED_VALUE"""),18647.0)</f>
        <v>18647</v>
      </c>
      <c r="G627" s="18">
        <f t="shared" si="1"/>
        <v>19</v>
      </c>
    </row>
    <row r="628">
      <c r="A628" s="20">
        <f>IFERROR(__xludf.DUMMYFUNCTION("""COMPUTED_VALUE"""),43957.0)</f>
        <v>43957</v>
      </c>
      <c r="B628" s="18" t="str">
        <f>IFERROR(__xludf.DUMMYFUNCTION("""COMPUTED_VALUE"""),"Санкт-Петербург Юг")</f>
        <v>Санкт-Петербург Юг</v>
      </c>
      <c r="C628" s="18">
        <f>IFERROR(__xludf.DUMMYFUNCTION("""COMPUTED_VALUE"""),129.0)</f>
        <v>129</v>
      </c>
      <c r="D628" s="18">
        <f>IFERROR(__xludf.DUMMYFUNCTION("""COMPUTED_VALUE"""),16376.0)</f>
        <v>16376</v>
      </c>
      <c r="E628" s="18">
        <f>IFERROR(__xludf.DUMMYFUNCTION("""COMPUTED_VALUE"""),15197.0)</f>
        <v>15197</v>
      </c>
      <c r="G628" s="18">
        <f t="shared" si="1"/>
        <v>19</v>
      </c>
    </row>
    <row r="629">
      <c r="A629" s="20">
        <f>IFERROR(__xludf.DUMMYFUNCTION("""COMPUTED_VALUE"""),43957.0)</f>
        <v>43957</v>
      </c>
      <c r="B629" s="18" t="str">
        <f>IFERROR(__xludf.DUMMYFUNCTION("""COMPUTED_VALUE"""),"Тольятти")</f>
        <v>Тольятти</v>
      </c>
      <c r="C629" s="18">
        <f>IFERROR(__xludf.DUMMYFUNCTION("""COMPUTED_VALUE"""),10.0)</f>
        <v>10</v>
      </c>
      <c r="D629" s="18">
        <f>IFERROR(__xludf.DUMMYFUNCTION("""COMPUTED_VALUE"""),465.0)</f>
        <v>465</v>
      </c>
      <c r="E629" s="18">
        <f>IFERROR(__xludf.DUMMYFUNCTION("""COMPUTED_VALUE"""),390.0)</f>
        <v>390</v>
      </c>
      <c r="G629" s="18">
        <f t="shared" si="1"/>
        <v>19</v>
      </c>
    </row>
    <row r="630">
      <c r="A630" s="20">
        <f>IFERROR(__xludf.DUMMYFUNCTION("""COMPUTED_VALUE"""),43958.0)</f>
        <v>43958</v>
      </c>
      <c r="B630" s="18" t="str">
        <f>IFERROR(__xludf.DUMMYFUNCTION("""COMPUTED_VALUE"""),"Волгоград")</f>
        <v>Волгоград</v>
      </c>
      <c r="C630" s="18">
        <f>IFERROR(__xludf.DUMMYFUNCTION("""COMPUTED_VALUE"""),36.0)</f>
        <v>36</v>
      </c>
      <c r="D630" s="18">
        <f>IFERROR(__xludf.DUMMYFUNCTION("""COMPUTED_VALUE"""),4826.0)</f>
        <v>4826</v>
      </c>
      <c r="E630" s="18">
        <f>IFERROR(__xludf.DUMMYFUNCTION("""COMPUTED_VALUE"""),4426.0)</f>
        <v>4426</v>
      </c>
      <c r="G630" s="18">
        <f t="shared" si="1"/>
        <v>19</v>
      </c>
    </row>
    <row r="631">
      <c r="A631" s="20">
        <f>IFERROR(__xludf.DUMMYFUNCTION("""COMPUTED_VALUE"""),43958.0)</f>
        <v>43958</v>
      </c>
      <c r="B631" s="18" t="str">
        <f>IFERROR(__xludf.DUMMYFUNCTION("""COMPUTED_VALUE"""),"Екатеринбург")</f>
        <v>Екатеринбург</v>
      </c>
      <c r="C631" s="18">
        <f>IFERROR(__xludf.DUMMYFUNCTION("""COMPUTED_VALUE"""),31.0)</f>
        <v>31</v>
      </c>
      <c r="D631" s="18">
        <f>IFERROR(__xludf.DUMMYFUNCTION("""COMPUTED_VALUE"""),4903.0)</f>
        <v>4903</v>
      </c>
      <c r="E631" s="18">
        <f>IFERROR(__xludf.DUMMYFUNCTION("""COMPUTED_VALUE"""),4527.0)</f>
        <v>4527</v>
      </c>
      <c r="G631" s="18">
        <f t="shared" si="1"/>
        <v>19</v>
      </c>
    </row>
    <row r="632">
      <c r="A632" s="20">
        <f>IFERROR(__xludf.DUMMYFUNCTION("""COMPUTED_VALUE"""),43958.0)</f>
        <v>43958</v>
      </c>
      <c r="B632" s="18" t="str">
        <f>IFERROR(__xludf.DUMMYFUNCTION("""COMPUTED_VALUE"""),"Казань")</f>
        <v>Казань</v>
      </c>
      <c r="C632" s="18">
        <f>IFERROR(__xludf.DUMMYFUNCTION("""COMPUTED_VALUE"""),21.0)</f>
        <v>21</v>
      </c>
      <c r="D632" s="18">
        <f>IFERROR(__xludf.DUMMYFUNCTION("""COMPUTED_VALUE"""),1879.0)</f>
        <v>1879</v>
      </c>
      <c r="E632" s="18">
        <f>IFERROR(__xludf.DUMMYFUNCTION("""COMPUTED_VALUE"""),1695.0)</f>
        <v>1695</v>
      </c>
      <c r="G632" s="18">
        <f t="shared" si="1"/>
        <v>19</v>
      </c>
    </row>
    <row r="633">
      <c r="A633" s="20">
        <f>IFERROR(__xludf.DUMMYFUNCTION("""COMPUTED_VALUE"""),43958.0)</f>
        <v>43958</v>
      </c>
      <c r="B633" s="18" t="str">
        <f>IFERROR(__xludf.DUMMYFUNCTION("""COMPUTED_VALUE"""),"Кемерово")</f>
        <v>Кемерово</v>
      </c>
      <c r="C633" s="18">
        <f>IFERROR(__xludf.DUMMYFUNCTION("""COMPUTED_VALUE"""),21.0)</f>
        <v>21</v>
      </c>
      <c r="D633" s="18">
        <f>IFERROR(__xludf.DUMMYFUNCTION("""COMPUTED_VALUE"""),1542.0)</f>
        <v>1542</v>
      </c>
      <c r="E633" s="18">
        <f>IFERROR(__xludf.DUMMYFUNCTION("""COMPUTED_VALUE"""),1405.0)</f>
        <v>1405</v>
      </c>
      <c r="G633" s="18">
        <f t="shared" si="1"/>
        <v>19</v>
      </c>
    </row>
    <row r="634">
      <c r="A634" s="20">
        <f>IFERROR(__xludf.DUMMYFUNCTION("""COMPUTED_VALUE"""),43958.0)</f>
        <v>43958</v>
      </c>
      <c r="B634" s="18" t="str">
        <f>IFERROR(__xludf.DUMMYFUNCTION("""COMPUTED_VALUE"""),"Краснодар")</f>
        <v>Краснодар</v>
      </c>
      <c r="C634" s="18">
        <f>IFERROR(__xludf.DUMMYFUNCTION("""COMPUTED_VALUE"""),19.0)</f>
        <v>19</v>
      </c>
      <c r="D634" s="18">
        <f>IFERROR(__xludf.DUMMYFUNCTION("""COMPUTED_VALUE"""),1580.0)</f>
        <v>1580</v>
      </c>
      <c r="E634" s="18">
        <f>IFERROR(__xludf.DUMMYFUNCTION("""COMPUTED_VALUE"""),1435.0)</f>
        <v>1435</v>
      </c>
      <c r="G634" s="18">
        <f t="shared" si="1"/>
        <v>19</v>
      </c>
    </row>
    <row r="635">
      <c r="A635" s="20">
        <f>IFERROR(__xludf.DUMMYFUNCTION("""COMPUTED_VALUE"""),43958.0)</f>
        <v>43958</v>
      </c>
      <c r="B635" s="18" t="str">
        <f>IFERROR(__xludf.DUMMYFUNCTION("""COMPUTED_VALUE"""),"Москва Восток")</f>
        <v>Москва Восток</v>
      </c>
      <c r="C635" s="18">
        <f>IFERROR(__xludf.DUMMYFUNCTION("""COMPUTED_VALUE"""),54.0)</f>
        <v>54</v>
      </c>
      <c r="D635" s="18">
        <f>IFERROR(__xludf.DUMMYFUNCTION("""COMPUTED_VALUE"""),12743.0)</f>
        <v>12743</v>
      </c>
      <c r="E635" s="18">
        <f>IFERROR(__xludf.DUMMYFUNCTION("""COMPUTED_VALUE"""),11858.0)</f>
        <v>11858</v>
      </c>
      <c r="G635" s="18">
        <f t="shared" si="1"/>
        <v>19</v>
      </c>
    </row>
    <row r="636">
      <c r="A636" s="20">
        <f>IFERROR(__xludf.DUMMYFUNCTION("""COMPUTED_VALUE"""),43958.0)</f>
        <v>43958</v>
      </c>
      <c r="B636" s="18" t="str">
        <f>IFERROR(__xludf.DUMMYFUNCTION("""COMPUTED_VALUE"""),"Москва Запад")</f>
        <v>Москва Запад</v>
      </c>
      <c r="C636" s="18">
        <f>IFERROR(__xludf.DUMMYFUNCTION("""COMPUTED_VALUE"""),59.0)</f>
        <v>59</v>
      </c>
      <c r="D636" s="18">
        <f>IFERROR(__xludf.DUMMYFUNCTION("""COMPUTED_VALUE"""),13495.0)</f>
        <v>13495</v>
      </c>
      <c r="E636" s="18">
        <f>IFERROR(__xludf.DUMMYFUNCTION("""COMPUTED_VALUE"""),12517.0)</f>
        <v>12517</v>
      </c>
      <c r="G636" s="18">
        <f t="shared" si="1"/>
        <v>19</v>
      </c>
    </row>
    <row r="637">
      <c r="A637" s="20">
        <f>IFERROR(__xludf.DUMMYFUNCTION("""COMPUTED_VALUE"""),43958.0)</f>
        <v>43958</v>
      </c>
      <c r="B637" s="18" t="str">
        <f>IFERROR(__xludf.DUMMYFUNCTION("""COMPUTED_VALUE"""),"Нижний Новгород")</f>
        <v>Нижний Новгород</v>
      </c>
      <c r="C637" s="18">
        <f>IFERROR(__xludf.DUMMYFUNCTION("""COMPUTED_VALUE"""),19.0)</f>
        <v>19</v>
      </c>
      <c r="D637" s="18">
        <f>IFERROR(__xludf.DUMMYFUNCTION("""COMPUTED_VALUE"""),1530.0)</f>
        <v>1530</v>
      </c>
      <c r="E637" s="18">
        <f>IFERROR(__xludf.DUMMYFUNCTION("""COMPUTED_VALUE"""),1338.0)</f>
        <v>1338</v>
      </c>
      <c r="G637" s="18">
        <f t="shared" si="1"/>
        <v>19</v>
      </c>
    </row>
    <row r="638">
      <c r="A638" s="20">
        <f>IFERROR(__xludf.DUMMYFUNCTION("""COMPUTED_VALUE"""),43958.0)</f>
        <v>43958</v>
      </c>
      <c r="B638" s="18" t="str">
        <f>IFERROR(__xludf.DUMMYFUNCTION("""COMPUTED_VALUE"""),"Новосибирск")</f>
        <v>Новосибирск</v>
      </c>
      <c r="C638" s="18">
        <f>IFERROR(__xludf.DUMMYFUNCTION("""COMPUTED_VALUE"""),15.0)</f>
        <v>15</v>
      </c>
      <c r="D638" s="18">
        <f>IFERROR(__xludf.DUMMYFUNCTION("""COMPUTED_VALUE"""),676.0)</f>
        <v>676</v>
      </c>
      <c r="E638" s="18">
        <f>IFERROR(__xludf.DUMMYFUNCTION("""COMPUTED_VALUE"""),591.0)</f>
        <v>591</v>
      </c>
      <c r="G638" s="18">
        <f t="shared" si="1"/>
        <v>19</v>
      </c>
    </row>
    <row r="639">
      <c r="A639" s="20">
        <f>IFERROR(__xludf.DUMMYFUNCTION("""COMPUTED_VALUE"""),43958.0)</f>
        <v>43958</v>
      </c>
      <c r="B639" s="18" t="str">
        <f>IFERROR(__xludf.DUMMYFUNCTION("""COMPUTED_VALUE"""),"Пермь")</f>
        <v>Пермь</v>
      </c>
      <c r="C639" s="18">
        <f>IFERROR(__xludf.DUMMYFUNCTION("""COMPUTED_VALUE"""),15.0)</f>
        <v>15</v>
      </c>
      <c r="D639" s="18">
        <f>IFERROR(__xludf.DUMMYFUNCTION("""COMPUTED_VALUE"""),805.0)</f>
        <v>805</v>
      </c>
      <c r="E639" s="18">
        <f>IFERROR(__xludf.DUMMYFUNCTION("""COMPUTED_VALUE"""),703.0)</f>
        <v>703</v>
      </c>
      <c r="G639" s="18">
        <f t="shared" si="1"/>
        <v>19</v>
      </c>
    </row>
    <row r="640">
      <c r="A640" s="20">
        <f>IFERROR(__xludf.DUMMYFUNCTION("""COMPUTED_VALUE"""),43958.0)</f>
        <v>43958</v>
      </c>
      <c r="B640" s="18" t="str">
        <f>IFERROR(__xludf.DUMMYFUNCTION("""COMPUTED_VALUE"""),"Ростов-на-Дону")</f>
        <v>Ростов-на-Дону</v>
      </c>
      <c r="C640" s="18">
        <f>IFERROR(__xludf.DUMMYFUNCTION("""COMPUTED_VALUE"""),15.0)</f>
        <v>15</v>
      </c>
      <c r="D640" s="18">
        <f>IFERROR(__xludf.DUMMYFUNCTION("""COMPUTED_VALUE"""),480.0)</f>
        <v>480</v>
      </c>
      <c r="E640" s="18">
        <f>IFERROR(__xludf.DUMMYFUNCTION("""COMPUTED_VALUE"""),398.0)</f>
        <v>398</v>
      </c>
      <c r="G640" s="18">
        <f t="shared" si="1"/>
        <v>19</v>
      </c>
    </row>
    <row r="641">
      <c r="A641" s="20">
        <f>IFERROR(__xludf.DUMMYFUNCTION("""COMPUTED_VALUE"""),43958.0)</f>
        <v>43958</v>
      </c>
      <c r="B641" s="18" t="str">
        <f>IFERROR(__xludf.DUMMYFUNCTION("""COMPUTED_VALUE"""),"Санкт-Петербург Север")</f>
        <v>Санкт-Петербург Север</v>
      </c>
      <c r="C641" s="18">
        <f>IFERROR(__xludf.DUMMYFUNCTION("""COMPUTED_VALUE"""),125.0)</f>
        <v>125</v>
      </c>
      <c r="D641" s="18">
        <f>IFERROR(__xludf.DUMMYFUNCTION("""COMPUTED_VALUE"""),18014.0)</f>
        <v>18014</v>
      </c>
      <c r="E641" s="18">
        <f>IFERROR(__xludf.DUMMYFUNCTION("""COMPUTED_VALUE"""),16675.0)</f>
        <v>16675</v>
      </c>
      <c r="G641" s="18">
        <f t="shared" si="1"/>
        <v>19</v>
      </c>
    </row>
    <row r="642">
      <c r="A642" s="20">
        <f>IFERROR(__xludf.DUMMYFUNCTION("""COMPUTED_VALUE"""),43958.0)</f>
        <v>43958</v>
      </c>
      <c r="B642" s="18" t="str">
        <f>IFERROR(__xludf.DUMMYFUNCTION("""COMPUTED_VALUE"""),"Санкт-Петербург Юг")</f>
        <v>Санкт-Петербург Юг</v>
      </c>
      <c r="C642" s="18">
        <f>IFERROR(__xludf.DUMMYFUNCTION("""COMPUTED_VALUE"""),129.0)</f>
        <v>129</v>
      </c>
      <c r="D642" s="18">
        <f>IFERROR(__xludf.DUMMYFUNCTION("""COMPUTED_VALUE"""),14582.0)</f>
        <v>14582</v>
      </c>
      <c r="E642" s="18">
        <f>IFERROR(__xludf.DUMMYFUNCTION("""COMPUTED_VALUE"""),13512.0)</f>
        <v>13512</v>
      </c>
      <c r="G642" s="18">
        <f t="shared" si="1"/>
        <v>19</v>
      </c>
    </row>
    <row r="643">
      <c r="A643" s="20">
        <f>IFERROR(__xludf.DUMMYFUNCTION("""COMPUTED_VALUE"""),43958.0)</f>
        <v>43958</v>
      </c>
      <c r="B643" s="18" t="str">
        <f>IFERROR(__xludf.DUMMYFUNCTION("""COMPUTED_VALUE"""),"Тольятти")</f>
        <v>Тольятти</v>
      </c>
      <c r="C643" s="18">
        <f>IFERROR(__xludf.DUMMYFUNCTION("""COMPUTED_VALUE"""),10.0)</f>
        <v>10</v>
      </c>
      <c r="D643" s="18">
        <f>IFERROR(__xludf.DUMMYFUNCTION("""COMPUTED_VALUE"""),563.0)</f>
        <v>563</v>
      </c>
      <c r="E643" s="18">
        <f>IFERROR(__xludf.DUMMYFUNCTION("""COMPUTED_VALUE"""),486.0)</f>
        <v>486</v>
      </c>
      <c r="G643" s="18">
        <f t="shared" si="1"/>
        <v>19</v>
      </c>
    </row>
    <row r="644">
      <c r="A644" s="20">
        <f>IFERROR(__xludf.DUMMYFUNCTION("""COMPUTED_VALUE"""),43959.0)</f>
        <v>43959</v>
      </c>
      <c r="B644" s="18" t="str">
        <f>IFERROR(__xludf.DUMMYFUNCTION("""COMPUTED_VALUE"""),"Волгоград")</f>
        <v>Волгоград</v>
      </c>
      <c r="C644" s="18">
        <f>IFERROR(__xludf.DUMMYFUNCTION("""COMPUTED_VALUE"""),36.0)</f>
        <v>36</v>
      </c>
      <c r="D644" s="18">
        <f>IFERROR(__xludf.DUMMYFUNCTION("""COMPUTED_VALUE"""),4199.0)</f>
        <v>4199</v>
      </c>
      <c r="E644" s="18">
        <f>IFERROR(__xludf.DUMMYFUNCTION("""COMPUTED_VALUE"""),3867.0)</f>
        <v>3867</v>
      </c>
      <c r="G644" s="18">
        <f t="shared" si="1"/>
        <v>19</v>
      </c>
    </row>
    <row r="645">
      <c r="A645" s="20">
        <f>IFERROR(__xludf.DUMMYFUNCTION("""COMPUTED_VALUE"""),43959.0)</f>
        <v>43959</v>
      </c>
      <c r="B645" s="18" t="str">
        <f>IFERROR(__xludf.DUMMYFUNCTION("""COMPUTED_VALUE"""),"Екатеринбург")</f>
        <v>Екатеринбург</v>
      </c>
      <c r="C645" s="18">
        <f>IFERROR(__xludf.DUMMYFUNCTION("""COMPUTED_VALUE"""),31.0)</f>
        <v>31</v>
      </c>
      <c r="D645" s="18">
        <f>IFERROR(__xludf.DUMMYFUNCTION("""COMPUTED_VALUE"""),4635.0)</f>
        <v>4635</v>
      </c>
      <c r="E645" s="18">
        <f>IFERROR(__xludf.DUMMYFUNCTION("""COMPUTED_VALUE"""),4266.0)</f>
        <v>4266</v>
      </c>
      <c r="G645" s="18">
        <f t="shared" si="1"/>
        <v>19</v>
      </c>
    </row>
    <row r="646">
      <c r="A646" s="20">
        <f>IFERROR(__xludf.DUMMYFUNCTION("""COMPUTED_VALUE"""),43959.0)</f>
        <v>43959</v>
      </c>
      <c r="B646" s="18" t="str">
        <f>IFERROR(__xludf.DUMMYFUNCTION("""COMPUTED_VALUE"""),"Казань")</f>
        <v>Казань</v>
      </c>
      <c r="C646" s="18">
        <f>IFERROR(__xludf.DUMMYFUNCTION("""COMPUTED_VALUE"""),21.0)</f>
        <v>21</v>
      </c>
      <c r="D646" s="18">
        <f>IFERROR(__xludf.DUMMYFUNCTION("""COMPUTED_VALUE"""),1957.0)</f>
        <v>1957</v>
      </c>
      <c r="E646" s="18">
        <f>IFERROR(__xludf.DUMMYFUNCTION("""COMPUTED_VALUE"""),1755.0)</f>
        <v>1755</v>
      </c>
      <c r="G646" s="18">
        <f t="shared" si="1"/>
        <v>19</v>
      </c>
    </row>
    <row r="647">
      <c r="A647" s="20">
        <f>IFERROR(__xludf.DUMMYFUNCTION("""COMPUTED_VALUE"""),43959.0)</f>
        <v>43959</v>
      </c>
      <c r="B647" s="18" t="str">
        <f>IFERROR(__xludf.DUMMYFUNCTION("""COMPUTED_VALUE"""),"Кемерово")</f>
        <v>Кемерово</v>
      </c>
      <c r="C647" s="18">
        <f>IFERROR(__xludf.DUMMYFUNCTION("""COMPUTED_VALUE"""),21.0)</f>
        <v>21</v>
      </c>
      <c r="D647" s="18">
        <f>IFERROR(__xludf.DUMMYFUNCTION("""COMPUTED_VALUE"""),1646.0)</f>
        <v>1646</v>
      </c>
      <c r="E647" s="18">
        <f>IFERROR(__xludf.DUMMYFUNCTION("""COMPUTED_VALUE"""),1492.0)</f>
        <v>1492</v>
      </c>
      <c r="G647" s="18">
        <f t="shared" si="1"/>
        <v>19</v>
      </c>
    </row>
    <row r="648">
      <c r="A648" s="20">
        <f>IFERROR(__xludf.DUMMYFUNCTION("""COMPUTED_VALUE"""),43959.0)</f>
        <v>43959</v>
      </c>
      <c r="B648" s="18" t="str">
        <f>IFERROR(__xludf.DUMMYFUNCTION("""COMPUTED_VALUE"""),"Краснодар")</f>
        <v>Краснодар</v>
      </c>
      <c r="C648" s="18">
        <f>IFERROR(__xludf.DUMMYFUNCTION("""COMPUTED_VALUE"""),19.0)</f>
        <v>19</v>
      </c>
      <c r="D648" s="18">
        <f>IFERROR(__xludf.DUMMYFUNCTION("""COMPUTED_VALUE"""),1520.0)</f>
        <v>1520</v>
      </c>
      <c r="E648" s="18">
        <f>IFERROR(__xludf.DUMMYFUNCTION("""COMPUTED_VALUE"""),1380.0)</f>
        <v>1380</v>
      </c>
      <c r="G648" s="18">
        <f t="shared" si="1"/>
        <v>19</v>
      </c>
    </row>
    <row r="649">
      <c r="A649" s="20">
        <f>IFERROR(__xludf.DUMMYFUNCTION("""COMPUTED_VALUE"""),43959.0)</f>
        <v>43959</v>
      </c>
      <c r="B649" s="18" t="str">
        <f>IFERROR(__xludf.DUMMYFUNCTION("""COMPUTED_VALUE"""),"Москва Восток")</f>
        <v>Москва Восток</v>
      </c>
      <c r="C649" s="18">
        <f>IFERROR(__xludf.DUMMYFUNCTION("""COMPUTED_VALUE"""),54.0)</f>
        <v>54</v>
      </c>
      <c r="D649" s="18">
        <f>IFERROR(__xludf.DUMMYFUNCTION("""COMPUTED_VALUE"""),13563.0)</f>
        <v>13563</v>
      </c>
      <c r="E649" s="18">
        <f>IFERROR(__xludf.DUMMYFUNCTION("""COMPUTED_VALUE"""),12604.0)</f>
        <v>12604</v>
      </c>
      <c r="G649" s="18">
        <f t="shared" si="1"/>
        <v>19</v>
      </c>
    </row>
    <row r="650">
      <c r="A650" s="20">
        <f>IFERROR(__xludf.DUMMYFUNCTION("""COMPUTED_VALUE"""),43959.0)</f>
        <v>43959</v>
      </c>
      <c r="B650" s="18" t="str">
        <f>IFERROR(__xludf.DUMMYFUNCTION("""COMPUTED_VALUE"""),"Москва Запад")</f>
        <v>Москва Запад</v>
      </c>
      <c r="C650" s="18">
        <f>IFERROR(__xludf.DUMMYFUNCTION("""COMPUTED_VALUE"""),59.0)</f>
        <v>59</v>
      </c>
      <c r="D650" s="18">
        <f>IFERROR(__xludf.DUMMYFUNCTION("""COMPUTED_VALUE"""),14098.0)</f>
        <v>14098</v>
      </c>
      <c r="E650" s="18">
        <f>IFERROR(__xludf.DUMMYFUNCTION("""COMPUTED_VALUE"""),13106.0)</f>
        <v>13106</v>
      </c>
      <c r="G650" s="18">
        <f t="shared" si="1"/>
        <v>19</v>
      </c>
    </row>
    <row r="651">
      <c r="A651" s="20">
        <f>IFERROR(__xludf.DUMMYFUNCTION("""COMPUTED_VALUE"""),43959.0)</f>
        <v>43959</v>
      </c>
      <c r="B651" s="18" t="str">
        <f>IFERROR(__xludf.DUMMYFUNCTION("""COMPUTED_VALUE"""),"Нижний Новгород")</f>
        <v>Нижний Новгород</v>
      </c>
      <c r="C651" s="18">
        <f>IFERROR(__xludf.DUMMYFUNCTION("""COMPUTED_VALUE"""),19.0)</f>
        <v>19</v>
      </c>
      <c r="D651" s="18">
        <f>IFERROR(__xludf.DUMMYFUNCTION("""COMPUTED_VALUE"""),1522.0)</f>
        <v>1522</v>
      </c>
      <c r="E651" s="18">
        <f>IFERROR(__xludf.DUMMYFUNCTION("""COMPUTED_VALUE"""),1340.0)</f>
        <v>1340</v>
      </c>
      <c r="G651" s="18">
        <f t="shared" si="1"/>
        <v>19</v>
      </c>
    </row>
    <row r="652">
      <c r="A652" s="20">
        <f>IFERROR(__xludf.DUMMYFUNCTION("""COMPUTED_VALUE"""),43959.0)</f>
        <v>43959</v>
      </c>
      <c r="B652" s="18" t="str">
        <f>IFERROR(__xludf.DUMMYFUNCTION("""COMPUTED_VALUE"""),"Новосибирск")</f>
        <v>Новосибирск</v>
      </c>
      <c r="C652" s="18">
        <f>IFERROR(__xludf.DUMMYFUNCTION("""COMPUTED_VALUE"""),15.0)</f>
        <v>15</v>
      </c>
      <c r="D652" s="18">
        <f>IFERROR(__xludf.DUMMYFUNCTION("""COMPUTED_VALUE"""),703.0)</f>
        <v>703</v>
      </c>
      <c r="E652" s="18">
        <f>IFERROR(__xludf.DUMMYFUNCTION("""COMPUTED_VALUE"""),609.0)</f>
        <v>609</v>
      </c>
      <c r="G652" s="18">
        <f t="shared" si="1"/>
        <v>19</v>
      </c>
    </row>
    <row r="653">
      <c r="A653" s="20">
        <f>IFERROR(__xludf.DUMMYFUNCTION("""COMPUTED_VALUE"""),43959.0)</f>
        <v>43959</v>
      </c>
      <c r="B653" s="18" t="str">
        <f>IFERROR(__xludf.DUMMYFUNCTION("""COMPUTED_VALUE"""),"Пермь")</f>
        <v>Пермь</v>
      </c>
      <c r="C653" s="18">
        <f>IFERROR(__xludf.DUMMYFUNCTION("""COMPUTED_VALUE"""),15.0)</f>
        <v>15</v>
      </c>
      <c r="D653" s="18">
        <f>IFERROR(__xludf.DUMMYFUNCTION("""COMPUTED_VALUE"""),879.0)</f>
        <v>879</v>
      </c>
      <c r="E653" s="18">
        <f>IFERROR(__xludf.DUMMYFUNCTION("""COMPUTED_VALUE"""),768.0)</f>
        <v>768</v>
      </c>
      <c r="G653" s="18">
        <f t="shared" si="1"/>
        <v>19</v>
      </c>
    </row>
    <row r="654">
      <c r="A654" s="20">
        <f>IFERROR(__xludf.DUMMYFUNCTION("""COMPUTED_VALUE"""),43959.0)</f>
        <v>43959</v>
      </c>
      <c r="B654" s="18" t="str">
        <f>IFERROR(__xludf.DUMMYFUNCTION("""COMPUTED_VALUE"""),"Ростов-на-Дону")</f>
        <v>Ростов-на-Дону</v>
      </c>
      <c r="C654" s="18">
        <f>IFERROR(__xludf.DUMMYFUNCTION("""COMPUTED_VALUE"""),15.0)</f>
        <v>15</v>
      </c>
      <c r="D654" s="18">
        <f>IFERROR(__xludf.DUMMYFUNCTION("""COMPUTED_VALUE"""),492.0)</f>
        <v>492</v>
      </c>
      <c r="E654" s="18">
        <f>IFERROR(__xludf.DUMMYFUNCTION("""COMPUTED_VALUE"""),412.0)</f>
        <v>412</v>
      </c>
      <c r="G654" s="18">
        <f t="shared" si="1"/>
        <v>19</v>
      </c>
    </row>
    <row r="655">
      <c r="A655" s="20">
        <f>IFERROR(__xludf.DUMMYFUNCTION("""COMPUTED_VALUE"""),43959.0)</f>
        <v>43959</v>
      </c>
      <c r="B655" s="18" t="str">
        <f>IFERROR(__xludf.DUMMYFUNCTION("""COMPUTED_VALUE"""),"Санкт-Петербург Север")</f>
        <v>Санкт-Петербург Север</v>
      </c>
      <c r="C655" s="18">
        <f>IFERROR(__xludf.DUMMYFUNCTION("""COMPUTED_VALUE"""),125.0)</f>
        <v>125</v>
      </c>
      <c r="D655" s="18">
        <f>IFERROR(__xludf.DUMMYFUNCTION("""COMPUTED_VALUE"""),24620.0)</f>
        <v>24620</v>
      </c>
      <c r="E655" s="18">
        <f>IFERROR(__xludf.DUMMYFUNCTION("""COMPUTED_VALUE"""),22641.0)</f>
        <v>22641</v>
      </c>
      <c r="G655" s="18">
        <f t="shared" si="1"/>
        <v>19</v>
      </c>
    </row>
    <row r="656">
      <c r="A656" s="20">
        <f>IFERROR(__xludf.DUMMYFUNCTION("""COMPUTED_VALUE"""),43959.0)</f>
        <v>43959</v>
      </c>
      <c r="B656" s="18" t="str">
        <f>IFERROR(__xludf.DUMMYFUNCTION("""COMPUTED_VALUE"""),"Санкт-Петербург Юг")</f>
        <v>Санкт-Петербург Юг</v>
      </c>
      <c r="C656" s="18">
        <f>IFERROR(__xludf.DUMMYFUNCTION("""COMPUTED_VALUE"""),129.0)</f>
        <v>129</v>
      </c>
      <c r="D656" s="18">
        <f>IFERROR(__xludf.DUMMYFUNCTION("""COMPUTED_VALUE"""),20452.0)</f>
        <v>20452</v>
      </c>
      <c r="E656" s="18">
        <f>IFERROR(__xludf.DUMMYFUNCTION("""COMPUTED_VALUE"""),18857.0)</f>
        <v>18857</v>
      </c>
      <c r="G656" s="18">
        <f t="shared" si="1"/>
        <v>19</v>
      </c>
    </row>
    <row r="657">
      <c r="A657" s="20">
        <f>IFERROR(__xludf.DUMMYFUNCTION("""COMPUTED_VALUE"""),43959.0)</f>
        <v>43959</v>
      </c>
      <c r="B657" s="18" t="str">
        <f>IFERROR(__xludf.DUMMYFUNCTION("""COMPUTED_VALUE"""),"Тольятти")</f>
        <v>Тольятти</v>
      </c>
      <c r="C657" s="18">
        <f>IFERROR(__xludf.DUMMYFUNCTION("""COMPUTED_VALUE"""),10.0)</f>
        <v>10</v>
      </c>
      <c r="D657" s="18">
        <f>IFERROR(__xludf.DUMMYFUNCTION("""COMPUTED_VALUE"""),638.0)</f>
        <v>638</v>
      </c>
      <c r="E657" s="18">
        <f>IFERROR(__xludf.DUMMYFUNCTION("""COMPUTED_VALUE"""),547.0)</f>
        <v>547</v>
      </c>
      <c r="G657" s="18">
        <f t="shared" si="1"/>
        <v>19</v>
      </c>
    </row>
    <row r="658">
      <c r="A658" s="20">
        <f>IFERROR(__xludf.DUMMYFUNCTION("""COMPUTED_VALUE"""),43960.0)</f>
        <v>43960</v>
      </c>
      <c r="B658" s="18" t="str">
        <f>IFERROR(__xludf.DUMMYFUNCTION("""COMPUTED_VALUE"""),"Волгоград")</f>
        <v>Волгоград</v>
      </c>
      <c r="C658" s="18">
        <f>IFERROR(__xludf.DUMMYFUNCTION("""COMPUTED_VALUE"""),36.0)</f>
        <v>36</v>
      </c>
      <c r="D658" s="18">
        <f>IFERROR(__xludf.DUMMYFUNCTION("""COMPUTED_VALUE"""),5413.0)</f>
        <v>5413</v>
      </c>
      <c r="E658" s="18">
        <f>IFERROR(__xludf.DUMMYFUNCTION("""COMPUTED_VALUE"""),4959.0)</f>
        <v>4959</v>
      </c>
      <c r="G658" s="18">
        <f t="shared" si="1"/>
        <v>19</v>
      </c>
    </row>
    <row r="659">
      <c r="A659" s="20">
        <f>IFERROR(__xludf.DUMMYFUNCTION("""COMPUTED_VALUE"""),43960.0)</f>
        <v>43960</v>
      </c>
      <c r="B659" s="18" t="str">
        <f>IFERROR(__xludf.DUMMYFUNCTION("""COMPUTED_VALUE"""),"Екатеринбург")</f>
        <v>Екатеринбург</v>
      </c>
      <c r="C659" s="18">
        <f>IFERROR(__xludf.DUMMYFUNCTION("""COMPUTED_VALUE"""),31.0)</f>
        <v>31</v>
      </c>
      <c r="D659" s="18">
        <f>IFERROR(__xludf.DUMMYFUNCTION("""COMPUTED_VALUE"""),4556.0)</f>
        <v>4556</v>
      </c>
      <c r="E659" s="18">
        <f>IFERROR(__xludf.DUMMYFUNCTION("""COMPUTED_VALUE"""),4220.0)</f>
        <v>4220</v>
      </c>
      <c r="G659" s="18">
        <f t="shared" si="1"/>
        <v>19</v>
      </c>
    </row>
    <row r="660">
      <c r="A660" s="20">
        <f>IFERROR(__xludf.DUMMYFUNCTION("""COMPUTED_VALUE"""),43960.0)</f>
        <v>43960</v>
      </c>
      <c r="B660" s="18" t="str">
        <f>IFERROR(__xludf.DUMMYFUNCTION("""COMPUTED_VALUE"""),"Казань")</f>
        <v>Казань</v>
      </c>
      <c r="C660" s="18">
        <f>IFERROR(__xludf.DUMMYFUNCTION("""COMPUTED_VALUE"""),21.0)</f>
        <v>21</v>
      </c>
      <c r="D660" s="18">
        <f>IFERROR(__xludf.DUMMYFUNCTION("""COMPUTED_VALUE"""),1891.0)</f>
        <v>1891</v>
      </c>
      <c r="E660" s="18">
        <f>IFERROR(__xludf.DUMMYFUNCTION("""COMPUTED_VALUE"""),1709.0)</f>
        <v>1709</v>
      </c>
      <c r="G660" s="18">
        <f t="shared" si="1"/>
        <v>19</v>
      </c>
    </row>
    <row r="661">
      <c r="A661" s="20">
        <f>IFERROR(__xludf.DUMMYFUNCTION("""COMPUTED_VALUE"""),43960.0)</f>
        <v>43960</v>
      </c>
      <c r="B661" s="18" t="str">
        <f>IFERROR(__xludf.DUMMYFUNCTION("""COMPUTED_VALUE"""),"Кемерово")</f>
        <v>Кемерово</v>
      </c>
      <c r="C661" s="18">
        <f>IFERROR(__xludf.DUMMYFUNCTION("""COMPUTED_VALUE"""),21.0)</f>
        <v>21</v>
      </c>
      <c r="D661" s="18">
        <f>IFERROR(__xludf.DUMMYFUNCTION("""COMPUTED_VALUE"""),1735.0)</f>
        <v>1735</v>
      </c>
      <c r="E661" s="18">
        <f>IFERROR(__xludf.DUMMYFUNCTION("""COMPUTED_VALUE"""),1568.0)</f>
        <v>1568</v>
      </c>
      <c r="G661" s="18">
        <f t="shared" si="1"/>
        <v>19</v>
      </c>
    </row>
    <row r="662">
      <c r="A662" s="20">
        <f>IFERROR(__xludf.DUMMYFUNCTION("""COMPUTED_VALUE"""),43960.0)</f>
        <v>43960</v>
      </c>
      <c r="B662" s="18" t="str">
        <f>IFERROR(__xludf.DUMMYFUNCTION("""COMPUTED_VALUE"""),"Краснодар")</f>
        <v>Краснодар</v>
      </c>
      <c r="C662" s="18">
        <f>IFERROR(__xludf.DUMMYFUNCTION("""COMPUTED_VALUE"""),19.0)</f>
        <v>19</v>
      </c>
      <c r="D662" s="18">
        <f>IFERROR(__xludf.DUMMYFUNCTION("""COMPUTED_VALUE"""),1542.0)</f>
        <v>1542</v>
      </c>
      <c r="E662" s="18">
        <f>IFERROR(__xludf.DUMMYFUNCTION("""COMPUTED_VALUE"""),1412.0)</f>
        <v>1412</v>
      </c>
      <c r="G662" s="18">
        <f t="shared" si="1"/>
        <v>19</v>
      </c>
    </row>
    <row r="663">
      <c r="A663" s="20">
        <f>IFERROR(__xludf.DUMMYFUNCTION("""COMPUTED_VALUE"""),43960.0)</f>
        <v>43960</v>
      </c>
      <c r="B663" s="18" t="str">
        <f>IFERROR(__xludf.DUMMYFUNCTION("""COMPUTED_VALUE"""),"Москва Восток")</f>
        <v>Москва Восток</v>
      </c>
      <c r="C663" s="18">
        <f>IFERROR(__xludf.DUMMYFUNCTION("""COMPUTED_VALUE"""),54.0)</f>
        <v>54</v>
      </c>
      <c r="D663" s="18">
        <f>IFERROR(__xludf.DUMMYFUNCTION("""COMPUTED_VALUE"""),11288.0)</f>
        <v>11288</v>
      </c>
      <c r="E663" s="18">
        <f>IFERROR(__xludf.DUMMYFUNCTION("""COMPUTED_VALUE"""),10492.0)</f>
        <v>10492</v>
      </c>
      <c r="G663" s="18">
        <f t="shared" si="1"/>
        <v>19</v>
      </c>
    </row>
    <row r="664">
      <c r="A664" s="20">
        <f>IFERROR(__xludf.DUMMYFUNCTION("""COMPUTED_VALUE"""),43960.0)</f>
        <v>43960</v>
      </c>
      <c r="B664" s="18" t="str">
        <f>IFERROR(__xludf.DUMMYFUNCTION("""COMPUTED_VALUE"""),"Москва Запад")</f>
        <v>Москва Запад</v>
      </c>
      <c r="C664" s="18">
        <f>IFERROR(__xludf.DUMMYFUNCTION("""COMPUTED_VALUE"""),59.0)</f>
        <v>59</v>
      </c>
      <c r="D664" s="18">
        <f>IFERROR(__xludf.DUMMYFUNCTION("""COMPUTED_VALUE"""),12016.0)</f>
        <v>12016</v>
      </c>
      <c r="E664" s="18">
        <f>IFERROR(__xludf.DUMMYFUNCTION("""COMPUTED_VALUE"""),11137.0)</f>
        <v>11137</v>
      </c>
      <c r="G664" s="18">
        <f t="shared" si="1"/>
        <v>19</v>
      </c>
    </row>
    <row r="665">
      <c r="A665" s="20">
        <f>IFERROR(__xludf.DUMMYFUNCTION("""COMPUTED_VALUE"""),43960.0)</f>
        <v>43960</v>
      </c>
      <c r="B665" s="18" t="str">
        <f>IFERROR(__xludf.DUMMYFUNCTION("""COMPUTED_VALUE"""),"Нижний Новгород")</f>
        <v>Нижний Новгород</v>
      </c>
      <c r="C665" s="18">
        <f>IFERROR(__xludf.DUMMYFUNCTION("""COMPUTED_VALUE"""),19.0)</f>
        <v>19</v>
      </c>
      <c r="D665" s="18">
        <f>IFERROR(__xludf.DUMMYFUNCTION("""COMPUTED_VALUE"""),1851.0)</f>
        <v>1851</v>
      </c>
      <c r="E665" s="18">
        <f>IFERROR(__xludf.DUMMYFUNCTION("""COMPUTED_VALUE"""),1635.0)</f>
        <v>1635</v>
      </c>
      <c r="G665" s="18">
        <f t="shared" si="1"/>
        <v>19</v>
      </c>
    </row>
    <row r="666">
      <c r="A666" s="20">
        <f>IFERROR(__xludf.DUMMYFUNCTION("""COMPUTED_VALUE"""),43960.0)</f>
        <v>43960</v>
      </c>
      <c r="B666" s="18" t="str">
        <f>IFERROR(__xludf.DUMMYFUNCTION("""COMPUTED_VALUE"""),"Новосибирск")</f>
        <v>Новосибирск</v>
      </c>
      <c r="C666" s="18">
        <f>IFERROR(__xludf.DUMMYFUNCTION("""COMPUTED_VALUE"""),15.0)</f>
        <v>15</v>
      </c>
      <c r="D666" s="18">
        <f>IFERROR(__xludf.DUMMYFUNCTION("""COMPUTED_VALUE"""),654.0)</f>
        <v>654</v>
      </c>
      <c r="E666" s="18">
        <f>IFERROR(__xludf.DUMMYFUNCTION("""COMPUTED_VALUE"""),570.0)</f>
        <v>570</v>
      </c>
      <c r="G666" s="18">
        <f t="shared" si="1"/>
        <v>19</v>
      </c>
    </row>
    <row r="667">
      <c r="A667" s="20">
        <f>IFERROR(__xludf.DUMMYFUNCTION("""COMPUTED_VALUE"""),43960.0)</f>
        <v>43960</v>
      </c>
      <c r="B667" s="18" t="str">
        <f>IFERROR(__xludf.DUMMYFUNCTION("""COMPUTED_VALUE"""),"Пермь")</f>
        <v>Пермь</v>
      </c>
      <c r="C667" s="18">
        <f>IFERROR(__xludf.DUMMYFUNCTION("""COMPUTED_VALUE"""),15.0)</f>
        <v>15</v>
      </c>
      <c r="D667" s="18">
        <f>IFERROR(__xludf.DUMMYFUNCTION("""COMPUTED_VALUE"""),849.0)</f>
        <v>849</v>
      </c>
      <c r="E667" s="18">
        <f>IFERROR(__xludf.DUMMYFUNCTION("""COMPUTED_VALUE"""),740.0)</f>
        <v>740</v>
      </c>
      <c r="G667" s="18">
        <f t="shared" si="1"/>
        <v>19</v>
      </c>
    </row>
    <row r="668">
      <c r="A668" s="20">
        <f>IFERROR(__xludf.DUMMYFUNCTION("""COMPUTED_VALUE"""),43960.0)</f>
        <v>43960</v>
      </c>
      <c r="B668" s="18" t="str">
        <f>IFERROR(__xludf.DUMMYFUNCTION("""COMPUTED_VALUE"""),"Ростов-на-Дону")</f>
        <v>Ростов-на-Дону</v>
      </c>
      <c r="C668" s="18">
        <f>IFERROR(__xludf.DUMMYFUNCTION("""COMPUTED_VALUE"""),15.0)</f>
        <v>15</v>
      </c>
      <c r="D668" s="18">
        <f>IFERROR(__xludf.DUMMYFUNCTION("""COMPUTED_VALUE"""),623.0)</f>
        <v>623</v>
      </c>
      <c r="E668" s="18">
        <f>IFERROR(__xludf.DUMMYFUNCTION("""COMPUTED_VALUE"""),535.0)</f>
        <v>535</v>
      </c>
      <c r="G668" s="18">
        <f t="shared" si="1"/>
        <v>19</v>
      </c>
    </row>
    <row r="669">
      <c r="A669" s="20">
        <f>IFERROR(__xludf.DUMMYFUNCTION("""COMPUTED_VALUE"""),43960.0)</f>
        <v>43960</v>
      </c>
      <c r="B669" s="18" t="str">
        <f>IFERROR(__xludf.DUMMYFUNCTION("""COMPUTED_VALUE"""),"Санкт-Петербург Север")</f>
        <v>Санкт-Петербург Север</v>
      </c>
      <c r="C669" s="18">
        <f>IFERROR(__xludf.DUMMYFUNCTION("""COMPUTED_VALUE"""),125.0)</f>
        <v>125</v>
      </c>
      <c r="D669" s="18">
        <f>IFERROR(__xludf.DUMMYFUNCTION("""COMPUTED_VALUE"""),20132.0)</f>
        <v>20132</v>
      </c>
      <c r="E669" s="18">
        <f>IFERROR(__xludf.DUMMYFUNCTION("""COMPUTED_VALUE"""),18617.0)</f>
        <v>18617</v>
      </c>
      <c r="G669" s="18">
        <f t="shared" si="1"/>
        <v>19</v>
      </c>
    </row>
    <row r="670">
      <c r="A670" s="20">
        <f>IFERROR(__xludf.DUMMYFUNCTION("""COMPUTED_VALUE"""),43960.0)</f>
        <v>43960</v>
      </c>
      <c r="B670" s="18" t="str">
        <f>IFERROR(__xludf.DUMMYFUNCTION("""COMPUTED_VALUE"""),"Санкт-Петербург Юг")</f>
        <v>Санкт-Петербург Юг</v>
      </c>
      <c r="C670" s="18">
        <f>IFERROR(__xludf.DUMMYFUNCTION("""COMPUTED_VALUE"""),129.0)</f>
        <v>129</v>
      </c>
      <c r="D670" s="18">
        <f>IFERROR(__xludf.DUMMYFUNCTION("""COMPUTED_VALUE"""),16420.0)</f>
        <v>16420</v>
      </c>
      <c r="E670" s="18">
        <f>IFERROR(__xludf.DUMMYFUNCTION("""COMPUTED_VALUE"""),15169.0)</f>
        <v>15169</v>
      </c>
      <c r="G670" s="18">
        <f t="shared" si="1"/>
        <v>19</v>
      </c>
    </row>
    <row r="671">
      <c r="A671" s="20">
        <f>IFERROR(__xludf.DUMMYFUNCTION("""COMPUTED_VALUE"""),43960.0)</f>
        <v>43960</v>
      </c>
      <c r="B671" s="18" t="str">
        <f>IFERROR(__xludf.DUMMYFUNCTION("""COMPUTED_VALUE"""),"Тольятти")</f>
        <v>Тольятти</v>
      </c>
      <c r="C671" s="18">
        <f>IFERROR(__xludf.DUMMYFUNCTION("""COMPUTED_VALUE"""),10.0)</f>
        <v>10</v>
      </c>
      <c r="D671" s="18">
        <f>IFERROR(__xludf.DUMMYFUNCTION("""COMPUTED_VALUE"""),644.0)</f>
        <v>644</v>
      </c>
      <c r="E671" s="18">
        <f>IFERROR(__xludf.DUMMYFUNCTION("""COMPUTED_VALUE"""),559.0)</f>
        <v>559</v>
      </c>
      <c r="G671" s="18">
        <f t="shared" si="1"/>
        <v>19</v>
      </c>
    </row>
    <row r="672">
      <c r="A672" s="20">
        <f>IFERROR(__xludf.DUMMYFUNCTION("""COMPUTED_VALUE"""),43961.0)</f>
        <v>43961</v>
      </c>
      <c r="B672" s="18" t="str">
        <f>IFERROR(__xludf.DUMMYFUNCTION("""COMPUTED_VALUE"""),"Волгоград")</f>
        <v>Волгоград</v>
      </c>
      <c r="C672" s="18">
        <f>IFERROR(__xludf.DUMMYFUNCTION("""COMPUTED_VALUE"""),36.0)</f>
        <v>36</v>
      </c>
      <c r="D672" s="18">
        <f>IFERROR(__xludf.DUMMYFUNCTION("""COMPUTED_VALUE"""),5746.0)</f>
        <v>5746</v>
      </c>
      <c r="E672" s="18">
        <f>IFERROR(__xludf.DUMMYFUNCTION("""COMPUTED_VALUE"""),5277.0)</f>
        <v>5277</v>
      </c>
      <c r="G672" s="18">
        <f t="shared" si="1"/>
        <v>19</v>
      </c>
    </row>
    <row r="673">
      <c r="A673" s="20">
        <f>IFERROR(__xludf.DUMMYFUNCTION("""COMPUTED_VALUE"""),43961.0)</f>
        <v>43961</v>
      </c>
      <c r="B673" s="18" t="str">
        <f>IFERROR(__xludf.DUMMYFUNCTION("""COMPUTED_VALUE"""),"Екатеринбург")</f>
        <v>Екатеринбург</v>
      </c>
      <c r="C673" s="18">
        <f>IFERROR(__xludf.DUMMYFUNCTION("""COMPUTED_VALUE"""),31.0)</f>
        <v>31</v>
      </c>
      <c r="D673" s="18">
        <f>IFERROR(__xludf.DUMMYFUNCTION("""COMPUTED_VALUE"""),5495.0)</f>
        <v>5495</v>
      </c>
      <c r="E673" s="18">
        <f>IFERROR(__xludf.DUMMYFUNCTION("""COMPUTED_VALUE"""),5093.0)</f>
        <v>5093</v>
      </c>
      <c r="G673" s="18">
        <f t="shared" si="1"/>
        <v>19</v>
      </c>
    </row>
    <row r="674">
      <c r="A674" s="20">
        <f>IFERROR(__xludf.DUMMYFUNCTION("""COMPUTED_VALUE"""),43961.0)</f>
        <v>43961</v>
      </c>
      <c r="B674" s="18" t="str">
        <f>IFERROR(__xludf.DUMMYFUNCTION("""COMPUTED_VALUE"""),"Казань")</f>
        <v>Казань</v>
      </c>
      <c r="C674" s="18">
        <f>IFERROR(__xludf.DUMMYFUNCTION("""COMPUTED_VALUE"""),21.0)</f>
        <v>21</v>
      </c>
      <c r="D674" s="18">
        <f>IFERROR(__xludf.DUMMYFUNCTION("""COMPUTED_VALUE"""),2120.0)</f>
        <v>2120</v>
      </c>
      <c r="E674" s="18">
        <f>IFERROR(__xludf.DUMMYFUNCTION("""COMPUTED_VALUE"""),1921.0)</f>
        <v>1921</v>
      </c>
      <c r="G674" s="18">
        <f t="shared" si="1"/>
        <v>19</v>
      </c>
    </row>
    <row r="675">
      <c r="A675" s="20">
        <f>IFERROR(__xludf.DUMMYFUNCTION("""COMPUTED_VALUE"""),43961.0)</f>
        <v>43961</v>
      </c>
      <c r="B675" s="18" t="str">
        <f>IFERROR(__xludf.DUMMYFUNCTION("""COMPUTED_VALUE"""),"Кемерово")</f>
        <v>Кемерово</v>
      </c>
      <c r="C675" s="18">
        <f>IFERROR(__xludf.DUMMYFUNCTION("""COMPUTED_VALUE"""),21.0)</f>
        <v>21</v>
      </c>
      <c r="D675" s="18">
        <f>IFERROR(__xludf.DUMMYFUNCTION("""COMPUTED_VALUE"""),2016.0)</f>
        <v>2016</v>
      </c>
      <c r="E675" s="18">
        <f>IFERROR(__xludf.DUMMYFUNCTION("""COMPUTED_VALUE"""),1846.0)</f>
        <v>1846</v>
      </c>
      <c r="G675" s="18">
        <f t="shared" si="1"/>
        <v>19</v>
      </c>
    </row>
    <row r="676">
      <c r="A676" s="20">
        <f>IFERROR(__xludf.DUMMYFUNCTION("""COMPUTED_VALUE"""),43961.0)</f>
        <v>43961</v>
      </c>
      <c r="B676" s="18" t="str">
        <f>IFERROR(__xludf.DUMMYFUNCTION("""COMPUTED_VALUE"""),"Краснодар")</f>
        <v>Краснодар</v>
      </c>
      <c r="C676" s="18">
        <f>IFERROR(__xludf.DUMMYFUNCTION("""COMPUTED_VALUE"""),19.0)</f>
        <v>19</v>
      </c>
      <c r="D676" s="18">
        <f>IFERROR(__xludf.DUMMYFUNCTION("""COMPUTED_VALUE"""),1836.0)</f>
        <v>1836</v>
      </c>
      <c r="E676" s="18">
        <f>IFERROR(__xludf.DUMMYFUNCTION("""COMPUTED_VALUE"""),1680.0)</f>
        <v>1680</v>
      </c>
      <c r="G676" s="18">
        <f t="shared" si="1"/>
        <v>19</v>
      </c>
    </row>
    <row r="677">
      <c r="A677" s="20">
        <f>IFERROR(__xludf.DUMMYFUNCTION("""COMPUTED_VALUE"""),43961.0)</f>
        <v>43961</v>
      </c>
      <c r="B677" s="18" t="str">
        <f>IFERROR(__xludf.DUMMYFUNCTION("""COMPUTED_VALUE"""),"Москва Восток")</f>
        <v>Москва Восток</v>
      </c>
      <c r="C677" s="18">
        <f>IFERROR(__xludf.DUMMYFUNCTION("""COMPUTED_VALUE"""),54.0)</f>
        <v>54</v>
      </c>
      <c r="D677" s="18">
        <f>IFERROR(__xludf.DUMMYFUNCTION("""COMPUTED_VALUE"""),13832.0)</f>
        <v>13832</v>
      </c>
      <c r="E677" s="18">
        <f>IFERROR(__xludf.DUMMYFUNCTION("""COMPUTED_VALUE"""),12864.0)</f>
        <v>12864</v>
      </c>
      <c r="G677" s="18">
        <f t="shared" si="1"/>
        <v>19</v>
      </c>
    </row>
    <row r="678">
      <c r="A678" s="20">
        <f>IFERROR(__xludf.DUMMYFUNCTION("""COMPUTED_VALUE"""),43961.0)</f>
        <v>43961</v>
      </c>
      <c r="B678" s="18" t="str">
        <f>IFERROR(__xludf.DUMMYFUNCTION("""COMPUTED_VALUE"""),"Москва Запад")</f>
        <v>Москва Запад</v>
      </c>
      <c r="C678" s="18">
        <f>IFERROR(__xludf.DUMMYFUNCTION("""COMPUTED_VALUE"""),59.0)</f>
        <v>59</v>
      </c>
      <c r="D678" s="18">
        <f>IFERROR(__xludf.DUMMYFUNCTION("""COMPUTED_VALUE"""),14569.0)</f>
        <v>14569</v>
      </c>
      <c r="E678" s="18">
        <f>IFERROR(__xludf.DUMMYFUNCTION("""COMPUTED_VALUE"""),13566.0)</f>
        <v>13566</v>
      </c>
      <c r="G678" s="18">
        <f t="shared" si="1"/>
        <v>19</v>
      </c>
    </row>
    <row r="679">
      <c r="A679" s="20">
        <f>IFERROR(__xludf.DUMMYFUNCTION("""COMPUTED_VALUE"""),43961.0)</f>
        <v>43961</v>
      </c>
      <c r="B679" s="18" t="str">
        <f>IFERROR(__xludf.DUMMYFUNCTION("""COMPUTED_VALUE"""),"Нижний Новгород")</f>
        <v>Нижний Новгород</v>
      </c>
      <c r="C679" s="18">
        <f>IFERROR(__xludf.DUMMYFUNCTION("""COMPUTED_VALUE"""),19.0)</f>
        <v>19</v>
      </c>
      <c r="D679" s="18">
        <f>IFERROR(__xludf.DUMMYFUNCTION("""COMPUTED_VALUE"""),1848.0)</f>
        <v>1848</v>
      </c>
      <c r="E679" s="18">
        <f>IFERROR(__xludf.DUMMYFUNCTION("""COMPUTED_VALUE"""),1649.0)</f>
        <v>1649</v>
      </c>
      <c r="G679" s="18">
        <f t="shared" si="1"/>
        <v>19</v>
      </c>
    </row>
    <row r="680">
      <c r="A680" s="20">
        <f>IFERROR(__xludf.DUMMYFUNCTION("""COMPUTED_VALUE"""),43961.0)</f>
        <v>43961</v>
      </c>
      <c r="B680" s="18" t="str">
        <f>IFERROR(__xludf.DUMMYFUNCTION("""COMPUTED_VALUE"""),"Новосибирск")</f>
        <v>Новосибирск</v>
      </c>
      <c r="C680" s="18">
        <f>IFERROR(__xludf.DUMMYFUNCTION("""COMPUTED_VALUE"""),15.0)</f>
        <v>15</v>
      </c>
      <c r="D680" s="18">
        <f>IFERROR(__xludf.DUMMYFUNCTION("""COMPUTED_VALUE"""),792.0)</f>
        <v>792</v>
      </c>
      <c r="E680" s="18">
        <f>IFERROR(__xludf.DUMMYFUNCTION("""COMPUTED_VALUE"""),695.0)</f>
        <v>695</v>
      </c>
      <c r="G680" s="18">
        <f t="shared" si="1"/>
        <v>19</v>
      </c>
    </row>
    <row r="681">
      <c r="A681" s="20">
        <f>IFERROR(__xludf.DUMMYFUNCTION("""COMPUTED_VALUE"""),43961.0)</f>
        <v>43961</v>
      </c>
      <c r="B681" s="18" t="str">
        <f>IFERROR(__xludf.DUMMYFUNCTION("""COMPUTED_VALUE"""),"Пермь")</f>
        <v>Пермь</v>
      </c>
      <c r="C681" s="18">
        <f>IFERROR(__xludf.DUMMYFUNCTION("""COMPUTED_VALUE"""),15.0)</f>
        <v>15</v>
      </c>
      <c r="D681" s="18">
        <f>IFERROR(__xludf.DUMMYFUNCTION("""COMPUTED_VALUE"""),950.0)</f>
        <v>950</v>
      </c>
      <c r="E681" s="18">
        <f>IFERROR(__xludf.DUMMYFUNCTION("""COMPUTED_VALUE"""),848.0)</f>
        <v>848</v>
      </c>
      <c r="G681" s="18">
        <f t="shared" si="1"/>
        <v>19</v>
      </c>
    </row>
    <row r="682">
      <c r="A682" s="20">
        <f>IFERROR(__xludf.DUMMYFUNCTION("""COMPUTED_VALUE"""),43961.0)</f>
        <v>43961</v>
      </c>
      <c r="B682" s="18" t="str">
        <f>IFERROR(__xludf.DUMMYFUNCTION("""COMPUTED_VALUE"""),"Ростов-на-Дону")</f>
        <v>Ростов-на-Дону</v>
      </c>
      <c r="C682" s="18">
        <f>IFERROR(__xludf.DUMMYFUNCTION("""COMPUTED_VALUE"""),15.0)</f>
        <v>15</v>
      </c>
      <c r="D682" s="18">
        <f>IFERROR(__xludf.DUMMYFUNCTION("""COMPUTED_VALUE"""),706.0)</f>
        <v>706</v>
      </c>
      <c r="E682" s="18">
        <f>IFERROR(__xludf.DUMMYFUNCTION("""COMPUTED_VALUE"""),608.0)</f>
        <v>608</v>
      </c>
      <c r="G682" s="18">
        <f t="shared" si="1"/>
        <v>19</v>
      </c>
    </row>
    <row r="683">
      <c r="A683" s="20">
        <f>IFERROR(__xludf.DUMMYFUNCTION("""COMPUTED_VALUE"""),43961.0)</f>
        <v>43961</v>
      </c>
      <c r="B683" s="18" t="str">
        <f>IFERROR(__xludf.DUMMYFUNCTION("""COMPUTED_VALUE"""),"Санкт-Петербург Север")</f>
        <v>Санкт-Петербург Север</v>
      </c>
      <c r="C683" s="18">
        <f>IFERROR(__xludf.DUMMYFUNCTION("""COMPUTED_VALUE"""),125.0)</f>
        <v>125</v>
      </c>
      <c r="D683" s="18">
        <f>IFERROR(__xludf.DUMMYFUNCTION("""COMPUTED_VALUE"""),20368.0)</f>
        <v>20368</v>
      </c>
      <c r="E683" s="18">
        <f>IFERROR(__xludf.DUMMYFUNCTION("""COMPUTED_VALUE"""),18884.0)</f>
        <v>18884</v>
      </c>
      <c r="G683" s="18">
        <f t="shared" si="1"/>
        <v>19</v>
      </c>
    </row>
    <row r="684">
      <c r="A684" s="20">
        <f>IFERROR(__xludf.DUMMYFUNCTION("""COMPUTED_VALUE"""),43961.0)</f>
        <v>43961</v>
      </c>
      <c r="B684" s="18" t="str">
        <f>IFERROR(__xludf.DUMMYFUNCTION("""COMPUTED_VALUE"""),"Санкт-Петербург Юг")</f>
        <v>Санкт-Петербург Юг</v>
      </c>
      <c r="C684" s="18">
        <f>IFERROR(__xludf.DUMMYFUNCTION("""COMPUTED_VALUE"""),129.0)</f>
        <v>129</v>
      </c>
      <c r="D684" s="18">
        <f>IFERROR(__xludf.DUMMYFUNCTION("""COMPUTED_VALUE"""),16437.0)</f>
        <v>16437</v>
      </c>
      <c r="E684" s="18">
        <f>IFERROR(__xludf.DUMMYFUNCTION("""COMPUTED_VALUE"""),15285.0)</f>
        <v>15285</v>
      </c>
      <c r="G684" s="18">
        <f t="shared" si="1"/>
        <v>19</v>
      </c>
    </row>
    <row r="685">
      <c r="A685" s="20">
        <f>IFERROR(__xludf.DUMMYFUNCTION("""COMPUTED_VALUE"""),43961.0)</f>
        <v>43961</v>
      </c>
      <c r="B685" s="18" t="str">
        <f>IFERROR(__xludf.DUMMYFUNCTION("""COMPUTED_VALUE"""),"Тольятти")</f>
        <v>Тольятти</v>
      </c>
      <c r="C685" s="18">
        <f>IFERROR(__xludf.DUMMYFUNCTION("""COMPUTED_VALUE"""),10.0)</f>
        <v>10</v>
      </c>
      <c r="D685" s="18">
        <f>IFERROR(__xludf.DUMMYFUNCTION("""COMPUTED_VALUE"""),642.0)</f>
        <v>642</v>
      </c>
      <c r="E685" s="18">
        <f>IFERROR(__xludf.DUMMYFUNCTION("""COMPUTED_VALUE"""),556.0)</f>
        <v>556</v>
      </c>
      <c r="G685" s="18">
        <f t="shared" si="1"/>
        <v>19</v>
      </c>
    </row>
    <row r="686">
      <c r="A686" s="20">
        <f>IFERROR(__xludf.DUMMYFUNCTION("""COMPUTED_VALUE"""),43962.0)</f>
        <v>43962</v>
      </c>
      <c r="B686" s="18" t="str">
        <f>IFERROR(__xludf.DUMMYFUNCTION("""COMPUTED_VALUE"""),"Волгоград")</f>
        <v>Волгоград</v>
      </c>
      <c r="C686" s="18">
        <f>IFERROR(__xludf.DUMMYFUNCTION("""COMPUTED_VALUE"""),36.0)</f>
        <v>36</v>
      </c>
      <c r="D686" s="18">
        <f>IFERROR(__xludf.DUMMYFUNCTION("""COMPUTED_VALUE"""),4150.0)</f>
        <v>4150</v>
      </c>
      <c r="E686" s="18">
        <f>IFERROR(__xludf.DUMMYFUNCTION("""COMPUTED_VALUE"""),3838.0)</f>
        <v>3838</v>
      </c>
      <c r="G686" s="18">
        <f t="shared" si="1"/>
        <v>20</v>
      </c>
    </row>
    <row r="687">
      <c r="A687" s="20">
        <f>IFERROR(__xludf.DUMMYFUNCTION("""COMPUTED_VALUE"""),43962.0)</f>
        <v>43962</v>
      </c>
      <c r="B687" s="18" t="str">
        <f>IFERROR(__xludf.DUMMYFUNCTION("""COMPUTED_VALUE"""),"Екатеринбург")</f>
        <v>Екатеринбург</v>
      </c>
      <c r="C687" s="18">
        <f>IFERROR(__xludf.DUMMYFUNCTION("""COMPUTED_VALUE"""),31.0)</f>
        <v>31</v>
      </c>
      <c r="D687" s="18">
        <f>IFERROR(__xludf.DUMMYFUNCTION("""COMPUTED_VALUE"""),4826.0)</f>
        <v>4826</v>
      </c>
      <c r="E687" s="18">
        <f>IFERROR(__xludf.DUMMYFUNCTION("""COMPUTED_VALUE"""),4483.0)</f>
        <v>4483</v>
      </c>
      <c r="G687" s="18">
        <f t="shared" si="1"/>
        <v>20</v>
      </c>
    </row>
    <row r="688">
      <c r="A688" s="20">
        <f>IFERROR(__xludf.DUMMYFUNCTION("""COMPUTED_VALUE"""),43962.0)</f>
        <v>43962</v>
      </c>
      <c r="B688" s="18" t="str">
        <f>IFERROR(__xludf.DUMMYFUNCTION("""COMPUTED_VALUE"""),"Казань")</f>
        <v>Казань</v>
      </c>
      <c r="C688" s="18">
        <f>IFERROR(__xludf.DUMMYFUNCTION("""COMPUTED_VALUE"""),21.0)</f>
        <v>21</v>
      </c>
      <c r="D688" s="18">
        <f>IFERROR(__xludf.DUMMYFUNCTION("""COMPUTED_VALUE"""),1916.0)</f>
        <v>1916</v>
      </c>
      <c r="E688" s="18">
        <f>IFERROR(__xludf.DUMMYFUNCTION("""COMPUTED_VALUE"""),1733.0)</f>
        <v>1733</v>
      </c>
      <c r="G688" s="18">
        <f t="shared" si="1"/>
        <v>20</v>
      </c>
    </row>
    <row r="689">
      <c r="A689" s="20">
        <f>IFERROR(__xludf.DUMMYFUNCTION("""COMPUTED_VALUE"""),43962.0)</f>
        <v>43962</v>
      </c>
      <c r="B689" s="18" t="str">
        <f>IFERROR(__xludf.DUMMYFUNCTION("""COMPUTED_VALUE"""),"Кемерово")</f>
        <v>Кемерово</v>
      </c>
      <c r="C689" s="18">
        <f>IFERROR(__xludf.DUMMYFUNCTION("""COMPUTED_VALUE"""),21.0)</f>
        <v>21</v>
      </c>
      <c r="D689" s="18">
        <f>IFERROR(__xludf.DUMMYFUNCTION("""COMPUTED_VALUE"""),1597.0)</f>
        <v>1597</v>
      </c>
      <c r="E689" s="18">
        <f>IFERROR(__xludf.DUMMYFUNCTION("""COMPUTED_VALUE"""),1457.0)</f>
        <v>1457</v>
      </c>
      <c r="G689" s="18">
        <f t="shared" si="1"/>
        <v>20</v>
      </c>
    </row>
    <row r="690">
      <c r="A690" s="20">
        <f>IFERROR(__xludf.DUMMYFUNCTION("""COMPUTED_VALUE"""),43962.0)</f>
        <v>43962</v>
      </c>
      <c r="B690" s="18" t="str">
        <f>IFERROR(__xludf.DUMMYFUNCTION("""COMPUTED_VALUE"""),"Краснодар")</f>
        <v>Краснодар</v>
      </c>
      <c r="C690" s="18">
        <f>IFERROR(__xludf.DUMMYFUNCTION("""COMPUTED_VALUE"""),19.0)</f>
        <v>19</v>
      </c>
      <c r="D690" s="18">
        <f>IFERROR(__xludf.DUMMYFUNCTION("""COMPUTED_VALUE"""),1527.0)</f>
        <v>1527</v>
      </c>
      <c r="E690" s="18">
        <f>IFERROR(__xludf.DUMMYFUNCTION("""COMPUTED_VALUE"""),1389.0)</f>
        <v>1389</v>
      </c>
      <c r="G690" s="18">
        <f t="shared" si="1"/>
        <v>20</v>
      </c>
    </row>
    <row r="691">
      <c r="A691" s="20">
        <f>IFERROR(__xludf.DUMMYFUNCTION("""COMPUTED_VALUE"""),43962.0)</f>
        <v>43962</v>
      </c>
      <c r="B691" s="18" t="str">
        <f>IFERROR(__xludf.DUMMYFUNCTION("""COMPUTED_VALUE"""),"Москва Восток")</f>
        <v>Москва Восток</v>
      </c>
      <c r="C691" s="18">
        <f>IFERROR(__xludf.DUMMYFUNCTION("""COMPUTED_VALUE"""),54.0)</f>
        <v>54</v>
      </c>
      <c r="D691" s="18">
        <f>IFERROR(__xludf.DUMMYFUNCTION("""COMPUTED_VALUE"""),10570.0)</f>
        <v>10570</v>
      </c>
      <c r="E691" s="18">
        <f>IFERROR(__xludf.DUMMYFUNCTION("""COMPUTED_VALUE"""),9926.0)</f>
        <v>9926</v>
      </c>
      <c r="G691" s="18">
        <f t="shared" si="1"/>
        <v>20</v>
      </c>
    </row>
    <row r="692">
      <c r="A692" s="20">
        <f>IFERROR(__xludf.DUMMYFUNCTION("""COMPUTED_VALUE"""),43962.0)</f>
        <v>43962</v>
      </c>
      <c r="B692" s="18" t="str">
        <f>IFERROR(__xludf.DUMMYFUNCTION("""COMPUTED_VALUE"""),"Москва Запад")</f>
        <v>Москва Запад</v>
      </c>
      <c r="C692" s="18">
        <f>IFERROR(__xludf.DUMMYFUNCTION("""COMPUTED_VALUE"""),60.0)</f>
        <v>60</v>
      </c>
      <c r="D692" s="18">
        <f>IFERROR(__xludf.DUMMYFUNCTION("""COMPUTED_VALUE"""),11100.0)</f>
        <v>11100</v>
      </c>
      <c r="E692" s="18">
        <f>IFERROR(__xludf.DUMMYFUNCTION("""COMPUTED_VALUE"""),10407.0)</f>
        <v>10407</v>
      </c>
      <c r="G692" s="18">
        <f t="shared" si="1"/>
        <v>20</v>
      </c>
    </row>
    <row r="693">
      <c r="A693" s="20">
        <f>IFERROR(__xludf.DUMMYFUNCTION("""COMPUTED_VALUE"""),43962.0)</f>
        <v>43962</v>
      </c>
      <c r="B693" s="18" t="str">
        <f>IFERROR(__xludf.DUMMYFUNCTION("""COMPUTED_VALUE"""),"Нижний Новгород")</f>
        <v>Нижний Новгород</v>
      </c>
      <c r="C693" s="18">
        <f>IFERROR(__xludf.DUMMYFUNCTION("""COMPUTED_VALUE"""),19.0)</f>
        <v>19</v>
      </c>
      <c r="D693" s="18">
        <f>IFERROR(__xludf.DUMMYFUNCTION("""COMPUTED_VALUE"""),2530.0)</f>
        <v>2530</v>
      </c>
      <c r="E693" s="18">
        <f>IFERROR(__xludf.DUMMYFUNCTION("""COMPUTED_VALUE"""),2270.0)</f>
        <v>2270</v>
      </c>
      <c r="G693" s="18">
        <f t="shared" si="1"/>
        <v>20</v>
      </c>
    </row>
    <row r="694">
      <c r="A694" s="20">
        <f>IFERROR(__xludf.DUMMYFUNCTION("""COMPUTED_VALUE"""),43962.0)</f>
        <v>43962</v>
      </c>
      <c r="B694" s="18" t="str">
        <f>IFERROR(__xludf.DUMMYFUNCTION("""COMPUTED_VALUE"""),"Новосибирск")</f>
        <v>Новосибирск</v>
      </c>
      <c r="C694" s="18">
        <f>IFERROR(__xludf.DUMMYFUNCTION("""COMPUTED_VALUE"""),15.0)</f>
        <v>15</v>
      </c>
      <c r="D694" s="18">
        <f>IFERROR(__xludf.DUMMYFUNCTION("""COMPUTED_VALUE"""),654.0)</f>
        <v>654</v>
      </c>
      <c r="E694" s="18">
        <f>IFERROR(__xludf.DUMMYFUNCTION("""COMPUTED_VALUE"""),564.0)</f>
        <v>564</v>
      </c>
      <c r="G694" s="18">
        <f t="shared" si="1"/>
        <v>20</v>
      </c>
    </row>
    <row r="695">
      <c r="A695" s="20">
        <f>IFERROR(__xludf.DUMMYFUNCTION("""COMPUTED_VALUE"""),43962.0)</f>
        <v>43962</v>
      </c>
      <c r="B695" s="18" t="str">
        <f>IFERROR(__xludf.DUMMYFUNCTION("""COMPUTED_VALUE"""),"Пермь")</f>
        <v>Пермь</v>
      </c>
      <c r="C695" s="18">
        <f>IFERROR(__xludf.DUMMYFUNCTION("""COMPUTED_VALUE"""),15.0)</f>
        <v>15</v>
      </c>
      <c r="D695" s="18">
        <f>IFERROR(__xludf.DUMMYFUNCTION("""COMPUTED_VALUE"""),812.0)</f>
        <v>812</v>
      </c>
      <c r="E695" s="18">
        <f>IFERROR(__xludf.DUMMYFUNCTION("""COMPUTED_VALUE"""),714.0)</f>
        <v>714</v>
      </c>
      <c r="G695" s="18">
        <f t="shared" si="1"/>
        <v>20</v>
      </c>
    </row>
    <row r="696">
      <c r="A696" s="20">
        <f>IFERROR(__xludf.DUMMYFUNCTION("""COMPUTED_VALUE"""),43962.0)</f>
        <v>43962</v>
      </c>
      <c r="B696" s="18" t="str">
        <f>IFERROR(__xludf.DUMMYFUNCTION("""COMPUTED_VALUE"""),"Ростов-на-Дону")</f>
        <v>Ростов-на-Дону</v>
      </c>
      <c r="C696" s="18">
        <f>IFERROR(__xludf.DUMMYFUNCTION("""COMPUTED_VALUE"""),15.0)</f>
        <v>15</v>
      </c>
      <c r="D696" s="18">
        <f>IFERROR(__xludf.DUMMYFUNCTION("""COMPUTED_VALUE"""),684.0)</f>
        <v>684</v>
      </c>
      <c r="E696" s="18">
        <f>IFERROR(__xludf.DUMMYFUNCTION("""COMPUTED_VALUE"""),585.0)</f>
        <v>585</v>
      </c>
      <c r="G696" s="18">
        <f t="shared" si="1"/>
        <v>20</v>
      </c>
    </row>
    <row r="697">
      <c r="A697" s="20">
        <f>IFERROR(__xludf.DUMMYFUNCTION("""COMPUTED_VALUE"""),43962.0)</f>
        <v>43962</v>
      </c>
      <c r="B697" s="18" t="str">
        <f>IFERROR(__xludf.DUMMYFUNCTION("""COMPUTED_VALUE"""),"Санкт-Петербург Север")</f>
        <v>Санкт-Петербург Север</v>
      </c>
      <c r="C697" s="18">
        <f>IFERROR(__xludf.DUMMYFUNCTION("""COMPUTED_VALUE"""),125.0)</f>
        <v>125</v>
      </c>
      <c r="D697" s="18">
        <f>IFERROR(__xludf.DUMMYFUNCTION("""COMPUTED_VALUE"""),18066.0)</f>
        <v>18066</v>
      </c>
      <c r="E697" s="18">
        <f>IFERROR(__xludf.DUMMYFUNCTION("""COMPUTED_VALUE"""),16883.0)</f>
        <v>16883</v>
      </c>
      <c r="G697" s="18">
        <f t="shared" si="1"/>
        <v>20</v>
      </c>
    </row>
    <row r="698">
      <c r="A698" s="20">
        <f>IFERROR(__xludf.DUMMYFUNCTION("""COMPUTED_VALUE"""),43962.0)</f>
        <v>43962</v>
      </c>
      <c r="B698" s="18" t="str">
        <f>IFERROR(__xludf.DUMMYFUNCTION("""COMPUTED_VALUE"""),"Санкт-Петербург Юг")</f>
        <v>Санкт-Петербург Юг</v>
      </c>
      <c r="C698" s="18">
        <f>IFERROR(__xludf.DUMMYFUNCTION("""COMPUTED_VALUE"""),129.0)</f>
        <v>129</v>
      </c>
      <c r="D698" s="18">
        <f>IFERROR(__xludf.DUMMYFUNCTION("""COMPUTED_VALUE"""),14043.0)</f>
        <v>14043</v>
      </c>
      <c r="E698" s="18">
        <f>IFERROR(__xludf.DUMMYFUNCTION("""COMPUTED_VALUE"""),13167.0)</f>
        <v>13167</v>
      </c>
      <c r="G698" s="18">
        <f t="shared" si="1"/>
        <v>20</v>
      </c>
    </row>
    <row r="699">
      <c r="A699" s="20">
        <f>IFERROR(__xludf.DUMMYFUNCTION("""COMPUTED_VALUE"""),43962.0)</f>
        <v>43962</v>
      </c>
      <c r="B699" s="18" t="str">
        <f>IFERROR(__xludf.DUMMYFUNCTION("""COMPUTED_VALUE"""),"Тольятти")</f>
        <v>Тольятти</v>
      </c>
      <c r="C699" s="18">
        <f>IFERROR(__xludf.DUMMYFUNCTION("""COMPUTED_VALUE"""),10.0)</f>
        <v>10</v>
      </c>
      <c r="D699" s="18">
        <f>IFERROR(__xludf.DUMMYFUNCTION("""COMPUTED_VALUE"""),494.0)</f>
        <v>494</v>
      </c>
      <c r="E699" s="18">
        <f>IFERROR(__xludf.DUMMYFUNCTION("""COMPUTED_VALUE"""),421.0)</f>
        <v>421</v>
      </c>
      <c r="G699" s="18">
        <f t="shared" si="1"/>
        <v>20</v>
      </c>
    </row>
    <row r="700">
      <c r="A700" s="20">
        <f>IFERROR(__xludf.DUMMYFUNCTION("""COMPUTED_VALUE"""),43963.0)</f>
        <v>43963</v>
      </c>
      <c r="B700" s="18" t="str">
        <f>IFERROR(__xludf.DUMMYFUNCTION("""COMPUTED_VALUE"""),"Волгоград")</f>
        <v>Волгоград</v>
      </c>
      <c r="C700" s="18">
        <f>IFERROR(__xludf.DUMMYFUNCTION("""COMPUTED_VALUE"""),36.0)</f>
        <v>36</v>
      </c>
      <c r="D700" s="18">
        <f>IFERROR(__xludf.DUMMYFUNCTION("""COMPUTED_VALUE"""),4418.0)</f>
        <v>4418</v>
      </c>
      <c r="E700" s="18">
        <f>IFERROR(__xludf.DUMMYFUNCTION("""COMPUTED_VALUE"""),4088.0)</f>
        <v>4088</v>
      </c>
      <c r="G700" s="18">
        <f t="shared" si="1"/>
        <v>20</v>
      </c>
    </row>
    <row r="701">
      <c r="A701" s="20">
        <f>IFERROR(__xludf.DUMMYFUNCTION("""COMPUTED_VALUE"""),43963.0)</f>
        <v>43963</v>
      </c>
      <c r="B701" s="18" t="str">
        <f>IFERROR(__xludf.DUMMYFUNCTION("""COMPUTED_VALUE"""),"Екатеринбург")</f>
        <v>Екатеринбург</v>
      </c>
      <c r="C701" s="18">
        <f>IFERROR(__xludf.DUMMYFUNCTION("""COMPUTED_VALUE"""),31.0)</f>
        <v>31</v>
      </c>
      <c r="D701" s="18">
        <f>IFERROR(__xludf.DUMMYFUNCTION("""COMPUTED_VALUE"""),4800.0)</f>
        <v>4800</v>
      </c>
      <c r="E701" s="18">
        <f>IFERROR(__xludf.DUMMYFUNCTION("""COMPUTED_VALUE"""),4470.0)</f>
        <v>4470</v>
      </c>
      <c r="G701" s="18">
        <f t="shared" si="1"/>
        <v>20</v>
      </c>
    </row>
    <row r="702">
      <c r="A702" s="20">
        <f>IFERROR(__xludf.DUMMYFUNCTION("""COMPUTED_VALUE"""),43963.0)</f>
        <v>43963</v>
      </c>
      <c r="B702" s="18" t="str">
        <f>IFERROR(__xludf.DUMMYFUNCTION("""COMPUTED_VALUE"""),"Казань")</f>
        <v>Казань</v>
      </c>
      <c r="C702" s="18">
        <f>IFERROR(__xludf.DUMMYFUNCTION("""COMPUTED_VALUE"""),21.0)</f>
        <v>21</v>
      </c>
      <c r="D702" s="18">
        <f>IFERROR(__xludf.DUMMYFUNCTION("""COMPUTED_VALUE"""),1926.0)</f>
        <v>1926</v>
      </c>
      <c r="E702" s="18">
        <f>IFERROR(__xludf.DUMMYFUNCTION("""COMPUTED_VALUE"""),1745.0)</f>
        <v>1745</v>
      </c>
      <c r="G702" s="18">
        <f t="shared" si="1"/>
        <v>20</v>
      </c>
    </row>
    <row r="703">
      <c r="A703" s="20">
        <f>IFERROR(__xludf.DUMMYFUNCTION("""COMPUTED_VALUE"""),43963.0)</f>
        <v>43963</v>
      </c>
      <c r="B703" s="18" t="str">
        <f>IFERROR(__xludf.DUMMYFUNCTION("""COMPUTED_VALUE"""),"Кемерово")</f>
        <v>Кемерово</v>
      </c>
      <c r="C703" s="18">
        <f>IFERROR(__xludf.DUMMYFUNCTION("""COMPUTED_VALUE"""),21.0)</f>
        <v>21</v>
      </c>
      <c r="D703" s="18">
        <f>IFERROR(__xludf.DUMMYFUNCTION("""COMPUTED_VALUE"""),1656.0)</f>
        <v>1656</v>
      </c>
      <c r="E703" s="18">
        <f>IFERROR(__xludf.DUMMYFUNCTION("""COMPUTED_VALUE"""),1516.0)</f>
        <v>1516</v>
      </c>
      <c r="G703" s="18">
        <f t="shared" si="1"/>
        <v>20</v>
      </c>
    </row>
    <row r="704">
      <c r="A704" s="20">
        <f>IFERROR(__xludf.DUMMYFUNCTION("""COMPUTED_VALUE"""),43963.0)</f>
        <v>43963</v>
      </c>
      <c r="B704" s="18" t="str">
        <f>IFERROR(__xludf.DUMMYFUNCTION("""COMPUTED_VALUE"""),"Краснодар")</f>
        <v>Краснодар</v>
      </c>
      <c r="C704" s="18">
        <f>IFERROR(__xludf.DUMMYFUNCTION("""COMPUTED_VALUE"""),19.0)</f>
        <v>19</v>
      </c>
      <c r="D704" s="18">
        <f>IFERROR(__xludf.DUMMYFUNCTION("""COMPUTED_VALUE"""),1598.0)</f>
        <v>1598</v>
      </c>
      <c r="E704" s="18">
        <f>IFERROR(__xludf.DUMMYFUNCTION("""COMPUTED_VALUE"""),1454.0)</f>
        <v>1454</v>
      </c>
      <c r="G704" s="18">
        <f t="shared" si="1"/>
        <v>20</v>
      </c>
    </row>
    <row r="705">
      <c r="A705" s="20">
        <f>IFERROR(__xludf.DUMMYFUNCTION("""COMPUTED_VALUE"""),43963.0)</f>
        <v>43963</v>
      </c>
      <c r="B705" s="18" t="str">
        <f>IFERROR(__xludf.DUMMYFUNCTION("""COMPUTED_VALUE"""),"Москва Восток")</f>
        <v>Москва Восток</v>
      </c>
      <c r="C705" s="18">
        <f>IFERROR(__xludf.DUMMYFUNCTION("""COMPUTED_VALUE"""),54.0)</f>
        <v>54</v>
      </c>
      <c r="D705" s="18">
        <f>IFERROR(__xludf.DUMMYFUNCTION("""COMPUTED_VALUE"""),11614.0)</f>
        <v>11614</v>
      </c>
      <c r="E705" s="18">
        <f>IFERROR(__xludf.DUMMYFUNCTION("""COMPUTED_VALUE"""),10862.0)</f>
        <v>10862</v>
      </c>
      <c r="G705" s="18">
        <f t="shared" si="1"/>
        <v>20</v>
      </c>
    </row>
    <row r="706">
      <c r="A706" s="20">
        <f>IFERROR(__xludf.DUMMYFUNCTION("""COMPUTED_VALUE"""),43963.0)</f>
        <v>43963</v>
      </c>
      <c r="B706" s="18" t="str">
        <f>IFERROR(__xludf.DUMMYFUNCTION("""COMPUTED_VALUE"""),"Москва Запад")</f>
        <v>Москва Запад</v>
      </c>
      <c r="C706" s="18">
        <f>IFERROR(__xludf.DUMMYFUNCTION("""COMPUTED_VALUE"""),60.0)</f>
        <v>60</v>
      </c>
      <c r="D706" s="18">
        <f>IFERROR(__xludf.DUMMYFUNCTION("""COMPUTED_VALUE"""),12000.0)</f>
        <v>12000</v>
      </c>
      <c r="E706" s="18">
        <f>IFERROR(__xludf.DUMMYFUNCTION("""COMPUTED_VALUE"""),11194.0)</f>
        <v>11194</v>
      </c>
      <c r="G706" s="18">
        <f t="shared" si="1"/>
        <v>20</v>
      </c>
    </row>
    <row r="707">
      <c r="A707" s="20">
        <f>IFERROR(__xludf.DUMMYFUNCTION("""COMPUTED_VALUE"""),43963.0)</f>
        <v>43963</v>
      </c>
      <c r="B707" s="18" t="str">
        <f>IFERROR(__xludf.DUMMYFUNCTION("""COMPUTED_VALUE"""),"Нижний Новгород")</f>
        <v>Нижний Новгород</v>
      </c>
      <c r="C707" s="18">
        <f>IFERROR(__xludf.DUMMYFUNCTION("""COMPUTED_VALUE"""),19.0)</f>
        <v>19</v>
      </c>
      <c r="D707" s="18">
        <f>IFERROR(__xludf.DUMMYFUNCTION("""COMPUTED_VALUE"""),1649.0)</f>
        <v>1649</v>
      </c>
      <c r="E707" s="18">
        <f>IFERROR(__xludf.DUMMYFUNCTION("""COMPUTED_VALUE"""),1460.0)</f>
        <v>1460</v>
      </c>
      <c r="G707" s="18">
        <f t="shared" si="1"/>
        <v>20</v>
      </c>
    </row>
    <row r="708">
      <c r="A708" s="20">
        <f>IFERROR(__xludf.DUMMYFUNCTION("""COMPUTED_VALUE"""),43963.0)</f>
        <v>43963</v>
      </c>
      <c r="B708" s="18" t="str">
        <f>IFERROR(__xludf.DUMMYFUNCTION("""COMPUTED_VALUE"""),"Новосибирск")</f>
        <v>Новосибирск</v>
      </c>
      <c r="C708" s="18">
        <f>IFERROR(__xludf.DUMMYFUNCTION("""COMPUTED_VALUE"""),15.0)</f>
        <v>15</v>
      </c>
      <c r="D708" s="18">
        <f>IFERROR(__xludf.DUMMYFUNCTION("""COMPUTED_VALUE"""),750.0)</f>
        <v>750</v>
      </c>
      <c r="E708" s="18">
        <f>IFERROR(__xludf.DUMMYFUNCTION("""COMPUTED_VALUE"""),659.0)</f>
        <v>659</v>
      </c>
      <c r="G708" s="18">
        <f t="shared" si="1"/>
        <v>20</v>
      </c>
    </row>
    <row r="709">
      <c r="A709" s="20">
        <f>IFERROR(__xludf.DUMMYFUNCTION("""COMPUTED_VALUE"""),43963.0)</f>
        <v>43963</v>
      </c>
      <c r="B709" s="18" t="str">
        <f>IFERROR(__xludf.DUMMYFUNCTION("""COMPUTED_VALUE"""),"Пермь")</f>
        <v>Пермь</v>
      </c>
      <c r="C709" s="18">
        <f>IFERROR(__xludf.DUMMYFUNCTION("""COMPUTED_VALUE"""),15.0)</f>
        <v>15</v>
      </c>
      <c r="D709" s="18">
        <f>IFERROR(__xludf.DUMMYFUNCTION("""COMPUTED_VALUE"""),845.0)</f>
        <v>845</v>
      </c>
      <c r="E709" s="18">
        <f>IFERROR(__xludf.DUMMYFUNCTION("""COMPUTED_VALUE"""),743.0)</f>
        <v>743</v>
      </c>
      <c r="G709" s="18">
        <f t="shared" si="1"/>
        <v>20</v>
      </c>
    </row>
    <row r="710">
      <c r="A710" s="20">
        <f>IFERROR(__xludf.DUMMYFUNCTION("""COMPUTED_VALUE"""),43963.0)</f>
        <v>43963</v>
      </c>
      <c r="B710" s="18" t="str">
        <f>IFERROR(__xludf.DUMMYFUNCTION("""COMPUTED_VALUE"""),"Ростов-на-Дону")</f>
        <v>Ростов-на-Дону</v>
      </c>
      <c r="C710" s="18">
        <f>IFERROR(__xludf.DUMMYFUNCTION("""COMPUTED_VALUE"""),15.0)</f>
        <v>15</v>
      </c>
      <c r="D710" s="18">
        <f>IFERROR(__xludf.DUMMYFUNCTION("""COMPUTED_VALUE"""),624.0)</f>
        <v>624</v>
      </c>
      <c r="E710" s="18">
        <f>IFERROR(__xludf.DUMMYFUNCTION("""COMPUTED_VALUE"""),538.0)</f>
        <v>538</v>
      </c>
      <c r="G710" s="18">
        <f t="shared" si="1"/>
        <v>20</v>
      </c>
    </row>
    <row r="711">
      <c r="A711" s="20">
        <f>IFERROR(__xludf.DUMMYFUNCTION("""COMPUTED_VALUE"""),43963.0)</f>
        <v>43963</v>
      </c>
      <c r="B711" s="18" t="str">
        <f>IFERROR(__xludf.DUMMYFUNCTION("""COMPUTED_VALUE"""),"Санкт-Петербург Север")</f>
        <v>Санкт-Петербург Север</v>
      </c>
      <c r="C711" s="18">
        <f>IFERROR(__xludf.DUMMYFUNCTION("""COMPUTED_VALUE"""),125.0)</f>
        <v>125</v>
      </c>
      <c r="D711" s="18">
        <f>IFERROR(__xludf.DUMMYFUNCTION("""COMPUTED_VALUE"""),21106.0)</f>
        <v>21106</v>
      </c>
      <c r="E711" s="18">
        <f>IFERROR(__xludf.DUMMYFUNCTION("""COMPUTED_VALUE"""),19651.0)</f>
        <v>19651</v>
      </c>
      <c r="G711" s="18">
        <f t="shared" si="1"/>
        <v>20</v>
      </c>
    </row>
    <row r="712">
      <c r="A712" s="20">
        <f>IFERROR(__xludf.DUMMYFUNCTION("""COMPUTED_VALUE"""),43963.0)</f>
        <v>43963</v>
      </c>
      <c r="B712" s="18" t="str">
        <f>IFERROR(__xludf.DUMMYFUNCTION("""COMPUTED_VALUE"""),"Санкт-Петербург Юг")</f>
        <v>Санкт-Петербург Юг</v>
      </c>
      <c r="C712" s="18">
        <f>IFERROR(__xludf.DUMMYFUNCTION("""COMPUTED_VALUE"""),129.0)</f>
        <v>129</v>
      </c>
      <c r="D712" s="18">
        <f>IFERROR(__xludf.DUMMYFUNCTION("""COMPUTED_VALUE"""),16387.0)</f>
        <v>16387</v>
      </c>
      <c r="E712" s="18">
        <f>IFERROR(__xludf.DUMMYFUNCTION("""COMPUTED_VALUE"""),15322.0)</f>
        <v>15322</v>
      </c>
      <c r="G712" s="18">
        <f t="shared" si="1"/>
        <v>20</v>
      </c>
    </row>
    <row r="713">
      <c r="A713" s="20">
        <f>IFERROR(__xludf.DUMMYFUNCTION("""COMPUTED_VALUE"""),43963.0)</f>
        <v>43963</v>
      </c>
      <c r="B713" s="18" t="str">
        <f>IFERROR(__xludf.DUMMYFUNCTION("""COMPUTED_VALUE"""),"Тольятти")</f>
        <v>Тольятти</v>
      </c>
      <c r="C713" s="18">
        <f>IFERROR(__xludf.DUMMYFUNCTION("""COMPUTED_VALUE"""),10.0)</f>
        <v>10</v>
      </c>
      <c r="D713" s="18">
        <f>IFERROR(__xludf.DUMMYFUNCTION("""COMPUTED_VALUE"""),526.0)</f>
        <v>526</v>
      </c>
      <c r="E713" s="18">
        <f>IFERROR(__xludf.DUMMYFUNCTION("""COMPUTED_VALUE"""),448.0)</f>
        <v>448</v>
      </c>
      <c r="G713" s="18">
        <f t="shared" si="1"/>
        <v>20</v>
      </c>
    </row>
    <row r="714">
      <c r="A714" s="20">
        <f>IFERROR(__xludf.DUMMYFUNCTION("""COMPUTED_VALUE"""),43964.0)</f>
        <v>43964</v>
      </c>
      <c r="B714" s="18" t="str">
        <f>IFERROR(__xludf.DUMMYFUNCTION("""COMPUTED_VALUE"""),"Волгоград")</f>
        <v>Волгоград</v>
      </c>
      <c r="C714" s="18">
        <f>IFERROR(__xludf.DUMMYFUNCTION("""COMPUTED_VALUE"""),36.0)</f>
        <v>36</v>
      </c>
      <c r="D714" s="18">
        <f>IFERROR(__xludf.DUMMYFUNCTION("""COMPUTED_VALUE"""),4967.0)</f>
        <v>4967</v>
      </c>
      <c r="E714" s="18">
        <f>IFERROR(__xludf.DUMMYFUNCTION("""COMPUTED_VALUE"""),4583.0)</f>
        <v>4583</v>
      </c>
      <c r="G714" s="18">
        <f t="shared" si="1"/>
        <v>20</v>
      </c>
    </row>
    <row r="715">
      <c r="A715" s="20">
        <f>IFERROR(__xludf.DUMMYFUNCTION("""COMPUTED_VALUE"""),43964.0)</f>
        <v>43964</v>
      </c>
      <c r="B715" s="18" t="str">
        <f>IFERROR(__xludf.DUMMYFUNCTION("""COMPUTED_VALUE"""),"Екатеринбург")</f>
        <v>Екатеринбург</v>
      </c>
      <c r="C715" s="18">
        <f>IFERROR(__xludf.DUMMYFUNCTION("""COMPUTED_VALUE"""),31.0)</f>
        <v>31</v>
      </c>
      <c r="D715" s="18">
        <f>IFERROR(__xludf.DUMMYFUNCTION("""COMPUTED_VALUE"""),5251.0)</f>
        <v>5251</v>
      </c>
      <c r="E715" s="18">
        <f>IFERROR(__xludf.DUMMYFUNCTION("""COMPUTED_VALUE"""),4853.0)</f>
        <v>4853</v>
      </c>
      <c r="G715" s="18">
        <f t="shared" si="1"/>
        <v>20</v>
      </c>
    </row>
    <row r="716">
      <c r="A716" s="20">
        <f>IFERROR(__xludf.DUMMYFUNCTION("""COMPUTED_VALUE"""),43964.0)</f>
        <v>43964</v>
      </c>
      <c r="B716" s="18" t="str">
        <f>IFERROR(__xludf.DUMMYFUNCTION("""COMPUTED_VALUE"""),"Казань")</f>
        <v>Казань</v>
      </c>
      <c r="C716" s="18">
        <f>IFERROR(__xludf.DUMMYFUNCTION("""COMPUTED_VALUE"""),21.0)</f>
        <v>21</v>
      </c>
      <c r="D716" s="18">
        <f>IFERROR(__xludf.DUMMYFUNCTION("""COMPUTED_VALUE"""),2061.0)</f>
        <v>2061</v>
      </c>
      <c r="E716" s="18">
        <f>IFERROR(__xludf.DUMMYFUNCTION("""COMPUTED_VALUE"""),1876.0)</f>
        <v>1876</v>
      </c>
      <c r="G716" s="18">
        <f t="shared" si="1"/>
        <v>20</v>
      </c>
    </row>
    <row r="717">
      <c r="A717" s="20">
        <f>IFERROR(__xludf.DUMMYFUNCTION("""COMPUTED_VALUE"""),43964.0)</f>
        <v>43964</v>
      </c>
      <c r="B717" s="18" t="str">
        <f>IFERROR(__xludf.DUMMYFUNCTION("""COMPUTED_VALUE"""),"Кемерово")</f>
        <v>Кемерово</v>
      </c>
      <c r="C717" s="18">
        <f>IFERROR(__xludf.DUMMYFUNCTION("""COMPUTED_VALUE"""),21.0)</f>
        <v>21</v>
      </c>
      <c r="D717" s="18">
        <f>IFERROR(__xludf.DUMMYFUNCTION("""COMPUTED_VALUE"""),1698.0)</f>
        <v>1698</v>
      </c>
      <c r="E717" s="18">
        <f>IFERROR(__xludf.DUMMYFUNCTION("""COMPUTED_VALUE"""),1554.0)</f>
        <v>1554</v>
      </c>
      <c r="G717" s="18">
        <f t="shared" si="1"/>
        <v>20</v>
      </c>
    </row>
    <row r="718">
      <c r="A718" s="20">
        <f>IFERROR(__xludf.DUMMYFUNCTION("""COMPUTED_VALUE"""),43964.0)</f>
        <v>43964</v>
      </c>
      <c r="B718" s="18" t="str">
        <f>IFERROR(__xludf.DUMMYFUNCTION("""COMPUTED_VALUE"""),"Краснодар")</f>
        <v>Краснодар</v>
      </c>
      <c r="C718" s="18">
        <f>IFERROR(__xludf.DUMMYFUNCTION("""COMPUTED_VALUE"""),19.0)</f>
        <v>19</v>
      </c>
      <c r="D718" s="18">
        <f>IFERROR(__xludf.DUMMYFUNCTION("""COMPUTED_VALUE"""),1605.0)</f>
        <v>1605</v>
      </c>
      <c r="E718" s="18">
        <f>IFERROR(__xludf.DUMMYFUNCTION("""COMPUTED_VALUE"""),1447.0)</f>
        <v>1447</v>
      </c>
      <c r="G718" s="18">
        <f t="shared" si="1"/>
        <v>20</v>
      </c>
    </row>
    <row r="719">
      <c r="A719" s="20">
        <f>IFERROR(__xludf.DUMMYFUNCTION("""COMPUTED_VALUE"""),43964.0)</f>
        <v>43964</v>
      </c>
      <c r="B719" s="18" t="str">
        <f>IFERROR(__xludf.DUMMYFUNCTION("""COMPUTED_VALUE"""),"Москва Восток")</f>
        <v>Москва Восток</v>
      </c>
      <c r="C719" s="18">
        <f>IFERROR(__xludf.DUMMYFUNCTION("""COMPUTED_VALUE"""),54.0)</f>
        <v>54</v>
      </c>
      <c r="D719" s="18">
        <f>IFERROR(__xludf.DUMMYFUNCTION("""COMPUTED_VALUE"""),11522.0)</f>
        <v>11522</v>
      </c>
      <c r="E719" s="18">
        <f>IFERROR(__xludf.DUMMYFUNCTION("""COMPUTED_VALUE"""),10803.0)</f>
        <v>10803</v>
      </c>
      <c r="G719" s="18">
        <f t="shared" si="1"/>
        <v>20</v>
      </c>
    </row>
    <row r="720">
      <c r="A720" s="20">
        <f>IFERROR(__xludf.DUMMYFUNCTION("""COMPUTED_VALUE"""),43964.0)</f>
        <v>43964</v>
      </c>
      <c r="B720" s="18" t="str">
        <f>IFERROR(__xludf.DUMMYFUNCTION("""COMPUTED_VALUE"""),"Москва Запад")</f>
        <v>Москва Запад</v>
      </c>
      <c r="C720" s="18">
        <f>IFERROR(__xludf.DUMMYFUNCTION("""COMPUTED_VALUE"""),60.0)</f>
        <v>60</v>
      </c>
      <c r="D720" s="18">
        <f>IFERROR(__xludf.DUMMYFUNCTION("""COMPUTED_VALUE"""),12007.0)</f>
        <v>12007</v>
      </c>
      <c r="E720" s="18">
        <f>IFERROR(__xludf.DUMMYFUNCTION("""COMPUTED_VALUE"""),11245.0)</f>
        <v>11245</v>
      </c>
      <c r="G720" s="18">
        <f t="shared" si="1"/>
        <v>20</v>
      </c>
    </row>
    <row r="721">
      <c r="A721" s="20">
        <f>IFERROR(__xludf.DUMMYFUNCTION("""COMPUTED_VALUE"""),43964.0)</f>
        <v>43964</v>
      </c>
      <c r="B721" s="18" t="str">
        <f>IFERROR(__xludf.DUMMYFUNCTION("""COMPUTED_VALUE"""),"Нижний Новгород")</f>
        <v>Нижний Новгород</v>
      </c>
      <c r="C721" s="18">
        <f>IFERROR(__xludf.DUMMYFUNCTION("""COMPUTED_VALUE"""),19.0)</f>
        <v>19</v>
      </c>
      <c r="D721" s="18">
        <f>IFERROR(__xludf.DUMMYFUNCTION("""COMPUTED_VALUE"""),1625.0)</f>
        <v>1625</v>
      </c>
      <c r="E721" s="18">
        <f>IFERROR(__xludf.DUMMYFUNCTION("""COMPUTED_VALUE"""),1444.0)</f>
        <v>1444</v>
      </c>
      <c r="G721" s="18">
        <f t="shared" si="1"/>
        <v>20</v>
      </c>
    </row>
    <row r="722">
      <c r="A722" s="20">
        <f>IFERROR(__xludf.DUMMYFUNCTION("""COMPUTED_VALUE"""),43964.0)</f>
        <v>43964</v>
      </c>
      <c r="B722" s="18" t="str">
        <f>IFERROR(__xludf.DUMMYFUNCTION("""COMPUTED_VALUE"""),"Новосибирск")</f>
        <v>Новосибирск</v>
      </c>
      <c r="C722" s="18">
        <f>IFERROR(__xludf.DUMMYFUNCTION("""COMPUTED_VALUE"""),15.0)</f>
        <v>15</v>
      </c>
      <c r="D722" s="18">
        <f>IFERROR(__xludf.DUMMYFUNCTION("""COMPUTED_VALUE"""),854.0)</f>
        <v>854</v>
      </c>
      <c r="E722" s="18">
        <f>IFERROR(__xludf.DUMMYFUNCTION("""COMPUTED_VALUE"""),756.0)</f>
        <v>756</v>
      </c>
      <c r="G722" s="18">
        <f t="shared" si="1"/>
        <v>20</v>
      </c>
    </row>
    <row r="723">
      <c r="A723" s="20">
        <f>IFERROR(__xludf.DUMMYFUNCTION("""COMPUTED_VALUE"""),43964.0)</f>
        <v>43964</v>
      </c>
      <c r="B723" s="18" t="str">
        <f>IFERROR(__xludf.DUMMYFUNCTION("""COMPUTED_VALUE"""),"Пермь")</f>
        <v>Пермь</v>
      </c>
      <c r="C723" s="18">
        <f>IFERROR(__xludf.DUMMYFUNCTION("""COMPUTED_VALUE"""),15.0)</f>
        <v>15</v>
      </c>
      <c r="D723" s="18">
        <f>IFERROR(__xludf.DUMMYFUNCTION("""COMPUTED_VALUE"""),898.0)</f>
        <v>898</v>
      </c>
      <c r="E723" s="18">
        <f>IFERROR(__xludf.DUMMYFUNCTION("""COMPUTED_VALUE"""),795.0)</f>
        <v>795</v>
      </c>
      <c r="G723" s="18">
        <f t="shared" si="1"/>
        <v>20</v>
      </c>
    </row>
    <row r="724">
      <c r="A724" s="20">
        <f>IFERROR(__xludf.DUMMYFUNCTION("""COMPUTED_VALUE"""),43964.0)</f>
        <v>43964</v>
      </c>
      <c r="B724" s="18" t="str">
        <f>IFERROR(__xludf.DUMMYFUNCTION("""COMPUTED_VALUE"""),"Ростов-на-Дону")</f>
        <v>Ростов-на-Дону</v>
      </c>
      <c r="C724" s="18">
        <f>IFERROR(__xludf.DUMMYFUNCTION("""COMPUTED_VALUE"""),15.0)</f>
        <v>15</v>
      </c>
      <c r="D724" s="18">
        <f>IFERROR(__xludf.DUMMYFUNCTION("""COMPUTED_VALUE"""),599.0)</f>
        <v>599</v>
      </c>
      <c r="E724" s="18">
        <f>IFERROR(__xludf.DUMMYFUNCTION("""COMPUTED_VALUE"""),515.0)</f>
        <v>515</v>
      </c>
      <c r="G724" s="18">
        <f t="shared" si="1"/>
        <v>20</v>
      </c>
    </row>
    <row r="725">
      <c r="A725" s="20">
        <f>IFERROR(__xludf.DUMMYFUNCTION("""COMPUTED_VALUE"""),43964.0)</f>
        <v>43964</v>
      </c>
      <c r="B725" s="18" t="str">
        <f>IFERROR(__xludf.DUMMYFUNCTION("""COMPUTED_VALUE"""),"Санкт-Петербург Север")</f>
        <v>Санкт-Петербург Север</v>
      </c>
      <c r="C725" s="18">
        <f>IFERROR(__xludf.DUMMYFUNCTION("""COMPUTED_VALUE"""),125.0)</f>
        <v>125</v>
      </c>
      <c r="D725" s="18">
        <f>IFERROR(__xludf.DUMMYFUNCTION("""COMPUTED_VALUE"""),19965.0)</f>
        <v>19965</v>
      </c>
      <c r="E725" s="18">
        <f>IFERROR(__xludf.DUMMYFUNCTION("""COMPUTED_VALUE"""),18573.0)</f>
        <v>18573</v>
      </c>
      <c r="G725" s="18">
        <f t="shared" si="1"/>
        <v>20</v>
      </c>
    </row>
    <row r="726">
      <c r="A726" s="20">
        <f>IFERROR(__xludf.DUMMYFUNCTION("""COMPUTED_VALUE"""),43964.0)</f>
        <v>43964</v>
      </c>
      <c r="B726" s="18" t="str">
        <f>IFERROR(__xludf.DUMMYFUNCTION("""COMPUTED_VALUE"""),"Санкт-Петербург Юг")</f>
        <v>Санкт-Петербург Юг</v>
      </c>
      <c r="C726" s="18">
        <f>IFERROR(__xludf.DUMMYFUNCTION("""COMPUTED_VALUE"""),129.0)</f>
        <v>129</v>
      </c>
      <c r="D726" s="18">
        <f>IFERROR(__xludf.DUMMYFUNCTION("""COMPUTED_VALUE"""),15304.0)</f>
        <v>15304</v>
      </c>
      <c r="E726" s="18">
        <f>IFERROR(__xludf.DUMMYFUNCTION("""COMPUTED_VALUE"""),14315.0)</f>
        <v>14315</v>
      </c>
      <c r="G726" s="18">
        <f t="shared" si="1"/>
        <v>20</v>
      </c>
    </row>
    <row r="727">
      <c r="A727" s="20">
        <f>IFERROR(__xludf.DUMMYFUNCTION("""COMPUTED_VALUE"""),43964.0)</f>
        <v>43964</v>
      </c>
      <c r="B727" s="18" t="str">
        <f>IFERROR(__xludf.DUMMYFUNCTION("""COMPUTED_VALUE"""),"Тольятти")</f>
        <v>Тольятти</v>
      </c>
      <c r="C727" s="18">
        <f>IFERROR(__xludf.DUMMYFUNCTION("""COMPUTED_VALUE"""),10.0)</f>
        <v>10</v>
      </c>
      <c r="D727" s="18">
        <f>IFERROR(__xludf.DUMMYFUNCTION("""COMPUTED_VALUE"""),612.0)</f>
        <v>612</v>
      </c>
      <c r="E727" s="18">
        <f>IFERROR(__xludf.DUMMYFUNCTION("""COMPUTED_VALUE"""),530.0)</f>
        <v>530</v>
      </c>
      <c r="G727" s="18">
        <f t="shared" si="1"/>
        <v>20</v>
      </c>
    </row>
    <row r="728">
      <c r="A728" s="20">
        <f>IFERROR(__xludf.DUMMYFUNCTION("""COMPUTED_VALUE"""),43965.0)</f>
        <v>43965</v>
      </c>
      <c r="B728" s="18" t="str">
        <f>IFERROR(__xludf.DUMMYFUNCTION("""COMPUTED_VALUE"""),"Волгоград")</f>
        <v>Волгоград</v>
      </c>
      <c r="C728" s="18">
        <f>IFERROR(__xludf.DUMMYFUNCTION("""COMPUTED_VALUE"""),36.0)</f>
        <v>36</v>
      </c>
      <c r="D728" s="18">
        <f>IFERROR(__xludf.DUMMYFUNCTION("""COMPUTED_VALUE"""),4285.0)</f>
        <v>4285</v>
      </c>
      <c r="E728" s="18">
        <f>IFERROR(__xludf.DUMMYFUNCTION("""COMPUTED_VALUE"""),3950.0)</f>
        <v>3950</v>
      </c>
      <c r="G728" s="18">
        <f t="shared" si="1"/>
        <v>20</v>
      </c>
    </row>
    <row r="729">
      <c r="A729" s="20">
        <f>IFERROR(__xludf.DUMMYFUNCTION("""COMPUTED_VALUE"""),43965.0)</f>
        <v>43965</v>
      </c>
      <c r="B729" s="18" t="str">
        <f>IFERROR(__xludf.DUMMYFUNCTION("""COMPUTED_VALUE"""),"Екатеринбург")</f>
        <v>Екатеринбург</v>
      </c>
      <c r="C729" s="18">
        <f>IFERROR(__xludf.DUMMYFUNCTION("""COMPUTED_VALUE"""),31.0)</f>
        <v>31</v>
      </c>
      <c r="D729" s="18">
        <f>IFERROR(__xludf.DUMMYFUNCTION("""COMPUTED_VALUE"""),4695.0)</f>
        <v>4695</v>
      </c>
      <c r="E729" s="18">
        <f>IFERROR(__xludf.DUMMYFUNCTION("""COMPUTED_VALUE"""),4372.0)</f>
        <v>4372</v>
      </c>
      <c r="G729" s="18">
        <f t="shared" si="1"/>
        <v>20</v>
      </c>
    </row>
    <row r="730">
      <c r="A730" s="20">
        <f>IFERROR(__xludf.DUMMYFUNCTION("""COMPUTED_VALUE"""),43965.0)</f>
        <v>43965</v>
      </c>
      <c r="B730" s="18" t="str">
        <f>IFERROR(__xludf.DUMMYFUNCTION("""COMPUTED_VALUE"""),"Казань")</f>
        <v>Казань</v>
      </c>
      <c r="C730" s="18">
        <f>IFERROR(__xludf.DUMMYFUNCTION("""COMPUTED_VALUE"""),21.0)</f>
        <v>21</v>
      </c>
      <c r="D730" s="18">
        <f>IFERROR(__xludf.DUMMYFUNCTION("""COMPUTED_VALUE"""),1993.0)</f>
        <v>1993</v>
      </c>
      <c r="E730" s="18">
        <f>IFERROR(__xludf.DUMMYFUNCTION("""COMPUTED_VALUE"""),1796.0)</f>
        <v>1796</v>
      </c>
      <c r="G730" s="18">
        <f t="shared" si="1"/>
        <v>20</v>
      </c>
    </row>
    <row r="731">
      <c r="A731" s="20">
        <f>IFERROR(__xludf.DUMMYFUNCTION("""COMPUTED_VALUE"""),43965.0)</f>
        <v>43965</v>
      </c>
      <c r="B731" s="18" t="str">
        <f>IFERROR(__xludf.DUMMYFUNCTION("""COMPUTED_VALUE"""),"Кемерово")</f>
        <v>Кемерово</v>
      </c>
      <c r="C731" s="18">
        <f>IFERROR(__xludf.DUMMYFUNCTION("""COMPUTED_VALUE"""),21.0)</f>
        <v>21</v>
      </c>
      <c r="D731" s="18">
        <f>IFERROR(__xludf.DUMMYFUNCTION("""COMPUTED_VALUE"""),1706.0)</f>
        <v>1706</v>
      </c>
      <c r="E731" s="18">
        <f>IFERROR(__xludf.DUMMYFUNCTION("""COMPUTED_VALUE"""),1548.0)</f>
        <v>1548</v>
      </c>
      <c r="G731" s="18">
        <f t="shared" si="1"/>
        <v>20</v>
      </c>
    </row>
    <row r="732">
      <c r="A732" s="20">
        <f>IFERROR(__xludf.DUMMYFUNCTION("""COMPUTED_VALUE"""),43965.0)</f>
        <v>43965</v>
      </c>
      <c r="B732" s="18" t="str">
        <f>IFERROR(__xludf.DUMMYFUNCTION("""COMPUTED_VALUE"""),"Краснодар")</f>
        <v>Краснодар</v>
      </c>
      <c r="C732" s="18">
        <f>IFERROR(__xludf.DUMMYFUNCTION("""COMPUTED_VALUE"""),19.0)</f>
        <v>19</v>
      </c>
      <c r="D732" s="18">
        <f>IFERROR(__xludf.DUMMYFUNCTION("""COMPUTED_VALUE"""),1635.0)</f>
        <v>1635</v>
      </c>
      <c r="E732" s="18">
        <f>IFERROR(__xludf.DUMMYFUNCTION("""COMPUTED_VALUE"""),1487.0)</f>
        <v>1487</v>
      </c>
      <c r="G732" s="18">
        <f t="shared" si="1"/>
        <v>20</v>
      </c>
    </row>
    <row r="733">
      <c r="A733" s="20">
        <f>IFERROR(__xludf.DUMMYFUNCTION("""COMPUTED_VALUE"""),43965.0)</f>
        <v>43965</v>
      </c>
      <c r="B733" s="18" t="str">
        <f>IFERROR(__xludf.DUMMYFUNCTION("""COMPUTED_VALUE"""),"Москва Восток")</f>
        <v>Москва Восток</v>
      </c>
      <c r="C733" s="18">
        <f>IFERROR(__xludf.DUMMYFUNCTION("""COMPUTED_VALUE"""),54.0)</f>
        <v>54</v>
      </c>
      <c r="D733" s="18">
        <f>IFERROR(__xludf.DUMMYFUNCTION("""COMPUTED_VALUE"""),11194.0)</f>
        <v>11194</v>
      </c>
      <c r="E733" s="18">
        <f>IFERROR(__xludf.DUMMYFUNCTION("""COMPUTED_VALUE"""),10554.0)</f>
        <v>10554</v>
      </c>
      <c r="G733" s="18">
        <f t="shared" si="1"/>
        <v>20</v>
      </c>
    </row>
    <row r="734">
      <c r="A734" s="20">
        <f>IFERROR(__xludf.DUMMYFUNCTION("""COMPUTED_VALUE"""),43965.0)</f>
        <v>43965</v>
      </c>
      <c r="B734" s="18" t="str">
        <f>IFERROR(__xludf.DUMMYFUNCTION("""COMPUTED_VALUE"""),"Москва Запад")</f>
        <v>Москва Запад</v>
      </c>
      <c r="C734" s="18">
        <f>IFERROR(__xludf.DUMMYFUNCTION("""COMPUTED_VALUE"""),60.0)</f>
        <v>60</v>
      </c>
      <c r="D734" s="18">
        <f>IFERROR(__xludf.DUMMYFUNCTION("""COMPUTED_VALUE"""),11935.0)</f>
        <v>11935</v>
      </c>
      <c r="E734" s="18">
        <f>IFERROR(__xludf.DUMMYFUNCTION("""COMPUTED_VALUE"""),11178.0)</f>
        <v>11178</v>
      </c>
      <c r="G734" s="18">
        <f t="shared" si="1"/>
        <v>20</v>
      </c>
    </row>
    <row r="735">
      <c r="A735" s="20">
        <f>IFERROR(__xludf.DUMMYFUNCTION("""COMPUTED_VALUE"""),43965.0)</f>
        <v>43965</v>
      </c>
      <c r="B735" s="18" t="str">
        <f>IFERROR(__xludf.DUMMYFUNCTION("""COMPUTED_VALUE"""),"Нижний Новгород")</f>
        <v>Нижний Новгород</v>
      </c>
      <c r="C735" s="18">
        <f>IFERROR(__xludf.DUMMYFUNCTION("""COMPUTED_VALUE"""),19.0)</f>
        <v>19</v>
      </c>
      <c r="D735" s="18">
        <f>IFERROR(__xludf.DUMMYFUNCTION("""COMPUTED_VALUE"""),1675.0)</f>
        <v>1675</v>
      </c>
      <c r="E735" s="18">
        <f>IFERROR(__xludf.DUMMYFUNCTION("""COMPUTED_VALUE"""),1475.0)</f>
        <v>1475</v>
      </c>
      <c r="G735" s="18">
        <f t="shared" si="1"/>
        <v>20</v>
      </c>
    </row>
    <row r="736">
      <c r="A736" s="20">
        <f>IFERROR(__xludf.DUMMYFUNCTION("""COMPUTED_VALUE"""),43965.0)</f>
        <v>43965</v>
      </c>
      <c r="B736" s="18" t="str">
        <f>IFERROR(__xludf.DUMMYFUNCTION("""COMPUTED_VALUE"""),"Новосибирск")</f>
        <v>Новосибирск</v>
      </c>
      <c r="C736" s="18">
        <f>IFERROR(__xludf.DUMMYFUNCTION("""COMPUTED_VALUE"""),16.0)</f>
        <v>16</v>
      </c>
      <c r="D736" s="18">
        <f>IFERROR(__xludf.DUMMYFUNCTION("""COMPUTED_VALUE"""),834.0)</f>
        <v>834</v>
      </c>
      <c r="E736" s="18">
        <f>IFERROR(__xludf.DUMMYFUNCTION("""COMPUTED_VALUE"""),735.0)</f>
        <v>735</v>
      </c>
      <c r="G736" s="18">
        <f t="shared" si="1"/>
        <v>20</v>
      </c>
    </row>
    <row r="737">
      <c r="A737" s="20">
        <f>IFERROR(__xludf.DUMMYFUNCTION("""COMPUTED_VALUE"""),43965.0)</f>
        <v>43965</v>
      </c>
      <c r="B737" s="18" t="str">
        <f>IFERROR(__xludf.DUMMYFUNCTION("""COMPUTED_VALUE"""),"Пермь")</f>
        <v>Пермь</v>
      </c>
      <c r="C737" s="18">
        <f>IFERROR(__xludf.DUMMYFUNCTION("""COMPUTED_VALUE"""),15.0)</f>
        <v>15</v>
      </c>
      <c r="D737" s="18">
        <f>IFERROR(__xludf.DUMMYFUNCTION("""COMPUTED_VALUE"""),890.0)</f>
        <v>890</v>
      </c>
      <c r="E737" s="18">
        <f>IFERROR(__xludf.DUMMYFUNCTION("""COMPUTED_VALUE"""),777.0)</f>
        <v>777</v>
      </c>
      <c r="G737" s="18">
        <f t="shared" si="1"/>
        <v>20</v>
      </c>
    </row>
    <row r="738">
      <c r="A738" s="20">
        <f>IFERROR(__xludf.DUMMYFUNCTION("""COMPUTED_VALUE"""),43965.0)</f>
        <v>43965</v>
      </c>
      <c r="B738" s="18" t="str">
        <f>IFERROR(__xludf.DUMMYFUNCTION("""COMPUTED_VALUE"""),"Ростов-на-Дону")</f>
        <v>Ростов-на-Дону</v>
      </c>
      <c r="C738" s="18">
        <f>IFERROR(__xludf.DUMMYFUNCTION("""COMPUTED_VALUE"""),15.0)</f>
        <v>15</v>
      </c>
      <c r="D738" s="18">
        <f>IFERROR(__xludf.DUMMYFUNCTION("""COMPUTED_VALUE"""),638.0)</f>
        <v>638</v>
      </c>
      <c r="E738" s="18">
        <f>IFERROR(__xludf.DUMMYFUNCTION("""COMPUTED_VALUE"""),548.0)</f>
        <v>548</v>
      </c>
      <c r="G738" s="18">
        <f t="shared" si="1"/>
        <v>20</v>
      </c>
    </row>
    <row r="739">
      <c r="A739" s="20">
        <f>IFERROR(__xludf.DUMMYFUNCTION("""COMPUTED_VALUE"""),43965.0)</f>
        <v>43965</v>
      </c>
      <c r="B739" s="18" t="str">
        <f>IFERROR(__xludf.DUMMYFUNCTION("""COMPUTED_VALUE"""),"Санкт-Петербург Север")</f>
        <v>Санкт-Петербург Север</v>
      </c>
      <c r="C739" s="18">
        <f>IFERROR(__xludf.DUMMYFUNCTION("""COMPUTED_VALUE"""),125.0)</f>
        <v>125</v>
      </c>
      <c r="D739" s="18">
        <f>IFERROR(__xludf.DUMMYFUNCTION("""COMPUTED_VALUE"""),20247.0)</f>
        <v>20247</v>
      </c>
      <c r="E739" s="18">
        <f>IFERROR(__xludf.DUMMYFUNCTION("""COMPUTED_VALUE"""),18812.0)</f>
        <v>18812</v>
      </c>
      <c r="G739" s="18">
        <f t="shared" si="1"/>
        <v>20</v>
      </c>
    </row>
    <row r="740">
      <c r="A740" s="20">
        <f>IFERROR(__xludf.DUMMYFUNCTION("""COMPUTED_VALUE"""),43965.0)</f>
        <v>43965</v>
      </c>
      <c r="B740" s="18" t="str">
        <f>IFERROR(__xludf.DUMMYFUNCTION("""COMPUTED_VALUE"""),"Санкт-Петербург Юг")</f>
        <v>Санкт-Петербург Юг</v>
      </c>
      <c r="C740" s="18">
        <f>IFERROR(__xludf.DUMMYFUNCTION("""COMPUTED_VALUE"""),129.0)</f>
        <v>129</v>
      </c>
      <c r="D740" s="18">
        <f>IFERROR(__xludf.DUMMYFUNCTION("""COMPUTED_VALUE"""),15804.0)</f>
        <v>15804</v>
      </c>
      <c r="E740" s="18">
        <f>IFERROR(__xludf.DUMMYFUNCTION("""COMPUTED_VALUE"""),14738.0)</f>
        <v>14738</v>
      </c>
      <c r="G740" s="18">
        <f t="shared" si="1"/>
        <v>20</v>
      </c>
    </row>
    <row r="741">
      <c r="A741" s="20">
        <f>IFERROR(__xludf.DUMMYFUNCTION("""COMPUTED_VALUE"""),43965.0)</f>
        <v>43965</v>
      </c>
      <c r="B741" s="18" t="str">
        <f>IFERROR(__xludf.DUMMYFUNCTION("""COMPUTED_VALUE"""),"Тольятти")</f>
        <v>Тольятти</v>
      </c>
      <c r="C741" s="18">
        <f>IFERROR(__xludf.DUMMYFUNCTION("""COMPUTED_VALUE"""),10.0)</f>
        <v>10</v>
      </c>
      <c r="D741" s="18">
        <f>IFERROR(__xludf.DUMMYFUNCTION("""COMPUTED_VALUE"""),627.0)</f>
        <v>627</v>
      </c>
      <c r="E741" s="18">
        <f>IFERROR(__xludf.DUMMYFUNCTION("""COMPUTED_VALUE"""),545.0)</f>
        <v>545</v>
      </c>
      <c r="G741" s="18">
        <f t="shared" si="1"/>
        <v>20</v>
      </c>
    </row>
    <row r="742">
      <c r="A742" s="20">
        <f>IFERROR(__xludf.DUMMYFUNCTION("""COMPUTED_VALUE"""),43966.0)</f>
        <v>43966</v>
      </c>
      <c r="B742" s="18" t="str">
        <f>IFERROR(__xludf.DUMMYFUNCTION("""COMPUTED_VALUE"""),"Волгоград")</f>
        <v>Волгоград</v>
      </c>
      <c r="C742" s="18">
        <f>IFERROR(__xludf.DUMMYFUNCTION("""COMPUTED_VALUE"""),36.0)</f>
        <v>36</v>
      </c>
      <c r="D742" s="18">
        <f>IFERROR(__xludf.DUMMYFUNCTION("""COMPUTED_VALUE"""),4862.0)</f>
        <v>4862</v>
      </c>
      <c r="E742" s="18">
        <f>IFERROR(__xludf.DUMMYFUNCTION("""COMPUTED_VALUE"""),4476.0)</f>
        <v>4476</v>
      </c>
      <c r="G742" s="18">
        <f t="shared" si="1"/>
        <v>20</v>
      </c>
    </row>
    <row r="743">
      <c r="A743" s="20">
        <f>IFERROR(__xludf.DUMMYFUNCTION("""COMPUTED_VALUE"""),43966.0)</f>
        <v>43966</v>
      </c>
      <c r="B743" s="18" t="str">
        <f>IFERROR(__xludf.DUMMYFUNCTION("""COMPUTED_VALUE"""),"Екатеринбург")</f>
        <v>Екатеринбург</v>
      </c>
      <c r="C743" s="18">
        <f>IFERROR(__xludf.DUMMYFUNCTION("""COMPUTED_VALUE"""),31.0)</f>
        <v>31</v>
      </c>
      <c r="D743" s="18">
        <f>IFERROR(__xludf.DUMMYFUNCTION("""COMPUTED_VALUE"""),5184.0)</f>
        <v>5184</v>
      </c>
      <c r="E743" s="18">
        <f>IFERROR(__xludf.DUMMYFUNCTION("""COMPUTED_VALUE"""),4778.0)</f>
        <v>4778</v>
      </c>
      <c r="G743" s="18">
        <f t="shared" si="1"/>
        <v>20</v>
      </c>
    </row>
    <row r="744">
      <c r="A744" s="20">
        <f>IFERROR(__xludf.DUMMYFUNCTION("""COMPUTED_VALUE"""),43966.0)</f>
        <v>43966</v>
      </c>
      <c r="B744" s="18" t="str">
        <f>IFERROR(__xludf.DUMMYFUNCTION("""COMPUTED_VALUE"""),"Казань")</f>
        <v>Казань</v>
      </c>
      <c r="C744" s="18">
        <f>IFERROR(__xludf.DUMMYFUNCTION("""COMPUTED_VALUE"""),21.0)</f>
        <v>21</v>
      </c>
      <c r="D744" s="18">
        <f>IFERROR(__xludf.DUMMYFUNCTION("""COMPUTED_VALUE"""),2255.0)</f>
        <v>2255</v>
      </c>
      <c r="E744" s="18">
        <f>IFERROR(__xludf.DUMMYFUNCTION("""COMPUTED_VALUE"""),2045.0)</f>
        <v>2045</v>
      </c>
      <c r="G744" s="18">
        <f t="shared" si="1"/>
        <v>20</v>
      </c>
    </row>
    <row r="745">
      <c r="A745" s="20">
        <f>IFERROR(__xludf.DUMMYFUNCTION("""COMPUTED_VALUE"""),43966.0)</f>
        <v>43966</v>
      </c>
      <c r="B745" s="18" t="str">
        <f>IFERROR(__xludf.DUMMYFUNCTION("""COMPUTED_VALUE"""),"Кемерово")</f>
        <v>Кемерово</v>
      </c>
      <c r="C745" s="18">
        <f>IFERROR(__xludf.DUMMYFUNCTION("""COMPUTED_VALUE"""),21.0)</f>
        <v>21</v>
      </c>
      <c r="D745" s="18">
        <f>IFERROR(__xludf.DUMMYFUNCTION("""COMPUTED_VALUE"""),1926.0)</f>
        <v>1926</v>
      </c>
      <c r="E745" s="18">
        <f>IFERROR(__xludf.DUMMYFUNCTION("""COMPUTED_VALUE"""),1742.0)</f>
        <v>1742</v>
      </c>
      <c r="G745" s="18">
        <f t="shared" si="1"/>
        <v>20</v>
      </c>
    </row>
    <row r="746">
      <c r="A746" s="20">
        <f>IFERROR(__xludf.DUMMYFUNCTION("""COMPUTED_VALUE"""),43966.0)</f>
        <v>43966</v>
      </c>
      <c r="B746" s="18" t="str">
        <f>IFERROR(__xludf.DUMMYFUNCTION("""COMPUTED_VALUE"""),"Краснодар")</f>
        <v>Краснодар</v>
      </c>
      <c r="C746" s="18">
        <f>IFERROR(__xludf.DUMMYFUNCTION("""COMPUTED_VALUE"""),19.0)</f>
        <v>19</v>
      </c>
      <c r="D746" s="18">
        <f>IFERROR(__xludf.DUMMYFUNCTION("""COMPUTED_VALUE"""),1780.0)</f>
        <v>1780</v>
      </c>
      <c r="E746" s="18">
        <f>IFERROR(__xludf.DUMMYFUNCTION("""COMPUTED_VALUE"""),1615.0)</f>
        <v>1615</v>
      </c>
      <c r="G746" s="18">
        <f t="shared" si="1"/>
        <v>20</v>
      </c>
    </row>
    <row r="747">
      <c r="A747" s="20">
        <f>IFERROR(__xludf.DUMMYFUNCTION("""COMPUTED_VALUE"""),43966.0)</f>
        <v>43966</v>
      </c>
      <c r="B747" s="18" t="str">
        <f>IFERROR(__xludf.DUMMYFUNCTION("""COMPUTED_VALUE"""),"Москва Восток")</f>
        <v>Москва Восток</v>
      </c>
      <c r="C747" s="18">
        <f>IFERROR(__xludf.DUMMYFUNCTION("""COMPUTED_VALUE"""),54.0)</f>
        <v>54</v>
      </c>
      <c r="D747" s="18">
        <f>IFERROR(__xludf.DUMMYFUNCTION("""COMPUTED_VALUE"""),12791.0)</f>
        <v>12791</v>
      </c>
      <c r="E747" s="18">
        <f>IFERROR(__xludf.DUMMYFUNCTION("""COMPUTED_VALUE"""),11950.0)</f>
        <v>11950</v>
      </c>
      <c r="G747" s="18">
        <f t="shared" si="1"/>
        <v>20</v>
      </c>
    </row>
    <row r="748">
      <c r="A748" s="20">
        <f>IFERROR(__xludf.DUMMYFUNCTION("""COMPUTED_VALUE"""),43966.0)</f>
        <v>43966</v>
      </c>
      <c r="B748" s="18" t="str">
        <f>IFERROR(__xludf.DUMMYFUNCTION("""COMPUTED_VALUE"""),"Москва Запад")</f>
        <v>Москва Запад</v>
      </c>
      <c r="C748" s="18">
        <f>IFERROR(__xludf.DUMMYFUNCTION("""COMPUTED_VALUE"""),60.0)</f>
        <v>60</v>
      </c>
      <c r="D748" s="18">
        <f>IFERROR(__xludf.DUMMYFUNCTION("""COMPUTED_VALUE"""),13544.0)</f>
        <v>13544</v>
      </c>
      <c r="E748" s="18">
        <f>IFERROR(__xludf.DUMMYFUNCTION("""COMPUTED_VALUE"""),12643.0)</f>
        <v>12643</v>
      </c>
      <c r="G748" s="18">
        <f t="shared" si="1"/>
        <v>20</v>
      </c>
    </row>
    <row r="749">
      <c r="A749" s="20">
        <f>IFERROR(__xludf.DUMMYFUNCTION("""COMPUTED_VALUE"""),43966.0)</f>
        <v>43966</v>
      </c>
      <c r="B749" s="18" t="str">
        <f>IFERROR(__xludf.DUMMYFUNCTION("""COMPUTED_VALUE"""),"Нижний Новгород")</f>
        <v>Нижний Новгород</v>
      </c>
      <c r="C749" s="18">
        <f>IFERROR(__xludf.DUMMYFUNCTION("""COMPUTED_VALUE"""),19.0)</f>
        <v>19</v>
      </c>
      <c r="D749" s="18">
        <f>IFERROR(__xludf.DUMMYFUNCTION("""COMPUTED_VALUE"""),1940.0)</f>
        <v>1940</v>
      </c>
      <c r="E749" s="18">
        <f>IFERROR(__xludf.DUMMYFUNCTION("""COMPUTED_VALUE"""),1715.0)</f>
        <v>1715</v>
      </c>
      <c r="G749" s="18">
        <f t="shared" si="1"/>
        <v>20</v>
      </c>
    </row>
    <row r="750">
      <c r="A750" s="20">
        <f>IFERROR(__xludf.DUMMYFUNCTION("""COMPUTED_VALUE"""),43966.0)</f>
        <v>43966</v>
      </c>
      <c r="B750" s="18" t="str">
        <f>IFERROR(__xludf.DUMMYFUNCTION("""COMPUTED_VALUE"""),"Новосибирск")</f>
        <v>Новосибирск</v>
      </c>
      <c r="C750" s="18">
        <f>IFERROR(__xludf.DUMMYFUNCTION("""COMPUTED_VALUE"""),16.0)</f>
        <v>16</v>
      </c>
      <c r="D750" s="18">
        <f>IFERROR(__xludf.DUMMYFUNCTION("""COMPUTED_VALUE"""),817.0)</f>
        <v>817</v>
      </c>
      <c r="E750" s="18">
        <f>IFERROR(__xludf.DUMMYFUNCTION("""COMPUTED_VALUE"""),718.0)</f>
        <v>718</v>
      </c>
      <c r="G750" s="18">
        <f t="shared" si="1"/>
        <v>20</v>
      </c>
    </row>
    <row r="751">
      <c r="A751" s="20">
        <f>IFERROR(__xludf.DUMMYFUNCTION("""COMPUTED_VALUE"""),43966.0)</f>
        <v>43966</v>
      </c>
      <c r="B751" s="18" t="str">
        <f>IFERROR(__xludf.DUMMYFUNCTION("""COMPUTED_VALUE"""),"Пермь")</f>
        <v>Пермь</v>
      </c>
      <c r="C751" s="18">
        <f>IFERROR(__xludf.DUMMYFUNCTION("""COMPUTED_VALUE"""),15.0)</f>
        <v>15</v>
      </c>
      <c r="D751" s="18">
        <f>IFERROR(__xludf.DUMMYFUNCTION("""COMPUTED_VALUE"""),980.0)</f>
        <v>980</v>
      </c>
      <c r="E751" s="18">
        <f>IFERROR(__xludf.DUMMYFUNCTION("""COMPUTED_VALUE"""),867.0)</f>
        <v>867</v>
      </c>
      <c r="G751" s="18">
        <f t="shared" si="1"/>
        <v>20</v>
      </c>
    </row>
    <row r="752">
      <c r="A752" s="20">
        <f>IFERROR(__xludf.DUMMYFUNCTION("""COMPUTED_VALUE"""),43966.0)</f>
        <v>43966</v>
      </c>
      <c r="B752" s="18" t="str">
        <f>IFERROR(__xludf.DUMMYFUNCTION("""COMPUTED_VALUE"""),"Ростов-на-Дону")</f>
        <v>Ростов-на-Дону</v>
      </c>
      <c r="C752" s="18">
        <f>IFERROR(__xludf.DUMMYFUNCTION("""COMPUTED_VALUE"""),15.0)</f>
        <v>15</v>
      </c>
      <c r="D752" s="18">
        <f>IFERROR(__xludf.DUMMYFUNCTION("""COMPUTED_VALUE"""),688.0)</f>
        <v>688</v>
      </c>
      <c r="E752" s="18">
        <f>IFERROR(__xludf.DUMMYFUNCTION("""COMPUTED_VALUE"""),598.0)</f>
        <v>598</v>
      </c>
      <c r="G752" s="18">
        <f t="shared" si="1"/>
        <v>20</v>
      </c>
    </row>
    <row r="753">
      <c r="A753" s="20">
        <f>IFERROR(__xludf.DUMMYFUNCTION("""COMPUTED_VALUE"""),43966.0)</f>
        <v>43966</v>
      </c>
      <c r="B753" s="18" t="str">
        <f>IFERROR(__xludf.DUMMYFUNCTION("""COMPUTED_VALUE"""),"Санкт-Петербург Север")</f>
        <v>Санкт-Петербург Север</v>
      </c>
      <c r="C753" s="18">
        <f>IFERROR(__xludf.DUMMYFUNCTION("""COMPUTED_VALUE"""),125.0)</f>
        <v>125</v>
      </c>
      <c r="D753" s="18">
        <f>IFERROR(__xludf.DUMMYFUNCTION("""COMPUTED_VALUE"""),21862.0)</f>
        <v>21862</v>
      </c>
      <c r="E753" s="18">
        <f>IFERROR(__xludf.DUMMYFUNCTION("""COMPUTED_VALUE"""),20235.0)</f>
        <v>20235</v>
      </c>
      <c r="G753" s="18">
        <f t="shared" si="1"/>
        <v>20</v>
      </c>
    </row>
    <row r="754">
      <c r="A754" s="20">
        <f>IFERROR(__xludf.DUMMYFUNCTION("""COMPUTED_VALUE"""),43966.0)</f>
        <v>43966</v>
      </c>
      <c r="B754" s="18" t="str">
        <f>IFERROR(__xludf.DUMMYFUNCTION("""COMPUTED_VALUE"""),"Санкт-Петербург Юг")</f>
        <v>Санкт-Петербург Юг</v>
      </c>
      <c r="C754" s="18">
        <f>IFERROR(__xludf.DUMMYFUNCTION("""COMPUTED_VALUE"""),129.0)</f>
        <v>129</v>
      </c>
      <c r="D754" s="18">
        <f>IFERROR(__xludf.DUMMYFUNCTION("""COMPUTED_VALUE"""),17808.0)</f>
        <v>17808</v>
      </c>
      <c r="E754" s="18">
        <f>IFERROR(__xludf.DUMMYFUNCTION("""COMPUTED_VALUE"""),16486.0)</f>
        <v>16486</v>
      </c>
      <c r="G754" s="18">
        <f t="shared" si="1"/>
        <v>20</v>
      </c>
    </row>
    <row r="755">
      <c r="A755" s="20">
        <f>IFERROR(__xludf.DUMMYFUNCTION("""COMPUTED_VALUE"""),43966.0)</f>
        <v>43966</v>
      </c>
      <c r="B755" s="18" t="str">
        <f>IFERROR(__xludf.DUMMYFUNCTION("""COMPUTED_VALUE"""),"Тольятти")</f>
        <v>Тольятти</v>
      </c>
      <c r="C755" s="18">
        <f>IFERROR(__xludf.DUMMYFUNCTION("""COMPUTED_VALUE"""),10.0)</f>
        <v>10</v>
      </c>
      <c r="D755" s="18">
        <f>IFERROR(__xludf.DUMMYFUNCTION("""COMPUTED_VALUE"""),743.0)</f>
        <v>743</v>
      </c>
      <c r="E755" s="18">
        <f>IFERROR(__xludf.DUMMYFUNCTION("""COMPUTED_VALUE"""),652.0)</f>
        <v>652</v>
      </c>
      <c r="G755" s="18">
        <f t="shared" si="1"/>
        <v>20</v>
      </c>
    </row>
    <row r="756">
      <c r="A756" s="20">
        <f>IFERROR(__xludf.DUMMYFUNCTION("""COMPUTED_VALUE"""),43967.0)</f>
        <v>43967</v>
      </c>
      <c r="B756" s="18" t="str">
        <f>IFERROR(__xludf.DUMMYFUNCTION("""COMPUTED_VALUE"""),"Волгоград")</f>
        <v>Волгоград</v>
      </c>
      <c r="C756" s="18">
        <f>IFERROR(__xludf.DUMMYFUNCTION("""COMPUTED_VALUE"""),36.0)</f>
        <v>36</v>
      </c>
      <c r="D756" s="18">
        <f>IFERROR(__xludf.DUMMYFUNCTION("""COMPUTED_VALUE"""),5286.0)</f>
        <v>5286</v>
      </c>
      <c r="E756" s="18">
        <f>IFERROR(__xludf.DUMMYFUNCTION("""COMPUTED_VALUE"""),4867.0)</f>
        <v>4867</v>
      </c>
      <c r="G756" s="18">
        <f t="shared" si="1"/>
        <v>20</v>
      </c>
    </row>
    <row r="757">
      <c r="A757" s="20">
        <f>IFERROR(__xludf.DUMMYFUNCTION("""COMPUTED_VALUE"""),43967.0)</f>
        <v>43967</v>
      </c>
      <c r="B757" s="18" t="str">
        <f>IFERROR(__xludf.DUMMYFUNCTION("""COMPUTED_VALUE"""),"Екатеринбург")</f>
        <v>Екатеринбург</v>
      </c>
      <c r="C757" s="18">
        <f>IFERROR(__xludf.DUMMYFUNCTION("""COMPUTED_VALUE"""),31.0)</f>
        <v>31</v>
      </c>
      <c r="D757" s="18">
        <f>IFERROR(__xludf.DUMMYFUNCTION("""COMPUTED_VALUE"""),5593.0)</f>
        <v>5593</v>
      </c>
      <c r="E757" s="18">
        <f>IFERROR(__xludf.DUMMYFUNCTION("""COMPUTED_VALUE"""),5177.0)</f>
        <v>5177</v>
      </c>
      <c r="G757" s="18">
        <f t="shared" si="1"/>
        <v>20</v>
      </c>
    </row>
    <row r="758">
      <c r="A758" s="20">
        <f>IFERROR(__xludf.DUMMYFUNCTION("""COMPUTED_VALUE"""),43967.0)</f>
        <v>43967</v>
      </c>
      <c r="B758" s="18" t="str">
        <f>IFERROR(__xludf.DUMMYFUNCTION("""COMPUTED_VALUE"""),"Казань")</f>
        <v>Казань</v>
      </c>
      <c r="C758" s="18">
        <f>IFERROR(__xludf.DUMMYFUNCTION("""COMPUTED_VALUE"""),21.0)</f>
        <v>21</v>
      </c>
      <c r="D758" s="18">
        <f>IFERROR(__xludf.DUMMYFUNCTION("""COMPUTED_VALUE"""),2427.0)</f>
        <v>2427</v>
      </c>
      <c r="E758" s="18">
        <f>IFERROR(__xludf.DUMMYFUNCTION("""COMPUTED_VALUE"""),2213.0)</f>
        <v>2213</v>
      </c>
      <c r="G758" s="18">
        <f t="shared" si="1"/>
        <v>20</v>
      </c>
    </row>
    <row r="759">
      <c r="A759" s="20">
        <f>IFERROR(__xludf.DUMMYFUNCTION("""COMPUTED_VALUE"""),43967.0)</f>
        <v>43967</v>
      </c>
      <c r="B759" s="18" t="str">
        <f>IFERROR(__xludf.DUMMYFUNCTION("""COMPUTED_VALUE"""),"Кемерово")</f>
        <v>Кемерово</v>
      </c>
      <c r="C759" s="18">
        <f>IFERROR(__xludf.DUMMYFUNCTION("""COMPUTED_VALUE"""),21.0)</f>
        <v>21</v>
      </c>
      <c r="D759" s="18">
        <f>IFERROR(__xludf.DUMMYFUNCTION("""COMPUTED_VALUE"""),2145.0)</f>
        <v>2145</v>
      </c>
      <c r="E759" s="18">
        <f>IFERROR(__xludf.DUMMYFUNCTION("""COMPUTED_VALUE"""),1947.0)</f>
        <v>1947</v>
      </c>
      <c r="G759" s="18">
        <f t="shared" si="1"/>
        <v>20</v>
      </c>
    </row>
    <row r="760">
      <c r="A760" s="20">
        <f>IFERROR(__xludf.DUMMYFUNCTION("""COMPUTED_VALUE"""),43967.0)</f>
        <v>43967</v>
      </c>
      <c r="B760" s="18" t="str">
        <f>IFERROR(__xludf.DUMMYFUNCTION("""COMPUTED_VALUE"""),"Краснодар")</f>
        <v>Краснодар</v>
      </c>
      <c r="C760" s="18">
        <f>IFERROR(__xludf.DUMMYFUNCTION("""COMPUTED_VALUE"""),19.0)</f>
        <v>19</v>
      </c>
      <c r="D760" s="18">
        <f>IFERROR(__xludf.DUMMYFUNCTION("""COMPUTED_VALUE"""),2039.0)</f>
        <v>2039</v>
      </c>
      <c r="E760" s="18">
        <f>IFERROR(__xludf.DUMMYFUNCTION("""COMPUTED_VALUE"""),1868.0)</f>
        <v>1868</v>
      </c>
      <c r="G760" s="18">
        <f t="shared" si="1"/>
        <v>20</v>
      </c>
    </row>
    <row r="761">
      <c r="A761" s="20">
        <f>IFERROR(__xludf.DUMMYFUNCTION("""COMPUTED_VALUE"""),43967.0)</f>
        <v>43967</v>
      </c>
      <c r="B761" s="18" t="str">
        <f>IFERROR(__xludf.DUMMYFUNCTION("""COMPUTED_VALUE"""),"Москва Восток")</f>
        <v>Москва Восток</v>
      </c>
      <c r="C761" s="18">
        <f>IFERROR(__xludf.DUMMYFUNCTION("""COMPUTED_VALUE"""),54.0)</f>
        <v>54</v>
      </c>
      <c r="D761" s="18">
        <f>IFERROR(__xludf.DUMMYFUNCTION("""COMPUTED_VALUE"""),13170.0)</f>
        <v>13170</v>
      </c>
      <c r="E761" s="18">
        <f>IFERROR(__xludf.DUMMYFUNCTION("""COMPUTED_VALUE"""),12299.0)</f>
        <v>12299</v>
      </c>
      <c r="G761" s="18">
        <f t="shared" si="1"/>
        <v>20</v>
      </c>
    </row>
    <row r="762">
      <c r="A762" s="20">
        <f>IFERROR(__xludf.DUMMYFUNCTION("""COMPUTED_VALUE"""),43967.0)</f>
        <v>43967</v>
      </c>
      <c r="B762" s="18" t="str">
        <f>IFERROR(__xludf.DUMMYFUNCTION("""COMPUTED_VALUE"""),"Москва Запад")</f>
        <v>Москва Запад</v>
      </c>
      <c r="C762" s="18">
        <f>IFERROR(__xludf.DUMMYFUNCTION("""COMPUTED_VALUE"""),60.0)</f>
        <v>60</v>
      </c>
      <c r="D762" s="18">
        <f>IFERROR(__xludf.DUMMYFUNCTION("""COMPUTED_VALUE"""),14049.0)</f>
        <v>14049</v>
      </c>
      <c r="E762" s="18">
        <f>IFERROR(__xludf.DUMMYFUNCTION("""COMPUTED_VALUE"""),13118.0)</f>
        <v>13118</v>
      </c>
      <c r="G762" s="18">
        <f t="shared" si="1"/>
        <v>20</v>
      </c>
    </row>
    <row r="763">
      <c r="A763" s="20">
        <f>IFERROR(__xludf.DUMMYFUNCTION("""COMPUTED_VALUE"""),43967.0)</f>
        <v>43967</v>
      </c>
      <c r="B763" s="18" t="str">
        <f>IFERROR(__xludf.DUMMYFUNCTION("""COMPUTED_VALUE"""),"Нижний Новгород")</f>
        <v>Нижний Новгород</v>
      </c>
      <c r="C763" s="18">
        <f>IFERROR(__xludf.DUMMYFUNCTION("""COMPUTED_VALUE"""),19.0)</f>
        <v>19</v>
      </c>
      <c r="D763" s="18">
        <f>IFERROR(__xludf.DUMMYFUNCTION("""COMPUTED_VALUE"""),2080.0)</f>
        <v>2080</v>
      </c>
      <c r="E763" s="18">
        <f>IFERROR(__xludf.DUMMYFUNCTION("""COMPUTED_VALUE"""),1844.0)</f>
        <v>1844</v>
      </c>
      <c r="G763" s="18">
        <f t="shared" si="1"/>
        <v>20</v>
      </c>
    </row>
    <row r="764">
      <c r="A764" s="20">
        <f>IFERROR(__xludf.DUMMYFUNCTION("""COMPUTED_VALUE"""),43967.0)</f>
        <v>43967</v>
      </c>
      <c r="B764" s="18" t="str">
        <f>IFERROR(__xludf.DUMMYFUNCTION("""COMPUTED_VALUE"""),"Новосибирск")</f>
        <v>Новосибирск</v>
      </c>
      <c r="C764" s="18">
        <f>IFERROR(__xludf.DUMMYFUNCTION("""COMPUTED_VALUE"""),16.0)</f>
        <v>16</v>
      </c>
      <c r="D764" s="18">
        <f>IFERROR(__xludf.DUMMYFUNCTION("""COMPUTED_VALUE"""),920.0)</f>
        <v>920</v>
      </c>
      <c r="E764" s="18">
        <f>IFERROR(__xludf.DUMMYFUNCTION("""COMPUTED_VALUE"""),818.0)</f>
        <v>818</v>
      </c>
      <c r="G764" s="18">
        <f t="shared" si="1"/>
        <v>20</v>
      </c>
    </row>
    <row r="765">
      <c r="A765" s="20">
        <f>IFERROR(__xludf.DUMMYFUNCTION("""COMPUTED_VALUE"""),43967.0)</f>
        <v>43967</v>
      </c>
      <c r="B765" s="18" t="str">
        <f>IFERROR(__xludf.DUMMYFUNCTION("""COMPUTED_VALUE"""),"Пермь")</f>
        <v>Пермь</v>
      </c>
      <c r="C765" s="18">
        <f>IFERROR(__xludf.DUMMYFUNCTION("""COMPUTED_VALUE"""),15.0)</f>
        <v>15</v>
      </c>
      <c r="D765" s="18">
        <f>IFERROR(__xludf.DUMMYFUNCTION("""COMPUTED_VALUE"""),1111.0)</f>
        <v>1111</v>
      </c>
      <c r="E765" s="18">
        <f>IFERROR(__xludf.DUMMYFUNCTION("""COMPUTED_VALUE"""),992.0)</f>
        <v>992</v>
      </c>
      <c r="G765" s="18">
        <f t="shared" si="1"/>
        <v>20</v>
      </c>
    </row>
    <row r="766">
      <c r="A766" s="20">
        <f>IFERROR(__xludf.DUMMYFUNCTION("""COMPUTED_VALUE"""),43967.0)</f>
        <v>43967</v>
      </c>
      <c r="B766" s="18" t="str">
        <f>IFERROR(__xludf.DUMMYFUNCTION("""COMPUTED_VALUE"""),"Ростов-на-Дону")</f>
        <v>Ростов-на-Дону</v>
      </c>
      <c r="C766" s="18">
        <f>IFERROR(__xludf.DUMMYFUNCTION("""COMPUTED_VALUE"""),15.0)</f>
        <v>15</v>
      </c>
      <c r="D766" s="18">
        <f>IFERROR(__xludf.DUMMYFUNCTION("""COMPUTED_VALUE"""),747.0)</f>
        <v>747</v>
      </c>
      <c r="E766" s="18">
        <f>IFERROR(__xludf.DUMMYFUNCTION("""COMPUTED_VALUE"""),647.0)</f>
        <v>647</v>
      </c>
      <c r="G766" s="18">
        <f t="shared" si="1"/>
        <v>20</v>
      </c>
    </row>
    <row r="767">
      <c r="A767" s="20">
        <f>IFERROR(__xludf.DUMMYFUNCTION("""COMPUTED_VALUE"""),43967.0)</f>
        <v>43967</v>
      </c>
      <c r="B767" s="18" t="str">
        <f>IFERROR(__xludf.DUMMYFUNCTION("""COMPUTED_VALUE"""),"Санкт-Петербург Север")</f>
        <v>Санкт-Петербург Север</v>
      </c>
      <c r="C767" s="18">
        <f>IFERROR(__xludf.DUMMYFUNCTION("""COMPUTED_VALUE"""),125.0)</f>
        <v>125</v>
      </c>
      <c r="D767" s="18">
        <f>IFERROR(__xludf.DUMMYFUNCTION("""COMPUTED_VALUE"""),22291.0)</f>
        <v>22291</v>
      </c>
      <c r="E767" s="18">
        <f>IFERROR(__xludf.DUMMYFUNCTION("""COMPUTED_VALUE"""),20635.0)</f>
        <v>20635</v>
      </c>
      <c r="G767" s="18">
        <f t="shared" si="1"/>
        <v>20</v>
      </c>
    </row>
    <row r="768">
      <c r="A768" s="20">
        <f>IFERROR(__xludf.DUMMYFUNCTION("""COMPUTED_VALUE"""),43967.0)</f>
        <v>43967</v>
      </c>
      <c r="B768" s="18" t="str">
        <f>IFERROR(__xludf.DUMMYFUNCTION("""COMPUTED_VALUE"""),"Санкт-Петербург Юг")</f>
        <v>Санкт-Петербург Юг</v>
      </c>
      <c r="C768" s="18">
        <f>IFERROR(__xludf.DUMMYFUNCTION("""COMPUTED_VALUE"""),129.0)</f>
        <v>129</v>
      </c>
      <c r="D768" s="18">
        <f>IFERROR(__xludf.DUMMYFUNCTION("""COMPUTED_VALUE"""),17914.0)</f>
        <v>17914</v>
      </c>
      <c r="E768" s="18">
        <f>IFERROR(__xludf.DUMMYFUNCTION("""COMPUTED_VALUE"""),16631.0)</f>
        <v>16631</v>
      </c>
      <c r="G768" s="18">
        <f t="shared" si="1"/>
        <v>20</v>
      </c>
    </row>
    <row r="769">
      <c r="A769" s="20">
        <f>IFERROR(__xludf.DUMMYFUNCTION("""COMPUTED_VALUE"""),43967.0)</f>
        <v>43967</v>
      </c>
      <c r="B769" s="18" t="str">
        <f>IFERROR(__xludf.DUMMYFUNCTION("""COMPUTED_VALUE"""),"Тольятти")</f>
        <v>Тольятти</v>
      </c>
      <c r="C769" s="18">
        <f>IFERROR(__xludf.DUMMYFUNCTION("""COMPUTED_VALUE"""),10.0)</f>
        <v>10</v>
      </c>
      <c r="D769" s="18">
        <f>IFERROR(__xludf.DUMMYFUNCTION("""COMPUTED_VALUE"""),760.0)</f>
        <v>760</v>
      </c>
      <c r="E769" s="18">
        <f>IFERROR(__xludf.DUMMYFUNCTION("""COMPUTED_VALUE"""),672.0)</f>
        <v>672</v>
      </c>
      <c r="G769" s="18">
        <f t="shared" si="1"/>
        <v>20</v>
      </c>
    </row>
    <row r="770">
      <c r="A770" s="20">
        <f>IFERROR(__xludf.DUMMYFUNCTION("""COMPUTED_VALUE"""),43968.0)</f>
        <v>43968</v>
      </c>
      <c r="B770" s="18" t="str">
        <f>IFERROR(__xludf.DUMMYFUNCTION("""COMPUTED_VALUE"""),"Волгоград")</f>
        <v>Волгоград</v>
      </c>
      <c r="C770" s="18">
        <f>IFERROR(__xludf.DUMMYFUNCTION("""COMPUTED_VALUE"""),36.0)</f>
        <v>36</v>
      </c>
      <c r="D770" s="18">
        <f>IFERROR(__xludf.DUMMYFUNCTION("""COMPUTED_VALUE"""),4918.0)</f>
        <v>4918</v>
      </c>
      <c r="E770" s="18">
        <f>IFERROR(__xludf.DUMMYFUNCTION("""COMPUTED_VALUE"""),4554.0)</f>
        <v>4554</v>
      </c>
      <c r="G770" s="18">
        <f t="shared" si="1"/>
        <v>20</v>
      </c>
    </row>
    <row r="771">
      <c r="A771" s="20">
        <f>IFERROR(__xludf.DUMMYFUNCTION("""COMPUTED_VALUE"""),43968.0)</f>
        <v>43968</v>
      </c>
      <c r="B771" s="18" t="str">
        <f>IFERROR(__xludf.DUMMYFUNCTION("""COMPUTED_VALUE"""),"Екатеринбург")</f>
        <v>Екатеринбург</v>
      </c>
      <c r="C771" s="18">
        <f>IFERROR(__xludf.DUMMYFUNCTION("""COMPUTED_VALUE"""),31.0)</f>
        <v>31</v>
      </c>
      <c r="D771" s="18">
        <f>IFERROR(__xludf.DUMMYFUNCTION("""COMPUTED_VALUE"""),5206.0)</f>
        <v>5206</v>
      </c>
      <c r="E771" s="18">
        <f>IFERROR(__xludf.DUMMYFUNCTION("""COMPUTED_VALUE"""),4843.0)</f>
        <v>4843</v>
      </c>
      <c r="G771" s="18">
        <f t="shared" si="1"/>
        <v>20</v>
      </c>
    </row>
    <row r="772">
      <c r="A772" s="20">
        <f>IFERROR(__xludf.DUMMYFUNCTION("""COMPUTED_VALUE"""),43968.0)</f>
        <v>43968</v>
      </c>
      <c r="B772" s="18" t="str">
        <f>IFERROR(__xludf.DUMMYFUNCTION("""COMPUTED_VALUE"""),"Казань")</f>
        <v>Казань</v>
      </c>
      <c r="C772" s="18">
        <f>IFERROR(__xludf.DUMMYFUNCTION("""COMPUTED_VALUE"""),21.0)</f>
        <v>21</v>
      </c>
      <c r="D772" s="18">
        <f>IFERROR(__xludf.DUMMYFUNCTION("""COMPUTED_VALUE"""),2054.0)</f>
        <v>2054</v>
      </c>
      <c r="E772" s="18">
        <f>IFERROR(__xludf.DUMMYFUNCTION("""COMPUTED_VALUE"""),1883.0)</f>
        <v>1883</v>
      </c>
      <c r="G772" s="18">
        <f t="shared" si="1"/>
        <v>20</v>
      </c>
    </row>
    <row r="773">
      <c r="A773" s="20">
        <f>IFERROR(__xludf.DUMMYFUNCTION("""COMPUTED_VALUE"""),43968.0)</f>
        <v>43968</v>
      </c>
      <c r="B773" s="18" t="str">
        <f>IFERROR(__xludf.DUMMYFUNCTION("""COMPUTED_VALUE"""),"Кемерово")</f>
        <v>Кемерово</v>
      </c>
      <c r="C773" s="18">
        <f>IFERROR(__xludf.DUMMYFUNCTION("""COMPUTED_VALUE"""),21.0)</f>
        <v>21</v>
      </c>
      <c r="D773" s="18">
        <f>IFERROR(__xludf.DUMMYFUNCTION("""COMPUTED_VALUE"""),1874.0)</f>
        <v>1874</v>
      </c>
      <c r="E773" s="18">
        <f>IFERROR(__xludf.DUMMYFUNCTION("""COMPUTED_VALUE"""),1705.0)</f>
        <v>1705</v>
      </c>
      <c r="G773" s="18">
        <f t="shared" si="1"/>
        <v>20</v>
      </c>
    </row>
    <row r="774">
      <c r="A774" s="20">
        <f>IFERROR(__xludf.DUMMYFUNCTION("""COMPUTED_VALUE"""),43968.0)</f>
        <v>43968</v>
      </c>
      <c r="B774" s="18" t="str">
        <f>IFERROR(__xludf.DUMMYFUNCTION("""COMPUTED_VALUE"""),"Краснодар")</f>
        <v>Краснодар</v>
      </c>
      <c r="C774" s="18">
        <f>IFERROR(__xludf.DUMMYFUNCTION("""COMPUTED_VALUE"""),19.0)</f>
        <v>19</v>
      </c>
      <c r="D774" s="18">
        <f>IFERROR(__xludf.DUMMYFUNCTION("""COMPUTED_VALUE"""),1790.0)</f>
        <v>1790</v>
      </c>
      <c r="E774" s="18">
        <f>IFERROR(__xludf.DUMMYFUNCTION("""COMPUTED_VALUE"""),1633.0)</f>
        <v>1633</v>
      </c>
      <c r="G774" s="18">
        <f t="shared" si="1"/>
        <v>20</v>
      </c>
    </row>
    <row r="775">
      <c r="A775" s="20">
        <f>IFERROR(__xludf.DUMMYFUNCTION("""COMPUTED_VALUE"""),43968.0)</f>
        <v>43968</v>
      </c>
      <c r="B775" s="18" t="str">
        <f>IFERROR(__xludf.DUMMYFUNCTION("""COMPUTED_VALUE"""),"Москва Восток")</f>
        <v>Москва Восток</v>
      </c>
      <c r="C775" s="18">
        <f>IFERROR(__xludf.DUMMYFUNCTION("""COMPUTED_VALUE"""),54.0)</f>
        <v>54</v>
      </c>
      <c r="D775" s="18">
        <f>IFERROR(__xludf.DUMMYFUNCTION("""COMPUTED_VALUE"""),11128.0)</f>
        <v>11128</v>
      </c>
      <c r="E775" s="18">
        <f>IFERROR(__xludf.DUMMYFUNCTION("""COMPUTED_VALUE"""),10467.0)</f>
        <v>10467</v>
      </c>
      <c r="G775" s="18">
        <f t="shared" si="1"/>
        <v>20</v>
      </c>
    </row>
    <row r="776">
      <c r="A776" s="20">
        <f>IFERROR(__xludf.DUMMYFUNCTION("""COMPUTED_VALUE"""),43968.0)</f>
        <v>43968</v>
      </c>
      <c r="B776" s="18" t="str">
        <f>IFERROR(__xludf.DUMMYFUNCTION("""COMPUTED_VALUE"""),"Москва Запад")</f>
        <v>Москва Запад</v>
      </c>
      <c r="C776" s="18">
        <f>IFERROR(__xludf.DUMMYFUNCTION("""COMPUTED_VALUE"""),60.0)</f>
        <v>60</v>
      </c>
      <c r="D776" s="18">
        <f>IFERROR(__xludf.DUMMYFUNCTION("""COMPUTED_VALUE"""),11698.0)</f>
        <v>11698</v>
      </c>
      <c r="E776" s="18">
        <f>IFERROR(__xludf.DUMMYFUNCTION("""COMPUTED_VALUE"""),10989.0)</f>
        <v>10989</v>
      </c>
      <c r="G776" s="18">
        <f t="shared" si="1"/>
        <v>20</v>
      </c>
    </row>
    <row r="777">
      <c r="A777" s="20">
        <f>IFERROR(__xludf.DUMMYFUNCTION("""COMPUTED_VALUE"""),43968.0)</f>
        <v>43968</v>
      </c>
      <c r="B777" s="18" t="str">
        <f>IFERROR(__xludf.DUMMYFUNCTION("""COMPUTED_VALUE"""),"Нижний Новгород")</f>
        <v>Нижний Новгород</v>
      </c>
      <c r="C777" s="18">
        <f>IFERROR(__xludf.DUMMYFUNCTION("""COMPUTED_VALUE"""),19.0)</f>
        <v>19</v>
      </c>
      <c r="D777" s="18">
        <f>IFERROR(__xludf.DUMMYFUNCTION("""COMPUTED_VALUE"""),1871.0)</f>
        <v>1871</v>
      </c>
      <c r="E777" s="18">
        <f>IFERROR(__xludf.DUMMYFUNCTION("""COMPUTED_VALUE"""),1660.0)</f>
        <v>1660</v>
      </c>
      <c r="G777" s="18">
        <f t="shared" si="1"/>
        <v>20</v>
      </c>
    </row>
    <row r="778">
      <c r="A778" s="20">
        <f>IFERROR(__xludf.DUMMYFUNCTION("""COMPUTED_VALUE"""),43968.0)</f>
        <v>43968</v>
      </c>
      <c r="B778" s="18" t="str">
        <f>IFERROR(__xludf.DUMMYFUNCTION("""COMPUTED_VALUE"""),"Новосибирск")</f>
        <v>Новосибирск</v>
      </c>
      <c r="C778" s="18">
        <f>IFERROR(__xludf.DUMMYFUNCTION("""COMPUTED_VALUE"""),16.0)</f>
        <v>16</v>
      </c>
      <c r="D778" s="18">
        <f>IFERROR(__xludf.DUMMYFUNCTION("""COMPUTED_VALUE"""),859.0)</f>
        <v>859</v>
      </c>
      <c r="E778" s="18">
        <f>IFERROR(__xludf.DUMMYFUNCTION("""COMPUTED_VALUE"""),746.0)</f>
        <v>746</v>
      </c>
      <c r="G778" s="18">
        <f t="shared" si="1"/>
        <v>20</v>
      </c>
    </row>
    <row r="779">
      <c r="A779" s="20">
        <f>IFERROR(__xludf.DUMMYFUNCTION("""COMPUTED_VALUE"""),43968.0)</f>
        <v>43968</v>
      </c>
      <c r="B779" s="18" t="str">
        <f>IFERROR(__xludf.DUMMYFUNCTION("""COMPUTED_VALUE"""),"Пермь")</f>
        <v>Пермь</v>
      </c>
      <c r="C779" s="18">
        <f>IFERROR(__xludf.DUMMYFUNCTION("""COMPUTED_VALUE"""),15.0)</f>
        <v>15</v>
      </c>
      <c r="D779" s="18">
        <f>IFERROR(__xludf.DUMMYFUNCTION("""COMPUTED_VALUE"""),971.0)</f>
        <v>971</v>
      </c>
      <c r="E779" s="18">
        <f>IFERROR(__xludf.DUMMYFUNCTION("""COMPUTED_VALUE"""),856.0)</f>
        <v>856</v>
      </c>
      <c r="G779" s="18">
        <f t="shared" si="1"/>
        <v>20</v>
      </c>
    </row>
    <row r="780">
      <c r="A780" s="20">
        <f>IFERROR(__xludf.DUMMYFUNCTION("""COMPUTED_VALUE"""),43968.0)</f>
        <v>43968</v>
      </c>
      <c r="B780" s="18" t="str">
        <f>IFERROR(__xludf.DUMMYFUNCTION("""COMPUTED_VALUE"""),"Ростов-на-Дону")</f>
        <v>Ростов-на-Дону</v>
      </c>
      <c r="C780" s="18">
        <f>IFERROR(__xludf.DUMMYFUNCTION("""COMPUTED_VALUE"""),15.0)</f>
        <v>15</v>
      </c>
      <c r="D780" s="18">
        <f>IFERROR(__xludf.DUMMYFUNCTION("""COMPUTED_VALUE"""),692.0)</f>
        <v>692</v>
      </c>
      <c r="E780" s="18">
        <f>IFERROR(__xludf.DUMMYFUNCTION("""COMPUTED_VALUE"""),591.0)</f>
        <v>591</v>
      </c>
      <c r="G780" s="18">
        <f t="shared" si="1"/>
        <v>20</v>
      </c>
    </row>
    <row r="781">
      <c r="A781" s="20">
        <f>IFERROR(__xludf.DUMMYFUNCTION("""COMPUTED_VALUE"""),43968.0)</f>
        <v>43968</v>
      </c>
      <c r="B781" s="18" t="str">
        <f>IFERROR(__xludf.DUMMYFUNCTION("""COMPUTED_VALUE"""),"Санкт-Петербург Север")</f>
        <v>Санкт-Петербург Север</v>
      </c>
      <c r="C781" s="18">
        <f>IFERROR(__xludf.DUMMYFUNCTION("""COMPUTED_VALUE"""),125.0)</f>
        <v>125</v>
      </c>
      <c r="D781" s="18">
        <f>IFERROR(__xludf.DUMMYFUNCTION("""COMPUTED_VALUE"""),20079.0)</f>
        <v>20079</v>
      </c>
      <c r="E781" s="18">
        <f>IFERROR(__xludf.DUMMYFUNCTION("""COMPUTED_VALUE"""),18721.0)</f>
        <v>18721</v>
      </c>
      <c r="G781" s="18">
        <f t="shared" si="1"/>
        <v>20</v>
      </c>
    </row>
    <row r="782">
      <c r="A782" s="20">
        <f>IFERROR(__xludf.DUMMYFUNCTION("""COMPUTED_VALUE"""),43968.0)</f>
        <v>43968</v>
      </c>
      <c r="B782" s="18" t="str">
        <f>IFERROR(__xludf.DUMMYFUNCTION("""COMPUTED_VALUE"""),"Санкт-Петербург Юг")</f>
        <v>Санкт-Петербург Юг</v>
      </c>
      <c r="C782" s="18">
        <f>IFERROR(__xludf.DUMMYFUNCTION("""COMPUTED_VALUE"""),129.0)</f>
        <v>129</v>
      </c>
      <c r="D782" s="18">
        <f>IFERROR(__xludf.DUMMYFUNCTION("""COMPUTED_VALUE"""),15744.0)</f>
        <v>15744</v>
      </c>
      <c r="E782" s="18">
        <f>IFERROR(__xludf.DUMMYFUNCTION("""COMPUTED_VALUE"""),14685.0)</f>
        <v>14685</v>
      </c>
      <c r="G782" s="18">
        <f t="shared" si="1"/>
        <v>20</v>
      </c>
    </row>
    <row r="783">
      <c r="A783" s="20">
        <f>IFERROR(__xludf.DUMMYFUNCTION("""COMPUTED_VALUE"""),43968.0)</f>
        <v>43968</v>
      </c>
      <c r="B783" s="18" t="str">
        <f>IFERROR(__xludf.DUMMYFUNCTION("""COMPUTED_VALUE"""),"Тольятти")</f>
        <v>Тольятти</v>
      </c>
      <c r="C783" s="18">
        <f>IFERROR(__xludf.DUMMYFUNCTION("""COMPUTED_VALUE"""),10.0)</f>
        <v>10</v>
      </c>
      <c r="D783" s="18">
        <f>IFERROR(__xludf.DUMMYFUNCTION("""COMPUTED_VALUE"""),591.0)</f>
        <v>591</v>
      </c>
      <c r="E783" s="18">
        <f>IFERROR(__xludf.DUMMYFUNCTION("""COMPUTED_VALUE"""),513.0)</f>
        <v>513</v>
      </c>
      <c r="G783" s="18">
        <f t="shared" si="1"/>
        <v>20</v>
      </c>
    </row>
    <row r="784">
      <c r="A784" s="20">
        <f>IFERROR(__xludf.DUMMYFUNCTION("""COMPUTED_VALUE"""),43969.0)</f>
        <v>43969</v>
      </c>
      <c r="B784" s="18" t="str">
        <f>IFERROR(__xludf.DUMMYFUNCTION("""COMPUTED_VALUE"""),"Волгоград")</f>
        <v>Волгоград</v>
      </c>
      <c r="C784" s="18">
        <f>IFERROR(__xludf.DUMMYFUNCTION("""COMPUTED_VALUE"""),36.0)</f>
        <v>36</v>
      </c>
      <c r="D784" s="18">
        <f>IFERROR(__xludf.DUMMYFUNCTION("""COMPUTED_VALUE"""),4885.0)</f>
        <v>4885</v>
      </c>
      <c r="E784" s="18">
        <f>IFERROR(__xludf.DUMMYFUNCTION("""COMPUTED_VALUE"""),4502.0)</f>
        <v>4502</v>
      </c>
      <c r="G784" s="18">
        <f t="shared" si="1"/>
        <v>21</v>
      </c>
    </row>
    <row r="785">
      <c r="A785" s="20">
        <f>IFERROR(__xludf.DUMMYFUNCTION("""COMPUTED_VALUE"""),43969.0)</f>
        <v>43969</v>
      </c>
      <c r="B785" s="18" t="str">
        <f>IFERROR(__xludf.DUMMYFUNCTION("""COMPUTED_VALUE"""),"Екатеринбург")</f>
        <v>Екатеринбург</v>
      </c>
      <c r="C785" s="18">
        <f>IFERROR(__xludf.DUMMYFUNCTION("""COMPUTED_VALUE"""),31.0)</f>
        <v>31</v>
      </c>
      <c r="D785" s="18">
        <f>IFERROR(__xludf.DUMMYFUNCTION("""COMPUTED_VALUE"""),5165.0)</f>
        <v>5165</v>
      </c>
      <c r="E785" s="18">
        <f>IFERROR(__xludf.DUMMYFUNCTION("""COMPUTED_VALUE"""),4813.0)</f>
        <v>4813</v>
      </c>
      <c r="G785" s="18">
        <f t="shared" si="1"/>
        <v>21</v>
      </c>
    </row>
    <row r="786">
      <c r="A786" s="20">
        <f>IFERROR(__xludf.DUMMYFUNCTION("""COMPUTED_VALUE"""),43969.0)</f>
        <v>43969</v>
      </c>
      <c r="B786" s="18" t="str">
        <f>IFERROR(__xludf.DUMMYFUNCTION("""COMPUTED_VALUE"""),"Казань")</f>
        <v>Казань</v>
      </c>
      <c r="C786" s="18">
        <f>IFERROR(__xludf.DUMMYFUNCTION("""COMPUTED_VALUE"""),21.0)</f>
        <v>21</v>
      </c>
      <c r="D786" s="18">
        <f>IFERROR(__xludf.DUMMYFUNCTION("""COMPUTED_VALUE"""),2136.0)</f>
        <v>2136</v>
      </c>
      <c r="E786" s="18">
        <f>IFERROR(__xludf.DUMMYFUNCTION("""COMPUTED_VALUE"""),1947.0)</f>
        <v>1947</v>
      </c>
      <c r="G786" s="18">
        <f t="shared" si="1"/>
        <v>21</v>
      </c>
    </row>
    <row r="787">
      <c r="A787" s="20">
        <f>IFERROR(__xludf.DUMMYFUNCTION("""COMPUTED_VALUE"""),43969.0)</f>
        <v>43969</v>
      </c>
      <c r="B787" s="18" t="str">
        <f>IFERROR(__xludf.DUMMYFUNCTION("""COMPUTED_VALUE"""),"Кемерово")</f>
        <v>Кемерово</v>
      </c>
      <c r="C787" s="18">
        <f>IFERROR(__xludf.DUMMYFUNCTION("""COMPUTED_VALUE"""),21.0)</f>
        <v>21</v>
      </c>
      <c r="D787" s="18">
        <f>IFERROR(__xludf.DUMMYFUNCTION("""COMPUTED_VALUE"""),1834.0)</f>
        <v>1834</v>
      </c>
      <c r="E787" s="18">
        <f>IFERROR(__xludf.DUMMYFUNCTION("""COMPUTED_VALUE"""),1660.0)</f>
        <v>1660</v>
      </c>
      <c r="G787" s="18">
        <f t="shared" si="1"/>
        <v>21</v>
      </c>
    </row>
    <row r="788">
      <c r="A788" s="20">
        <f>IFERROR(__xludf.DUMMYFUNCTION("""COMPUTED_VALUE"""),43969.0)</f>
        <v>43969</v>
      </c>
      <c r="B788" s="18" t="str">
        <f>IFERROR(__xludf.DUMMYFUNCTION("""COMPUTED_VALUE"""),"Краснодар")</f>
        <v>Краснодар</v>
      </c>
      <c r="C788" s="18">
        <f>IFERROR(__xludf.DUMMYFUNCTION("""COMPUTED_VALUE"""),19.0)</f>
        <v>19</v>
      </c>
      <c r="D788" s="18">
        <f>IFERROR(__xludf.DUMMYFUNCTION("""COMPUTED_VALUE"""),1741.0)</f>
        <v>1741</v>
      </c>
      <c r="E788" s="18">
        <f>IFERROR(__xludf.DUMMYFUNCTION("""COMPUTED_VALUE"""),1597.0)</f>
        <v>1597</v>
      </c>
      <c r="G788" s="18">
        <f t="shared" si="1"/>
        <v>21</v>
      </c>
    </row>
    <row r="789">
      <c r="A789" s="20">
        <f>IFERROR(__xludf.DUMMYFUNCTION("""COMPUTED_VALUE"""),43969.0)</f>
        <v>43969</v>
      </c>
      <c r="B789" s="18" t="str">
        <f>IFERROR(__xludf.DUMMYFUNCTION("""COMPUTED_VALUE"""),"Москва Восток")</f>
        <v>Москва Восток</v>
      </c>
      <c r="C789" s="18">
        <f>IFERROR(__xludf.DUMMYFUNCTION("""COMPUTED_VALUE"""),54.0)</f>
        <v>54</v>
      </c>
      <c r="D789" s="18">
        <f>IFERROR(__xludf.DUMMYFUNCTION("""COMPUTED_VALUE"""),12012.0)</f>
        <v>12012</v>
      </c>
      <c r="E789" s="18">
        <f>IFERROR(__xludf.DUMMYFUNCTION("""COMPUTED_VALUE"""),11308.0)</f>
        <v>11308</v>
      </c>
      <c r="G789" s="18">
        <f t="shared" si="1"/>
        <v>21</v>
      </c>
    </row>
    <row r="790">
      <c r="A790" s="20">
        <f>IFERROR(__xludf.DUMMYFUNCTION("""COMPUTED_VALUE"""),43969.0)</f>
        <v>43969</v>
      </c>
      <c r="B790" s="18" t="str">
        <f>IFERROR(__xludf.DUMMYFUNCTION("""COMPUTED_VALUE"""),"Москва Запад")</f>
        <v>Москва Запад</v>
      </c>
      <c r="C790" s="18">
        <f>IFERROR(__xludf.DUMMYFUNCTION("""COMPUTED_VALUE"""),60.0)</f>
        <v>60</v>
      </c>
      <c r="D790" s="18">
        <f>IFERROR(__xludf.DUMMYFUNCTION("""COMPUTED_VALUE"""),12460.0)</f>
        <v>12460</v>
      </c>
      <c r="E790" s="18">
        <f>IFERROR(__xludf.DUMMYFUNCTION("""COMPUTED_VALUE"""),11665.0)</f>
        <v>11665</v>
      </c>
      <c r="G790" s="18">
        <f t="shared" si="1"/>
        <v>21</v>
      </c>
    </row>
    <row r="791">
      <c r="A791" s="20">
        <f>IFERROR(__xludf.DUMMYFUNCTION("""COMPUTED_VALUE"""),43969.0)</f>
        <v>43969</v>
      </c>
      <c r="B791" s="18" t="str">
        <f>IFERROR(__xludf.DUMMYFUNCTION("""COMPUTED_VALUE"""),"Нижний Новгород")</f>
        <v>Нижний Новгород</v>
      </c>
      <c r="C791" s="18">
        <f>IFERROR(__xludf.DUMMYFUNCTION("""COMPUTED_VALUE"""),19.0)</f>
        <v>19</v>
      </c>
      <c r="D791" s="18">
        <f>IFERROR(__xludf.DUMMYFUNCTION("""COMPUTED_VALUE"""),1858.0)</f>
        <v>1858</v>
      </c>
      <c r="E791" s="18">
        <f>IFERROR(__xludf.DUMMYFUNCTION("""COMPUTED_VALUE"""),1648.0)</f>
        <v>1648</v>
      </c>
      <c r="G791" s="18">
        <f t="shared" si="1"/>
        <v>21</v>
      </c>
    </row>
    <row r="792">
      <c r="A792" s="20">
        <f>IFERROR(__xludf.DUMMYFUNCTION("""COMPUTED_VALUE"""),43969.0)</f>
        <v>43969</v>
      </c>
      <c r="B792" s="18" t="str">
        <f>IFERROR(__xludf.DUMMYFUNCTION("""COMPUTED_VALUE"""),"Новосибирск")</f>
        <v>Новосибирск</v>
      </c>
      <c r="C792" s="18">
        <f>IFERROR(__xludf.DUMMYFUNCTION("""COMPUTED_VALUE"""),16.0)</f>
        <v>16</v>
      </c>
      <c r="D792" s="18">
        <f>IFERROR(__xludf.DUMMYFUNCTION("""COMPUTED_VALUE"""),864.0)</f>
        <v>864</v>
      </c>
      <c r="E792" s="18">
        <f>IFERROR(__xludf.DUMMYFUNCTION("""COMPUTED_VALUE"""),765.0)</f>
        <v>765</v>
      </c>
      <c r="G792" s="18">
        <f t="shared" si="1"/>
        <v>21</v>
      </c>
    </row>
    <row r="793">
      <c r="A793" s="20">
        <f>IFERROR(__xludf.DUMMYFUNCTION("""COMPUTED_VALUE"""),43969.0)</f>
        <v>43969</v>
      </c>
      <c r="B793" s="18" t="str">
        <f>IFERROR(__xludf.DUMMYFUNCTION("""COMPUTED_VALUE"""),"Пермь")</f>
        <v>Пермь</v>
      </c>
      <c r="C793" s="18">
        <f>IFERROR(__xludf.DUMMYFUNCTION("""COMPUTED_VALUE"""),16.0)</f>
        <v>16</v>
      </c>
      <c r="D793" s="18">
        <f>IFERROR(__xludf.DUMMYFUNCTION("""COMPUTED_VALUE"""),925.0)</f>
        <v>925</v>
      </c>
      <c r="E793" s="18">
        <f>IFERROR(__xludf.DUMMYFUNCTION("""COMPUTED_VALUE"""),816.0)</f>
        <v>816</v>
      </c>
      <c r="G793" s="18">
        <f t="shared" si="1"/>
        <v>21</v>
      </c>
    </row>
    <row r="794">
      <c r="A794" s="20">
        <f>IFERROR(__xludf.DUMMYFUNCTION("""COMPUTED_VALUE"""),43969.0)</f>
        <v>43969</v>
      </c>
      <c r="B794" s="18" t="str">
        <f>IFERROR(__xludf.DUMMYFUNCTION("""COMPUTED_VALUE"""),"Ростов-на-Дону")</f>
        <v>Ростов-на-Дону</v>
      </c>
      <c r="C794" s="18">
        <f>IFERROR(__xludf.DUMMYFUNCTION("""COMPUTED_VALUE"""),15.0)</f>
        <v>15</v>
      </c>
      <c r="D794" s="18">
        <f>IFERROR(__xludf.DUMMYFUNCTION("""COMPUTED_VALUE"""),729.0)</f>
        <v>729</v>
      </c>
      <c r="E794" s="18">
        <f>IFERROR(__xludf.DUMMYFUNCTION("""COMPUTED_VALUE"""),636.0)</f>
        <v>636</v>
      </c>
      <c r="G794" s="18">
        <f t="shared" si="1"/>
        <v>21</v>
      </c>
    </row>
    <row r="795">
      <c r="A795" s="20">
        <f>IFERROR(__xludf.DUMMYFUNCTION("""COMPUTED_VALUE"""),43969.0)</f>
        <v>43969</v>
      </c>
      <c r="B795" s="18" t="str">
        <f>IFERROR(__xludf.DUMMYFUNCTION("""COMPUTED_VALUE"""),"Санкт-Петербург Север")</f>
        <v>Санкт-Петербург Север</v>
      </c>
      <c r="C795" s="18">
        <f>IFERROR(__xludf.DUMMYFUNCTION("""COMPUTED_VALUE"""),125.0)</f>
        <v>125</v>
      </c>
      <c r="D795" s="18">
        <f>IFERROR(__xludf.DUMMYFUNCTION("""COMPUTED_VALUE"""),20449.0)</f>
        <v>20449</v>
      </c>
      <c r="E795" s="18">
        <f>IFERROR(__xludf.DUMMYFUNCTION("""COMPUTED_VALUE"""),19060.0)</f>
        <v>19060</v>
      </c>
      <c r="G795" s="18">
        <f t="shared" si="1"/>
        <v>21</v>
      </c>
    </row>
    <row r="796">
      <c r="A796" s="20">
        <f>IFERROR(__xludf.DUMMYFUNCTION("""COMPUTED_VALUE"""),43969.0)</f>
        <v>43969</v>
      </c>
      <c r="B796" s="18" t="str">
        <f>IFERROR(__xludf.DUMMYFUNCTION("""COMPUTED_VALUE"""),"Санкт-Петербург Юг")</f>
        <v>Санкт-Петербург Юг</v>
      </c>
      <c r="C796" s="18">
        <f>IFERROR(__xludf.DUMMYFUNCTION("""COMPUTED_VALUE"""),129.0)</f>
        <v>129</v>
      </c>
      <c r="D796" s="18">
        <f>IFERROR(__xludf.DUMMYFUNCTION("""COMPUTED_VALUE"""),16110.0)</f>
        <v>16110</v>
      </c>
      <c r="E796" s="18">
        <f>IFERROR(__xludf.DUMMYFUNCTION("""COMPUTED_VALUE"""),14992.0)</f>
        <v>14992</v>
      </c>
      <c r="G796" s="18">
        <f t="shared" si="1"/>
        <v>21</v>
      </c>
    </row>
    <row r="797">
      <c r="A797" s="20">
        <f>IFERROR(__xludf.DUMMYFUNCTION("""COMPUTED_VALUE"""),43969.0)</f>
        <v>43969</v>
      </c>
      <c r="B797" s="18" t="str">
        <f>IFERROR(__xludf.DUMMYFUNCTION("""COMPUTED_VALUE"""),"Тольятти")</f>
        <v>Тольятти</v>
      </c>
      <c r="C797" s="18">
        <f>IFERROR(__xludf.DUMMYFUNCTION("""COMPUTED_VALUE"""),10.0)</f>
        <v>10</v>
      </c>
      <c r="D797" s="18">
        <f>IFERROR(__xludf.DUMMYFUNCTION("""COMPUTED_VALUE"""),645.0)</f>
        <v>645</v>
      </c>
      <c r="E797" s="18">
        <f>IFERROR(__xludf.DUMMYFUNCTION("""COMPUTED_VALUE"""),565.0)</f>
        <v>565</v>
      </c>
      <c r="G797" s="18">
        <f t="shared" si="1"/>
        <v>21</v>
      </c>
    </row>
    <row r="798">
      <c r="A798" s="20">
        <f>IFERROR(__xludf.DUMMYFUNCTION("""COMPUTED_VALUE"""),43970.0)</f>
        <v>43970</v>
      </c>
      <c r="B798" s="18" t="str">
        <f>IFERROR(__xludf.DUMMYFUNCTION("""COMPUTED_VALUE"""),"Волгоград")</f>
        <v>Волгоград</v>
      </c>
      <c r="C798" s="18">
        <f>IFERROR(__xludf.DUMMYFUNCTION("""COMPUTED_VALUE"""),36.0)</f>
        <v>36</v>
      </c>
      <c r="D798" s="18">
        <f>IFERROR(__xludf.DUMMYFUNCTION("""COMPUTED_VALUE"""),5094.0)</f>
        <v>5094</v>
      </c>
      <c r="E798" s="18">
        <f>IFERROR(__xludf.DUMMYFUNCTION("""COMPUTED_VALUE"""),4716.0)</f>
        <v>4716</v>
      </c>
      <c r="G798" s="18">
        <f t="shared" si="1"/>
        <v>21</v>
      </c>
    </row>
    <row r="799">
      <c r="A799" s="20">
        <f>IFERROR(__xludf.DUMMYFUNCTION("""COMPUTED_VALUE"""),43970.0)</f>
        <v>43970</v>
      </c>
      <c r="B799" s="18" t="str">
        <f>IFERROR(__xludf.DUMMYFUNCTION("""COMPUTED_VALUE"""),"Екатеринбург")</f>
        <v>Екатеринбург</v>
      </c>
      <c r="C799" s="18">
        <f>IFERROR(__xludf.DUMMYFUNCTION("""COMPUTED_VALUE"""),31.0)</f>
        <v>31</v>
      </c>
      <c r="D799" s="18">
        <f>IFERROR(__xludf.DUMMYFUNCTION("""COMPUTED_VALUE"""),5389.0)</f>
        <v>5389</v>
      </c>
      <c r="E799" s="18">
        <f>IFERROR(__xludf.DUMMYFUNCTION("""COMPUTED_VALUE"""),5024.0)</f>
        <v>5024</v>
      </c>
      <c r="G799" s="18">
        <f t="shared" si="1"/>
        <v>21</v>
      </c>
    </row>
    <row r="800">
      <c r="A800" s="20">
        <f>IFERROR(__xludf.DUMMYFUNCTION("""COMPUTED_VALUE"""),43970.0)</f>
        <v>43970</v>
      </c>
      <c r="B800" s="18" t="str">
        <f>IFERROR(__xludf.DUMMYFUNCTION("""COMPUTED_VALUE"""),"Казань")</f>
        <v>Казань</v>
      </c>
      <c r="C800" s="18">
        <f>IFERROR(__xludf.DUMMYFUNCTION("""COMPUTED_VALUE"""),21.0)</f>
        <v>21</v>
      </c>
      <c r="D800" s="18">
        <f>IFERROR(__xludf.DUMMYFUNCTION("""COMPUTED_VALUE"""),2245.0)</f>
        <v>2245</v>
      </c>
      <c r="E800" s="18">
        <f>IFERROR(__xludf.DUMMYFUNCTION("""COMPUTED_VALUE"""),2053.0)</f>
        <v>2053</v>
      </c>
      <c r="G800" s="18">
        <f t="shared" si="1"/>
        <v>21</v>
      </c>
    </row>
    <row r="801">
      <c r="A801" s="20">
        <f>IFERROR(__xludf.DUMMYFUNCTION("""COMPUTED_VALUE"""),43970.0)</f>
        <v>43970</v>
      </c>
      <c r="B801" s="18" t="str">
        <f>IFERROR(__xludf.DUMMYFUNCTION("""COMPUTED_VALUE"""),"Кемерово")</f>
        <v>Кемерово</v>
      </c>
      <c r="C801" s="18">
        <f>IFERROR(__xludf.DUMMYFUNCTION("""COMPUTED_VALUE"""),21.0)</f>
        <v>21</v>
      </c>
      <c r="D801" s="18">
        <f>IFERROR(__xludf.DUMMYFUNCTION("""COMPUTED_VALUE"""),1860.0)</f>
        <v>1860</v>
      </c>
      <c r="E801" s="18">
        <f>IFERROR(__xludf.DUMMYFUNCTION("""COMPUTED_VALUE"""),1704.0)</f>
        <v>1704</v>
      </c>
      <c r="G801" s="18">
        <f t="shared" si="1"/>
        <v>21</v>
      </c>
    </row>
    <row r="802">
      <c r="A802" s="20">
        <f>IFERROR(__xludf.DUMMYFUNCTION("""COMPUTED_VALUE"""),43970.0)</f>
        <v>43970</v>
      </c>
      <c r="B802" s="18" t="str">
        <f>IFERROR(__xludf.DUMMYFUNCTION("""COMPUTED_VALUE"""),"Краснодар")</f>
        <v>Краснодар</v>
      </c>
      <c r="C802" s="18">
        <f>IFERROR(__xludf.DUMMYFUNCTION("""COMPUTED_VALUE"""),19.0)</f>
        <v>19</v>
      </c>
      <c r="D802" s="18">
        <f>IFERROR(__xludf.DUMMYFUNCTION("""COMPUTED_VALUE"""),1831.0)</f>
        <v>1831</v>
      </c>
      <c r="E802" s="18">
        <f>IFERROR(__xludf.DUMMYFUNCTION("""COMPUTED_VALUE"""),1667.0)</f>
        <v>1667</v>
      </c>
      <c r="G802" s="18">
        <f t="shared" si="1"/>
        <v>21</v>
      </c>
    </row>
    <row r="803">
      <c r="A803" s="20">
        <f>IFERROR(__xludf.DUMMYFUNCTION("""COMPUTED_VALUE"""),43970.0)</f>
        <v>43970</v>
      </c>
      <c r="B803" s="18" t="str">
        <f>IFERROR(__xludf.DUMMYFUNCTION("""COMPUTED_VALUE"""),"Москва Восток")</f>
        <v>Москва Восток</v>
      </c>
      <c r="C803" s="18">
        <f>IFERROR(__xludf.DUMMYFUNCTION("""COMPUTED_VALUE"""),54.0)</f>
        <v>54</v>
      </c>
      <c r="D803" s="18">
        <f>IFERROR(__xludf.DUMMYFUNCTION("""COMPUTED_VALUE"""),13070.0)</f>
        <v>13070</v>
      </c>
      <c r="E803" s="18">
        <f>IFERROR(__xludf.DUMMYFUNCTION("""COMPUTED_VALUE"""),12244.0)</f>
        <v>12244</v>
      </c>
      <c r="G803" s="18">
        <f t="shared" si="1"/>
        <v>21</v>
      </c>
    </row>
    <row r="804">
      <c r="A804" s="20">
        <f>IFERROR(__xludf.DUMMYFUNCTION("""COMPUTED_VALUE"""),43970.0)</f>
        <v>43970</v>
      </c>
      <c r="B804" s="18" t="str">
        <f>IFERROR(__xludf.DUMMYFUNCTION("""COMPUTED_VALUE"""),"Москва Запад")</f>
        <v>Москва Запад</v>
      </c>
      <c r="C804" s="18">
        <f>IFERROR(__xludf.DUMMYFUNCTION("""COMPUTED_VALUE"""),60.0)</f>
        <v>60</v>
      </c>
      <c r="D804" s="18">
        <f>IFERROR(__xludf.DUMMYFUNCTION("""COMPUTED_VALUE"""),13867.0)</f>
        <v>13867</v>
      </c>
      <c r="E804" s="18">
        <f>IFERROR(__xludf.DUMMYFUNCTION("""COMPUTED_VALUE"""),12987.0)</f>
        <v>12987</v>
      </c>
      <c r="G804" s="18">
        <f t="shared" si="1"/>
        <v>21</v>
      </c>
    </row>
    <row r="805">
      <c r="A805" s="20">
        <f>IFERROR(__xludf.DUMMYFUNCTION("""COMPUTED_VALUE"""),43970.0)</f>
        <v>43970</v>
      </c>
      <c r="B805" s="18" t="str">
        <f>IFERROR(__xludf.DUMMYFUNCTION("""COMPUTED_VALUE"""),"Нижний Новгород")</f>
        <v>Нижний Новгород</v>
      </c>
      <c r="C805" s="18">
        <f>IFERROR(__xludf.DUMMYFUNCTION("""COMPUTED_VALUE"""),19.0)</f>
        <v>19</v>
      </c>
      <c r="D805" s="18">
        <f>IFERROR(__xludf.DUMMYFUNCTION("""COMPUTED_VALUE"""),1999.0)</f>
        <v>1999</v>
      </c>
      <c r="E805" s="18">
        <f>IFERROR(__xludf.DUMMYFUNCTION("""COMPUTED_VALUE"""),1799.0)</f>
        <v>1799</v>
      </c>
      <c r="G805" s="18">
        <f t="shared" si="1"/>
        <v>21</v>
      </c>
    </row>
    <row r="806">
      <c r="A806" s="20">
        <f>IFERROR(__xludf.DUMMYFUNCTION("""COMPUTED_VALUE"""),43970.0)</f>
        <v>43970</v>
      </c>
      <c r="B806" s="18" t="str">
        <f>IFERROR(__xludf.DUMMYFUNCTION("""COMPUTED_VALUE"""),"Новосибирск")</f>
        <v>Новосибирск</v>
      </c>
      <c r="C806" s="18">
        <f>IFERROR(__xludf.DUMMYFUNCTION("""COMPUTED_VALUE"""),17.0)</f>
        <v>17</v>
      </c>
      <c r="D806" s="18">
        <f>IFERROR(__xludf.DUMMYFUNCTION("""COMPUTED_VALUE"""),857.0)</f>
        <v>857</v>
      </c>
      <c r="E806" s="18">
        <f>IFERROR(__xludf.DUMMYFUNCTION("""COMPUTED_VALUE"""),757.0)</f>
        <v>757</v>
      </c>
      <c r="G806" s="18">
        <f t="shared" si="1"/>
        <v>21</v>
      </c>
    </row>
    <row r="807">
      <c r="A807" s="20">
        <f>IFERROR(__xludf.DUMMYFUNCTION("""COMPUTED_VALUE"""),43970.0)</f>
        <v>43970</v>
      </c>
      <c r="B807" s="18" t="str">
        <f>IFERROR(__xludf.DUMMYFUNCTION("""COMPUTED_VALUE"""),"Пермь")</f>
        <v>Пермь</v>
      </c>
      <c r="C807" s="18">
        <f>IFERROR(__xludf.DUMMYFUNCTION("""COMPUTED_VALUE"""),16.0)</f>
        <v>16</v>
      </c>
      <c r="D807" s="18">
        <f>IFERROR(__xludf.DUMMYFUNCTION("""COMPUTED_VALUE"""),1012.0)</f>
        <v>1012</v>
      </c>
      <c r="E807" s="18">
        <f>IFERROR(__xludf.DUMMYFUNCTION("""COMPUTED_VALUE"""),900.0)</f>
        <v>900</v>
      </c>
      <c r="G807" s="18">
        <f t="shared" si="1"/>
        <v>21</v>
      </c>
    </row>
    <row r="808">
      <c r="A808" s="20">
        <f>IFERROR(__xludf.DUMMYFUNCTION("""COMPUTED_VALUE"""),43970.0)</f>
        <v>43970</v>
      </c>
      <c r="B808" s="18" t="str">
        <f>IFERROR(__xludf.DUMMYFUNCTION("""COMPUTED_VALUE"""),"Ростов-на-Дону")</f>
        <v>Ростов-на-Дону</v>
      </c>
      <c r="C808" s="18">
        <f>IFERROR(__xludf.DUMMYFUNCTION("""COMPUTED_VALUE"""),15.0)</f>
        <v>15</v>
      </c>
      <c r="D808" s="18">
        <f>IFERROR(__xludf.DUMMYFUNCTION("""COMPUTED_VALUE"""),930.0)</f>
        <v>930</v>
      </c>
      <c r="E808" s="18">
        <f>IFERROR(__xludf.DUMMYFUNCTION("""COMPUTED_VALUE"""),827.0)</f>
        <v>827</v>
      </c>
      <c r="G808" s="18">
        <f t="shared" si="1"/>
        <v>21</v>
      </c>
    </row>
    <row r="809">
      <c r="A809" s="20">
        <f>IFERROR(__xludf.DUMMYFUNCTION("""COMPUTED_VALUE"""),43970.0)</f>
        <v>43970</v>
      </c>
      <c r="B809" s="18" t="str">
        <f>IFERROR(__xludf.DUMMYFUNCTION("""COMPUTED_VALUE"""),"Санкт-Петербург Север")</f>
        <v>Санкт-Петербург Север</v>
      </c>
      <c r="C809" s="18">
        <f>IFERROR(__xludf.DUMMYFUNCTION("""COMPUTED_VALUE"""),125.0)</f>
        <v>125</v>
      </c>
      <c r="D809" s="18">
        <f>IFERROR(__xludf.DUMMYFUNCTION("""COMPUTED_VALUE"""),20771.0)</f>
        <v>20771</v>
      </c>
      <c r="E809" s="18">
        <f>IFERROR(__xludf.DUMMYFUNCTION("""COMPUTED_VALUE"""),19338.0)</f>
        <v>19338</v>
      </c>
      <c r="G809" s="18">
        <f t="shared" si="1"/>
        <v>21</v>
      </c>
    </row>
    <row r="810">
      <c r="A810" s="20">
        <f>IFERROR(__xludf.DUMMYFUNCTION("""COMPUTED_VALUE"""),43970.0)</f>
        <v>43970</v>
      </c>
      <c r="B810" s="18" t="str">
        <f>IFERROR(__xludf.DUMMYFUNCTION("""COMPUTED_VALUE"""),"Санкт-Петербург Юг")</f>
        <v>Санкт-Петербург Юг</v>
      </c>
      <c r="C810" s="18">
        <f>IFERROR(__xludf.DUMMYFUNCTION("""COMPUTED_VALUE"""),129.0)</f>
        <v>129</v>
      </c>
      <c r="D810" s="18">
        <f>IFERROR(__xludf.DUMMYFUNCTION("""COMPUTED_VALUE"""),16191.0)</f>
        <v>16191</v>
      </c>
      <c r="E810" s="18">
        <f>IFERROR(__xludf.DUMMYFUNCTION("""COMPUTED_VALUE"""),15102.0)</f>
        <v>15102</v>
      </c>
      <c r="G810" s="18">
        <f t="shared" si="1"/>
        <v>21</v>
      </c>
    </row>
    <row r="811">
      <c r="A811" s="20">
        <f>IFERROR(__xludf.DUMMYFUNCTION("""COMPUTED_VALUE"""),43970.0)</f>
        <v>43970</v>
      </c>
      <c r="B811" s="18" t="str">
        <f>IFERROR(__xludf.DUMMYFUNCTION("""COMPUTED_VALUE"""),"Тольятти")</f>
        <v>Тольятти</v>
      </c>
      <c r="C811" s="18">
        <f>IFERROR(__xludf.DUMMYFUNCTION("""COMPUTED_VALUE"""),10.0)</f>
        <v>10</v>
      </c>
      <c r="D811" s="18">
        <f>IFERROR(__xludf.DUMMYFUNCTION("""COMPUTED_VALUE"""),649.0)</f>
        <v>649</v>
      </c>
      <c r="E811" s="18">
        <f>IFERROR(__xludf.DUMMYFUNCTION("""COMPUTED_VALUE"""),568.0)</f>
        <v>568</v>
      </c>
      <c r="G811" s="18">
        <f t="shared" si="1"/>
        <v>21</v>
      </c>
    </row>
    <row r="812">
      <c r="A812" s="20">
        <f>IFERROR(__xludf.DUMMYFUNCTION("""COMPUTED_VALUE"""),43971.0)</f>
        <v>43971</v>
      </c>
      <c r="B812" s="18" t="str">
        <f>IFERROR(__xludf.DUMMYFUNCTION("""COMPUTED_VALUE"""),"Волгоград")</f>
        <v>Волгоград</v>
      </c>
      <c r="C812" s="18">
        <f>IFERROR(__xludf.DUMMYFUNCTION("""COMPUTED_VALUE"""),36.0)</f>
        <v>36</v>
      </c>
      <c r="D812" s="18">
        <f>IFERROR(__xludf.DUMMYFUNCTION("""COMPUTED_VALUE"""),5914.0)</f>
        <v>5914</v>
      </c>
      <c r="E812" s="18">
        <f>IFERROR(__xludf.DUMMYFUNCTION("""COMPUTED_VALUE"""),5384.0)</f>
        <v>5384</v>
      </c>
      <c r="G812" s="18">
        <f t="shared" si="1"/>
        <v>21</v>
      </c>
    </row>
    <row r="813">
      <c r="A813" s="20">
        <f>IFERROR(__xludf.DUMMYFUNCTION("""COMPUTED_VALUE"""),43971.0)</f>
        <v>43971</v>
      </c>
      <c r="B813" s="18" t="str">
        <f>IFERROR(__xludf.DUMMYFUNCTION("""COMPUTED_VALUE"""),"Екатеринбург")</f>
        <v>Екатеринбург</v>
      </c>
      <c r="C813" s="18">
        <f>IFERROR(__xludf.DUMMYFUNCTION("""COMPUTED_VALUE"""),31.0)</f>
        <v>31</v>
      </c>
      <c r="D813" s="18">
        <f>IFERROR(__xludf.DUMMYFUNCTION("""COMPUTED_VALUE"""),5698.0)</f>
        <v>5698</v>
      </c>
      <c r="E813" s="18">
        <f>IFERROR(__xludf.DUMMYFUNCTION("""COMPUTED_VALUE"""),5258.0)</f>
        <v>5258</v>
      </c>
      <c r="G813" s="18">
        <f t="shared" si="1"/>
        <v>21</v>
      </c>
    </row>
    <row r="814">
      <c r="A814" s="20">
        <f>IFERROR(__xludf.DUMMYFUNCTION("""COMPUTED_VALUE"""),43971.0)</f>
        <v>43971</v>
      </c>
      <c r="B814" s="18" t="str">
        <f>IFERROR(__xludf.DUMMYFUNCTION("""COMPUTED_VALUE"""),"Казань")</f>
        <v>Казань</v>
      </c>
      <c r="C814" s="18">
        <f>IFERROR(__xludf.DUMMYFUNCTION("""COMPUTED_VALUE"""),21.0)</f>
        <v>21</v>
      </c>
      <c r="D814" s="18">
        <f>IFERROR(__xludf.DUMMYFUNCTION("""COMPUTED_VALUE"""),2410.0)</f>
        <v>2410</v>
      </c>
      <c r="E814" s="18">
        <f>IFERROR(__xludf.DUMMYFUNCTION("""COMPUTED_VALUE"""),2202.0)</f>
        <v>2202</v>
      </c>
      <c r="G814" s="18">
        <f t="shared" si="1"/>
        <v>21</v>
      </c>
    </row>
    <row r="815">
      <c r="A815" s="20">
        <f>IFERROR(__xludf.DUMMYFUNCTION("""COMPUTED_VALUE"""),43971.0)</f>
        <v>43971</v>
      </c>
      <c r="B815" s="18" t="str">
        <f>IFERROR(__xludf.DUMMYFUNCTION("""COMPUTED_VALUE"""),"Кемерово")</f>
        <v>Кемерово</v>
      </c>
      <c r="C815" s="18">
        <f>IFERROR(__xludf.DUMMYFUNCTION("""COMPUTED_VALUE"""),21.0)</f>
        <v>21</v>
      </c>
      <c r="D815" s="18">
        <f>IFERROR(__xludf.DUMMYFUNCTION("""COMPUTED_VALUE"""),1921.0)</f>
        <v>1921</v>
      </c>
      <c r="E815" s="18">
        <f>IFERROR(__xludf.DUMMYFUNCTION("""COMPUTED_VALUE"""),1767.0)</f>
        <v>1767</v>
      </c>
      <c r="G815" s="18">
        <f t="shared" si="1"/>
        <v>21</v>
      </c>
    </row>
    <row r="816">
      <c r="A816" s="20">
        <f>IFERROR(__xludf.DUMMYFUNCTION("""COMPUTED_VALUE"""),43971.0)</f>
        <v>43971</v>
      </c>
      <c r="B816" s="18" t="str">
        <f>IFERROR(__xludf.DUMMYFUNCTION("""COMPUTED_VALUE"""),"Краснодар")</f>
        <v>Краснодар</v>
      </c>
      <c r="C816" s="18">
        <f>IFERROR(__xludf.DUMMYFUNCTION("""COMPUTED_VALUE"""),19.0)</f>
        <v>19</v>
      </c>
      <c r="D816" s="18">
        <f>IFERROR(__xludf.DUMMYFUNCTION("""COMPUTED_VALUE"""),1823.0)</f>
        <v>1823</v>
      </c>
      <c r="E816" s="18">
        <f>IFERROR(__xludf.DUMMYFUNCTION("""COMPUTED_VALUE"""),1678.0)</f>
        <v>1678</v>
      </c>
      <c r="G816" s="18">
        <f t="shared" si="1"/>
        <v>21</v>
      </c>
    </row>
    <row r="817">
      <c r="A817" s="20">
        <f>IFERROR(__xludf.DUMMYFUNCTION("""COMPUTED_VALUE"""),43971.0)</f>
        <v>43971</v>
      </c>
      <c r="B817" s="18" t="str">
        <f>IFERROR(__xludf.DUMMYFUNCTION("""COMPUTED_VALUE"""),"Москва Восток")</f>
        <v>Москва Восток</v>
      </c>
      <c r="C817" s="18">
        <f>IFERROR(__xludf.DUMMYFUNCTION("""COMPUTED_VALUE"""),54.0)</f>
        <v>54</v>
      </c>
      <c r="D817" s="18">
        <f>IFERROR(__xludf.DUMMYFUNCTION("""COMPUTED_VALUE"""),13298.0)</f>
        <v>13298</v>
      </c>
      <c r="E817" s="18">
        <f>IFERROR(__xludf.DUMMYFUNCTION("""COMPUTED_VALUE"""),12428.0)</f>
        <v>12428</v>
      </c>
      <c r="G817" s="18">
        <f t="shared" si="1"/>
        <v>21</v>
      </c>
    </row>
    <row r="818">
      <c r="A818" s="20">
        <f>IFERROR(__xludf.DUMMYFUNCTION("""COMPUTED_VALUE"""),43971.0)</f>
        <v>43971</v>
      </c>
      <c r="B818" s="18" t="str">
        <f>IFERROR(__xludf.DUMMYFUNCTION("""COMPUTED_VALUE"""),"Москва Запад")</f>
        <v>Москва Запад</v>
      </c>
      <c r="C818" s="18">
        <f>IFERROR(__xludf.DUMMYFUNCTION("""COMPUTED_VALUE"""),60.0)</f>
        <v>60</v>
      </c>
      <c r="D818" s="18">
        <f>IFERROR(__xludf.DUMMYFUNCTION("""COMPUTED_VALUE"""),13792.0)</f>
        <v>13792</v>
      </c>
      <c r="E818" s="18">
        <f>IFERROR(__xludf.DUMMYFUNCTION("""COMPUTED_VALUE"""),12834.0)</f>
        <v>12834</v>
      </c>
      <c r="G818" s="18">
        <f t="shared" si="1"/>
        <v>21</v>
      </c>
    </row>
    <row r="819">
      <c r="A819" s="20">
        <f>IFERROR(__xludf.DUMMYFUNCTION("""COMPUTED_VALUE"""),43971.0)</f>
        <v>43971</v>
      </c>
      <c r="B819" s="18" t="str">
        <f>IFERROR(__xludf.DUMMYFUNCTION("""COMPUTED_VALUE"""),"Нижний Новгород")</f>
        <v>Нижний Новгород</v>
      </c>
      <c r="C819" s="18">
        <f>IFERROR(__xludf.DUMMYFUNCTION("""COMPUTED_VALUE"""),19.0)</f>
        <v>19</v>
      </c>
      <c r="D819" s="18">
        <f>IFERROR(__xludf.DUMMYFUNCTION("""COMPUTED_VALUE"""),1889.0)</f>
        <v>1889</v>
      </c>
      <c r="E819" s="18">
        <f>IFERROR(__xludf.DUMMYFUNCTION("""COMPUTED_VALUE"""),1690.0)</f>
        <v>1690</v>
      </c>
      <c r="G819" s="18">
        <f t="shared" si="1"/>
        <v>21</v>
      </c>
    </row>
    <row r="820">
      <c r="A820" s="20">
        <f>IFERROR(__xludf.DUMMYFUNCTION("""COMPUTED_VALUE"""),43971.0)</f>
        <v>43971</v>
      </c>
      <c r="B820" s="18" t="str">
        <f>IFERROR(__xludf.DUMMYFUNCTION("""COMPUTED_VALUE"""),"Новосибирск")</f>
        <v>Новосибирск</v>
      </c>
      <c r="C820" s="18">
        <f>IFERROR(__xludf.DUMMYFUNCTION("""COMPUTED_VALUE"""),17.0)</f>
        <v>17</v>
      </c>
      <c r="D820" s="18">
        <f>IFERROR(__xludf.DUMMYFUNCTION("""COMPUTED_VALUE"""),890.0)</f>
        <v>890</v>
      </c>
      <c r="E820" s="18">
        <f>IFERROR(__xludf.DUMMYFUNCTION("""COMPUTED_VALUE"""),794.0)</f>
        <v>794</v>
      </c>
      <c r="G820" s="18">
        <f t="shared" si="1"/>
        <v>21</v>
      </c>
    </row>
    <row r="821">
      <c r="A821" s="20">
        <f>IFERROR(__xludf.DUMMYFUNCTION("""COMPUTED_VALUE"""),43971.0)</f>
        <v>43971</v>
      </c>
      <c r="B821" s="18" t="str">
        <f>IFERROR(__xludf.DUMMYFUNCTION("""COMPUTED_VALUE"""),"Пермь")</f>
        <v>Пермь</v>
      </c>
      <c r="C821" s="18">
        <f>IFERROR(__xludf.DUMMYFUNCTION("""COMPUTED_VALUE"""),16.0)</f>
        <v>16</v>
      </c>
      <c r="D821" s="18">
        <f>IFERROR(__xludf.DUMMYFUNCTION("""COMPUTED_VALUE"""),1050.0)</f>
        <v>1050</v>
      </c>
      <c r="E821" s="18">
        <f>IFERROR(__xludf.DUMMYFUNCTION("""COMPUTED_VALUE"""),938.0)</f>
        <v>938</v>
      </c>
      <c r="G821" s="18">
        <f t="shared" si="1"/>
        <v>21</v>
      </c>
    </row>
    <row r="822">
      <c r="A822" s="20">
        <f>IFERROR(__xludf.DUMMYFUNCTION("""COMPUTED_VALUE"""),43971.0)</f>
        <v>43971</v>
      </c>
      <c r="B822" s="18" t="str">
        <f>IFERROR(__xludf.DUMMYFUNCTION("""COMPUTED_VALUE"""),"Ростов-на-Дону")</f>
        <v>Ростов-на-Дону</v>
      </c>
      <c r="C822" s="18">
        <f>IFERROR(__xludf.DUMMYFUNCTION("""COMPUTED_VALUE"""),15.0)</f>
        <v>15</v>
      </c>
      <c r="D822" s="18">
        <f>IFERROR(__xludf.DUMMYFUNCTION("""COMPUTED_VALUE"""),760.0)</f>
        <v>760</v>
      </c>
      <c r="E822" s="18">
        <f>IFERROR(__xludf.DUMMYFUNCTION("""COMPUTED_VALUE"""),664.0)</f>
        <v>664</v>
      </c>
      <c r="G822" s="18">
        <f t="shared" si="1"/>
        <v>21</v>
      </c>
    </row>
    <row r="823">
      <c r="A823" s="20">
        <f>IFERROR(__xludf.DUMMYFUNCTION("""COMPUTED_VALUE"""),43971.0)</f>
        <v>43971</v>
      </c>
      <c r="B823" s="18" t="str">
        <f>IFERROR(__xludf.DUMMYFUNCTION("""COMPUTED_VALUE"""),"Санкт-Петербург Север")</f>
        <v>Санкт-Петербург Север</v>
      </c>
      <c r="C823" s="18">
        <f>IFERROR(__xludf.DUMMYFUNCTION("""COMPUTED_VALUE"""),125.0)</f>
        <v>125</v>
      </c>
      <c r="D823" s="18">
        <f>IFERROR(__xludf.DUMMYFUNCTION("""COMPUTED_VALUE"""),21674.0)</f>
        <v>21674</v>
      </c>
      <c r="E823" s="18">
        <f>IFERROR(__xludf.DUMMYFUNCTION("""COMPUTED_VALUE"""),20155.0)</f>
        <v>20155</v>
      </c>
      <c r="G823" s="18">
        <f t="shared" si="1"/>
        <v>21</v>
      </c>
    </row>
    <row r="824">
      <c r="A824" s="20">
        <f>IFERROR(__xludf.DUMMYFUNCTION("""COMPUTED_VALUE"""),43971.0)</f>
        <v>43971</v>
      </c>
      <c r="B824" s="18" t="str">
        <f>IFERROR(__xludf.DUMMYFUNCTION("""COMPUTED_VALUE"""),"Санкт-Петербург Юг")</f>
        <v>Санкт-Петербург Юг</v>
      </c>
      <c r="C824" s="18">
        <f>IFERROR(__xludf.DUMMYFUNCTION("""COMPUTED_VALUE"""),129.0)</f>
        <v>129</v>
      </c>
      <c r="D824" s="18">
        <f>IFERROR(__xludf.DUMMYFUNCTION("""COMPUTED_VALUE"""),17095.0)</f>
        <v>17095</v>
      </c>
      <c r="E824" s="18">
        <f>IFERROR(__xludf.DUMMYFUNCTION("""COMPUTED_VALUE"""),15919.0)</f>
        <v>15919</v>
      </c>
      <c r="G824" s="18">
        <f t="shared" si="1"/>
        <v>21</v>
      </c>
    </row>
    <row r="825">
      <c r="A825" s="20">
        <f>IFERROR(__xludf.DUMMYFUNCTION("""COMPUTED_VALUE"""),43971.0)</f>
        <v>43971</v>
      </c>
      <c r="B825" s="18" t="str">
        <f>IFERROR(__xludf.DUMMYFUNCTION("""COMPUTED_VALUE"""),"Тольятти")</f>
        <v>Тольятти</v>
      </c>
      <c r="C825" s="18">
        <f>IFERROR(__xludf.DUMMYFUNCTION("""COMPUTED_VALUE"""),10.0)</f>
        <v>10</v>
      </c>
      <c r="D825" s="18">
        <f>IFERROR(__xludf.DUMMYFUNCTION("""COMPUTED_VALUE"""),745.0)</f>
        <v>745</v>
      </c>
      <c r="E825" s="18">
        <f>IFERROR(__xludf.DUMMYFUNCTION("""COMPUTED_VALUE"""),654.0)</f>
        <v>654</v>
      </c>
      <c r="G825" s="18">
        <f t="shared" si="1"/>
        <v>21</v>
      </c>
    </row>
    <row r="826">
      <c r="A826" s="20">
        <f>IFERROR(__xludf.DUMMYFUNCTION("""COMPUTED_VALUE"""),43972.0)</f>
        <v>43972</v>
      </c>
      <c r="B826" s="18" t="str">
        <f>IFERROR(__xludf.DUMMYFUNCTION("""COMPUTED_VALUE"""),"Волгоград")</f>
        <v>Волгоград</v>
      </c>
      <c r="C826" s="18">
        <f>IFERROR(__xludf.DUMMYFUNCTION("""COMPUTED_VALUE"""),36.0)</f>
        <v>36</v>
      </c>
      <c r="D826" s="18">
        <f>IFERROR(__xludf.DUMMYFUNCTION("""COMPUTED_VALUE"""),4816.0)</f>
        <v>4816</v>
      </c>
      <c r="E826" s="18">
        <f>IFERROR(__xludf.DUMMYFUNCTION("""COMPUTED_VALUE"""),4452.0)</f>
        <v>4452</v>
      </c>
      <c r="G826" s="18">
        <f t="shared" si="1"/>
        <v>21</v>
      </c>
    </row>
    <row r="827">
      <c r="A827" s="20">
        <f>IFERROR(__xludf.DUMMYFUNCTION("""COMPUTED_VALUE"""),43972.0)</f>
        <v>43972</v>
      </c>
      <c r="B827" s="18" t="str">
        <f>IFERROR(__xludf.DUMMYFUNCTION("""COMPUTED_VALUE"""),"Екатеринбург")</f>
        <v>Екатеринбург</v>
      </c>
      <c r="C827" s="18">
        <f>IFERROR(__xludf.DUMMYFUNCTION("""COMPUTED_VALUE"""),31.0)</f>
        <v>31</v>
      </c>
      <c r="D827" s="18">
        <f>IFERROR(__xludf.DUMMYFUNCTION("""COMPUTED_VALUE"""),5207.0)</f>
        <v>5207</v>
      </c>
      <c r="E827" s="18">
        <f>IFERROR(__xludf.DUMMYFUNCTION("""COMPUTED_VALUE"""),4868.0)</f>
        <v>4868</v>
      </c>
      <c r="G827" s="18">
        <f t="shared" si="1"/>
        <v>21</v>
      </c>
    </row>
    <row r="828">
      <c r="A828" s="20">
        <f>IFERROR(__xludf.DUMMYFUNCTION("""COMPUTED_VALUE"""),43972.0)</f>
        <v>43972</v>
      </c>
      <c r="B828" s="18" t="str">
        <f>IFERROR(__xludf.DUMMYFUNCTION("""COMPUTED_VALUE"""),"Казань")</f>
        <v>Казань</v>
      </c>
      <c r="C828" s="18">
        <f>IFERROR(__xludf.DUMMYFUNCTION("""COMPUTED_VALUE"""),21.0)</f>
        <v>21</v>
      </c>
      <c r="D828" s="18">
        <f>IFERROR(__xludf.DUMMYFUNCTION("""COMPUTED_VALUE"""),2335.0)</f>
        <v>2335</v>
      </c>
      <c r="E828" s="18">
        <f>IFERROR(__xludf.DUMMYFUNCTION("""COMPUTED_VALUE"""),2126.0)</f>
        <v>2126</v>
      </c>
      <c r="G828" s="18">
        <f t="shared" si="1"/>
        <v>21</v>
      </c>
    </row>
    <row r="829">
      <c r="A829" s="20">
        <f>IFERROR(__xludf.DUMMYFUNCTION("""COMPUTED_VALUE"""),43972.0)</f>
        <v>43972</v>
      </c>
      <c r="B829" s="18" t="str">
        <f>IFERROR(__xludf.DUMMYFUNCTION("""COMPUTED_VALUE"""),"Кемерово")</f>
        <v>Кемерово</v>
      </c>
      <c r="C829" s="18">
        <f>IFERROR(__xludf.DUMMYFUNCTION("""COMPUTED_VALUE"""),21.0)</f>
        <v>21</v>
      </c>
      <c r="D829" s="18">
        <f>IFERROR(__xludf.DUMMYFUNCTION("""COMPUTED_VALUE"""),1787.0)</f>
        <v>1787</v>
      </c>
      <c r="E829" s="18">
        <f>IFERROR(__xludf.DUMMYFUNCTION("""COMPUTED_VALUE"""),1626.0)</f>
        <v>1626</v>
      </c>
      <c r="G829" s="18">
        <f t="shared" si="1"/>
        <v>21</v>
      </c>
    </row>
    <row r="830">
      <c r="A830" s="20">
        <f>IFERROR(__xludf.DUMMYFUNCTION("""COMPUTED_VALUE"""),43972.0)</f>
        <v>43972</v>
      </c>
      <c r="B830" s="18" t="str">
        <f>IFERROR(__xludf.DUMMYFUNCTION("""COMPUTED_VALUE"""),"Краснодар")</f>
        <v>Краснодар</v>
      </c>
      <c r="C830" s="18">
        <f>IFERROR(__xludf.DUMMYFUNCTION("""COMPUTED_VALUE"""),19.0)</f>
        <v>19</v>
      </c>
      <c r="D830" s="18">
        <f>IFERROR(__xludf.DUMMYFUNCTION("""COMPUTED_VALUE"""),1650.0)</f>
        <v>1650</v>
      </c>
      <c r="E830" s="18">
        <f>IFERROR(__xludf.DUMMYFUNCTION("""COMPUTED_VALUE"""),1505.0)</f>
        <v>1505</v>
      </c>
      <c r="G830" s="18">
        <f t="shared" si="1"/>
        <v>21</v>
      </c>
    </row>
    <row r="831">
      <c r="A831" s="20">
        <f>IFERROR(__xludf.DUMMYFUNCTION("""COMPUTED_VALUE"""),43972.0)</f>
        <v>43972</v>
      </c>
      <c r="B831" s="18" t="str">
        <f>IFERROR(__xludf.DUMMYFUNCTION("""COMPUTED_VALUE"""),"Москва Восток")</f>
        <v>Москва Восток</v>
      </c>
      <c r="C831" s="18">
        <f>IFERROR(__xludf.DUMMYFUNCTION("""COMPUTED_VALUE"""),54.0)</f>
        <v>54</v>
      </c>
      <c r="D831" s="18">
        <f>IFERROR(__xludf.DUMMYFUNCTION("""COMPUTED_VALUE"""),13240.0)</f>
        <v>13240</v>
      </c>
      <c r="E831" s="18">
        <f>IFERROR(__xludf.DUMMYFUNCTION("""COMPUTED_VALUE"""),12360.0)</f>
        <v>12360</v>
      </c>
      <c r="G831" s="18">
        <f t="shared" si="1"/>
        <v>21</v>
      </c>
    </row>
    <row r="832">
      <c r="A832" s="20">
        <f>IFERROR(__xludf.DUMMYFUNCTION("""COMPUTED_VALUE"""),43972.0)</f>
        <v>43972</v>
      </c>
      <c r="B832" s="18" t="str">
        <f>IFERROR(__xludf.DUMMYFUNCTION("""COMPUTED_VALUE"""),"Москва Запад")</f>
        <v>Москва Запад</v>
      </c>
      <c r="C832" s="18">
        <f>IFERROR(__xludf.DUMMYFUNCTION("""COMPUTED_VALUE"""),60.0)</f>
        <v>60</v>
      </c>
      <c r="D832" s="18">
        <f>IFERROR(__xludf.DUMMYFUNCTION("""COMPUTED_VALUE"""),14005.0)</f>
        <v>14005</v>
      </c>
      <c r="E832" s="18">
        <f>IFERROR(__xludf.DUMMYFUNCTION("""COMPUTED_VALUE"""),13002.0)</f>
        <v>13002</v>
      </c>
      <c r="G832" s="18">
        <f t="shared" si="1"/>
        <v>21</v>
      </c>
    </row>
    <row r="833">
      <c r="A833" s="20">
        <f>IFERROR(__xludf.DUMMYFUNCTION("""COMPUTED_VALUE"""),43972.0)</f>
        <v>43972</v>
      </c>
      <c r="B833" s="18" t="str">
        <f>IFERROR(__xludf.DUMMYFUNCTION("""COMPUTED_VALUE"""),"Нижний Новгород")</f>
        <v>Нижний Новгород</v>
      </c>
      <c r="C833" s="18">
        <f>IFERROR(__xludf.DUMMYFUNCTION("""COMPUTED_VALUE"""),19.0)</f>
        <v>19</v>
      </c>
      <c r="D833" s="18">
        <f>IFERROR(__xludf.DUMMYFUNCTION("""COMPUTED_VALUE"""),1949.0)</f>
        <v>1949</v>
      </c>
      <c r="E833" s="18">
        <f>IFERROR(__xludf.DUMMYFUNCTION("""COMPUTED_VALUE"""),1724.0)</f>
        <v>1724</v>
      </c>
      <c r="G833" s="18">
        <f t="shared" si="1"/>
        <v>21</v>
      </c>
    </row>
    <row r="834">
      <c r="A834" s="20">
        <f>IFERROR(__xludf.DUMMYFUNCTION("""COMPUTED_VALUE"""),43972.0)</f>
        <v>43972</v>
      </c>
      <c r="B834" s="18" t="str">
        <f>IFERROR(__xludf.DUMMYFUNCTION("""COMPUTED_VALUE"""),"Новосибирск")</f>
        <v>Новосибирск</v>
      </c>
      <c r="C834" s="18">
        <f>IFERROR(__xludf.DUMMYFUNCTION("""COMPUTED_VALUE"""),18.0)</f>
        <v>18</v>
      </c>
      <c r="D834" s="18">
        <f>IFERROR(__xludf.DUMMYFUNCTION("""COMPUTED_VALUE"""),888.0)</f>
        <v>888</v>
      </c>
      <c r="E834" s="18">
        <f>IFERROR(__xludf.DUMMYFUNCTION("""COMPUTED_VALUE"""),786.0)</f>
        <v>786</v>
      </c>
      <c r="G834" s="18">
        <f t="shared" si="1"/>
        <v>21</v>
      </c>
    </row>
    <row r="835">
      <c r="A835" s="20">
        <f>IFERROR(__xludf.DUMMYFUNCTION("""COMPUTED_VALUE"""),43972.0)</f>
        <v>43972</v>
      </c>
      <c r="B835" s="18" t="str">
        <f>IFERROR(__xludf.DUMMYFUNCTION("""COMPUTED_VALUE"""),"Пермь")</f>
        <v>Пермь</v>
      </c>
      <c r="C835" s="18">
        <f>IFERROR(__xludf.DUMMYFUNCTION("""COMPUTED_VALUE"""),17.0)</f>
        <v>17</v>
      </c>
      <c r="D835" s="18">
        <f>IFERROR(__xludf.DUMMYFUNCTION("""COMPUTED_VALUE"""),1045.0)</f>
        <v>1045</v>
      </c>
      <c r="E835" s="18">
        <f>IFERROR(__xludf.DUMMYFUNCTION("""COMPUTED_VALUE"""),930.0)</f>
        <v>930</v>
      </c>
      <c r="G835" s="18">
        <f t="shared" si="1"/>
        <v>21</v>
      </c>
    </row>
    <row r="836">
      <c r="A836" s="20">
        <f>IFERROR(__xludf.DUMMYFUNCTION("""COMPUTED_VALUE"""),43972.0)</f>
        <v>43972</v>
      </c>
      <c r="B836" s="18" t="str">
        <f>IFERROR(__xludf.DUMMYFUNCTION("""COMPUTED_VALUE"""),"Ростов-на-Дону")</f>
        <v>Ростов-на-Дону</v>
      </c>
      <c r="C836" s="18">
        <f>IFERROR(__xludf.DUMMYFUNCTION("""COMPUTED_VALUE"""),15.0)</f>
        <v>15</v>
      </c>
      <c r="D836" s="18">
        <f>IFERROR(__xludf.DUMMYFUNCTION("""COMPUTED_VALUE"""),749.0)</f>
        <v>749</v>
      </c>
      <c r="E836" s="18">
        <f>IFERROR(__xludf.DUMMYFUNCTION("""COMPUTED_VALUE"""),652.0)</f>
        <v>652</v>
      </c>
      <c r="G836" s="18">
        <f t="shared" si="1"/>
        <v>21</v>
      </c>
    </row>
    <row r="837">
      <c r="A837" s="20">
        <f>IFERROR(__xludf.DUMMYFUNCTION("""COMPUTED_VALUE"""),43972.0)</f>
        <v>43972</v>
      </c>
      <c r="B837" s="18" t="str">
        <f>IFERROR(__xludf.DUMMYFUNCTION("""COMPUTED_VALUE"""),"Санкт-Петербург Север")</f>
        <v>Санкт-Петербург Север</v>
      </c>
      <c r="C837" s="18">
        <f>IFERROR(__xludf.DUMMYFUNCTION("""COMPUTED_VALUE"""),125.0)</f>
        <v>125</v>
      </c>
      <c r="D837" s="18">
        <f>IFERROR(__xludf.DUMMYFUNCTION("""COMPUTED_VALUE"""),20911.0)</f>
        <v>20911</v>
      </c>
      <c r="E837" s="18">
        <f>IFERROR(__xludf.DUMMYFUNCTION("""COMPUTED_VALUE"""),19358.0)</f>
        <v>19358</v>
      </c>
      <c r="G837" s="18">
        <f t="shared" si="1"/>
        <v>21</v>
      </c>
    </row>
    <row r="838">
      <c r="A838" s="20">
        <f>IFERROR(__xludf.DUMMYFUNCTION("""COMPUTED_VALUE"""),43972.0)</f>
        <v>43972</v>
      </c>
      <c r="B838" s="18" t="str">
        <f>IFERROR(__xludf.DUMMYFUNCTION("""COMPUTED_VALUE"""),"Санкт-Петербург Юг")</f>
        <v>Санкт-Петербург Юг</v>
      </c>
      <c r="C838" s="18">
        <f>IFERROR(__xludf.DUMMYFUNCTION("""COMPUTED_VALUE"""),129.0)</f>
        <v>129</v>
      </c>
      <c r="D838" s="18">
        <f>IFERROR(__xludf.DUMMYFUNCTION("""COMPUTED_VALUE"""),16373.0)</f>
        <v>16373</v>
      </c>
      <c r="E838" s="18">
        <f>IFERROR(__xludf.DUMMYFUNCTION("""COMPUTED_VALUE"""),15223.0)</f>
        <v>15223</v>
      </c>
      <c r="G838" s="18">
        <f t="shared" si="1"/>
        <v>21</v>
      </c>
    </row>
    <row r="839">
      <c r="A839" s="20">
        <f>IFERROR(__xludf.DUMMYFUNCTION("""COMPUTED_VALUE"""),43972.0)</f>
        <v>43972</v>
      </c>
      <c r="B839" s="18" t="str">
        <f>IFERROR(__xludf.DUMMYFUNCTION("""COMPUTED_VALUE"""),"Тольятти")</f>
        <v>Тольятти</v>
      </c>
      <c r="C839" s="18">
        <f>IFERROR(__xludf.DUMMYFUNCTION("""COMPUTED_VALUE"""),10.0)</f>
        <v>10</v>
      </c>
      <c r="D839" s="18">
        <f>IFERROR(__xludf.DUMMYFUNCTION("""COMPUTED_VALUE"""),677.0)</f>
        <v>677</v>
      </c>
      <c r="E839" s="18">
        <f>IFERROR(__xludf.DUMMYFUNCTION("""COMPUTED_VALUE"""),591.0)</f>
        <v>591</v>
      </c>
      <c r="G839" s="18">
        <f t="shared" si="1"/>
        <v>21</v>
      </c>
    </row>
    <row r="840">
      <c r="A840" s="20">
        <f>IFERROR(__xludf.DUMMYFUNCTION("""COMPUTED_VALUE"""),43973.0)</f>
        <v>43973</v>
      </c>
      <c r="B840" s="18" t="str">
        <f>IFERROR(__xludf.DUMMYFUNCTION("""COMPUTED_VALUE"""),"Волгоград")</f>
        <v>Волгоград</v>
      </c>
      <c r="C840" s="18">
        <f>IFERROR(__xludf.DUMMYFUNCTION("""COMPUTED_VALUE"""),36.0)</f>
        <v>36</v>
      </c>
      <c r="D840" s="18">
        <f>IFERROR(__xludf.DUMMYFUNCTION("""COMPUTED_VALUE"""),4857.0)</f>
        <v>4857</v>
      </c>
      <c r="E840" s="18">
        <f>IFERROR(__xludf.DUMMYFUNCTION("""COMPUTED_VALUE"""),4456.0)</f>
        <v>4456</v>
      </c>
      <c r="G840" s="18">
        <f t="shared" si="1"/>
        <v>21</v>
      </c>
    </row>
    <row r="841">
      <c r="A841" s="20">
        <f>IFERROR(__xludf.DUMMYFUNCTION("""COMPUTED_VALUE"""),43973.0)</f>
        <v>43973</v>
      </c>
      <c r="B841" s="18" t="str">
        <f>IFERROR(__xludf.DUMMYFUNCTION("""COMPUTED_VALUE"""),"Екатеринбург")</f>
        <v>Екатеринбург</v>
      </c>
      <c r="C841" s="18">
        <f>IFERROR(__xludf.DUMMYFUNCTION("""COMPUTED_VALUE"""),31.0)</f>
        <v>31</v>
      </c>
      <c r="D841" s="18">
        <f>IFERROR(__xludf.DUMMYFUNCTION("""COMPUTED_VALUE"""),5965.0)</f>
        <v>5965</v>
      </c>
      <c r="E841" s="18">
        <f>IFERROR(__xludf.DUMMYFUNCTION("""COMPUTED_VALUE"""),5533.0)</f>
        <v>5533</v>
      </c>
      <c r="G841" s="18">
        <f t="shared" si="1"/>
        <v>21</v>
      </c>
    </row>
    <row r="842">
      <c r="A842" s="20">
        <f>IFERROR(__xludf.DUMMYFUNCTION("""COMPUTED_VALUE"""),43973.0)</f>
        <v>43973</v>
      </c>
      <c r="B842" s="18" t="str">
        <f>IFERROR(__xludf.DUMMYFUNCTION("""COMPUTED_VALUE"""),"Казань")</f>
        <v>Казань</v>
      </c>
      <c r="C842" s="18">
        <f>IFERROR(__xludf.DUMMYFUNCTION("""COMPUTED_VALUE"""),21.0)</f>
        <v>21</v>
      </c>
      <c r="D842" s="18">
        <f>IFERROR(__xludf.DUMMYFUNCTION("""COMPUTED_VALUE"""),2861.0)</f>
        <v>2861</v>
      </c>
      <c r="E842" s="18">
        <f>IFERROR(__xludf.DUMMYFUNCTION("""COMPUTED_VALUE"""),2612.0)</f>
        <v>2612</v>
      </c>
      <c r="G842" s="18">
        <f t="shared" si="1"/>
        <v>21</v>
      </c>
    </row>
    <row r="843">
      <c r="A843" s="20">
        <f>IFERROR(__xludf.DUMMYFUNCTION("""COMPUTED_VALUE"""),43973.0)</f>
        <v>43973</v>
      </c>
      <c r="B843" s="18" t="str">
        <f>IFERROR(__xludf.DUMMYFUNCTION("""COMPUTED_VALUE"""),"Кемерово")</f>
        <v>Кемерово</v>
      </c>
      <c r="C843" s="18">
        <f>IFERROR(__xludf.DUMMYFUNCTION("""COMPUTED_VALUE"""),21.0)</f>
        <v>21</v>
      </c>
      <c r="D843" s="18">
        <f>IFERROR(__xludf.DUMMYFUNCTION("""COMPUTED_VALUE"""),2046.0)</f>
        <v>2046</v>
      </c>
      <c r="E843" s="18">
        <f>IFERROR(__xludf.DUMMYFUNCTION("""COMPUTED_VALUE"""),1853.0)</f>
        <v>1853</v>
      </c>
      <c r="G843" s="18">
        <f t="shared" si="1"/>
        <v>21</v>
      </c>
    </row>
    <row r="844">
      <c r="A844" s="20">
        <f>IFERROR(__xludf.DUMMYFUNCTION("""COMPUTED_VALUE"""),43973.0)</f>
        <v>43973</v>
      </c>
      <c r="B844" s="18" t="str">
        <f>IFERROR(__xludf.DUMMYFUNCTION("""COMPUTED_VALUE"""),"Краснодар")</f>
        <v>Краснодар</v>
      </c>
      <c r="C844" s="18">
        <f>IFERROR(__xludf.DUMMYFUNCTION("""COMPUTED_VALUE"""),19.0)</f>
        <v>19</v>
      </c>
      <c r="D844" s="18">
        <f>IFERROR(__xludf.DUMMYFUNCTION("""COMPUTED_VALUE"""),1859.0)</f>
        <v>1859</v>
      </c>
      <c r="E844" s="18">
        <f>IFERROR(__xludf.DUMMYFUNCTION("""COMPUTED_VALUE"""),1697.0)</f>
        <v>1697</v>
      </c>
      <c r="G844" s="18">
        <f t="shared" si="1"/>
        <v>21</v>
      </c>
    </row>
    <row r="845">
      <c r="A845" s="20">
        <f>IFERROR(__xludf.DUMMYFUNCTION("""COMPUTED_VALUE"""),43973.0)</f>
        <v>43973</v>
      </c>
      <c r="B845" s="18" t="str">
        <f>IFERROR(__xludf.DUMMYFUNCTION("""COMPUTED_VALUE"""),"Москва Восток")</f>
        <v>Москва Восток</v>
      </c>
      <c r="C845" s="18">
        <f>IFERROR(__xludf.DUMMYFUNCTION("""COMPUTED_VALUE"""),54.0)</f>
        <v>54</v>
      </c>
      <c r="D845" s="18">
        <f>IFERROR(__xludf.DUMMYFUNCTION("""COMPUTED_VALUE"""),13014.0)</f>
        <v>13014</v>
      </c>
      <c r="E845" s="18">
        <f>IFERROR(__xludf.DUMMYFUNCTION("""COMPUTED_VALUE"""),12095.0)</f>
        <v>12095</v>
      </c>
      <c r="G845" s="18">
        <f t="shared" si="1"/>
        <v>21</v>
      </c>
    </row>
    <row r="846">
      <c r="A846" s="20">
        <f>IFERROR(__xludf.DUMMYFUNCTION("""COMPUTED_VALUE"""),43973.0)</f>
        <v>43973</v>
      </c>
      <c r="B846" s="18" t="str">
        <f>IFERROR(__xludf.DUMMYFUNCTION("""COMPUTED_VALUE"""),"Москва Запад")</f>
        <v>Москва Запад</v>
      </c>
      <c r="C846" s="18">
        <f>IFERROR(__xludf.DUMMYFUNCTION("""COMPUTED_VALUE"""),60.0)</f>
        <v>60</v>
      </c>
      <c r="D846" s="18">
        <f>IFERROR(__xludf.DUMMYFUNCTION("""COMPUTED_VALUE"""),14050.0)</f>
        <v>14050</v>
      </c>
      <c r="E846" s="18">
        <f>IFERROR(__xludf.DUMMYFUNCTION("""COMPUTED_VALUE"""),13027.0)</f>
        <v>13027</v>
      </c>
      <c r="G846" s="18">
        <f t="shared" si="1"/>
        <v>21</v>
      </c>
    </row>
    <row r="847">
      <c r="A847" s="20">
        <f>IFERROR(__xludf.DUMMYFUNCTION("""COMPUTED_VALUE"""),43973.0)</f>
        <v>43973</v>
      </c>
      <c r="B847" s="18" t="str">
        <f>IFERROR(__xludf.DUMMYFUNCTION("""COMPUTED_VALUE"""),"Нижний Новгород")</f>
        <v>Нижний Новгород</v>
      </c>
      <c r="C847" s="18">
        <f>IFERROR(__xludf.DUMMYFUNCTION("""COMPUTED_VALUE"""),20.0)</f>
        <v>20</v>
      </c>
      <c r="D847" s="18">
        <f>IFERROR(__xludf.DUMMYFUNCTION("""COMPUTED_VALUE"""),2306.0)</f>
        <v>2306</v>
      </c>
      <c r="E847" s="18">
        <f>IFERROR(__xludf.DUMMYFUNCTION("""COMPUTED_VALUE"""),2054.0)</f>
        <v>2054</v>
      </c>
      <c r="G847" s="18">
        <f t="shared" si="1"/>
        <v>21</v>
      </c>
    </row>
    <row r="848">
      <c r="A848" s="20">
        <f>IFERROR(__xludf.DUMMYFUNCTION("""COMPUTED_VALUE"""),43973.0)</f>
        <v>43973</v>
      </c>
      <c r="B848" s="18" t="str">
        <f>IFERROR(__xludf.DUMMYFUNCTION("""COMPUTED_VALUE"""),"Новосибирск")</f>
        <v>Новосибирск</v>
      </c>
      <c r="C848" s="18">
        <f>IFERROR(__xludf.DUMMYFUNCTION("""COMPUTED_VALUE"""),18.0)</f>
        <v>18</v>
      </c>
      <c r="D848" s="18">
        <f>IFERROR(__xludf.DUMMYFUNCTION("""COMPUTED_VALUE"""),985.0)</f>
        <v>985</v>
      </c>
      <c r="E848" s="18">
        <f>IFERROR(__xludf.DUMMYFUNCTION("""COMPUTED_VALUE"""),861.0)</f>
        <v>861</v>
      </c>
      <c r="G848" s="18">
        <f t="shared" si="1"/>
        <v>21</v>
      </c>
    </row>
    <row r="849">
      <c r="A849" s="20">
        <f>IFERROR(__xludf.DUMMYFUNCTION("""COMPUTED_VALUE"""),43973.0)</f>
        <v>43973</v>
      </c>
      <c r="B849" s="18" t="str">
        <f>IFERROR(__xludf.DUMMYFUNCTION("""COMPUTED_VALUE"""),"Пермь")</f>
        <v>Пермь</v>
      </c>
      <c r="C849" s="18">
        <f>IFERROR(__xludf.DUMMYFUNCTION("""COMPUTED_VALUE"""),17.0)</f>
        <v>17</v>
      </c>
      <c r="D849" s="18">
        <f>IFERROR(__xludf.DUMMYFUNCTION("""COMPUTED_VALUE"""),1268.0)</f>
        <v>1268</v>
      </c>
      <c r="E849" s="18">
        <f>IFERROR(__xludf.DUMMYFUNCTION("""COMPUTED_VALUE"""),1129.0)</f>
        <v>1129</v>
      </c>
      <c r="G849" s="18">
        <f t="shared" si="1"/>
        <v>21</v>
      </c>
    </row>
    <row r="850">
      <c r="A850" s="20">
        <f>IFERROR(__xludf.DUMMYFUNCTION("""COMPUTED_VALUE"""),43973.0)</f>
        <v>43973</v>
      </c>
      <c r="B850" s="18" t="str">
        <f>IFERROR(__xludf.DUMMYFUNCTION("""COMPUTED_VALUE"""),"Ростов-на-Дону")</f>
        <v>Ростов-на-Дону</v>
      </c>
      <c r="C850" s="18">
        <f>IFERROR(__xludf.DUMMYFUNCTION("""COMPUTED_VALUE"""),15.0)</f>
        <v>15</v>
      </c>
      <c r="D850" s="18">
        <f>IFERROR(__xludf.DUMMYFUNCTION("""COMPUTED_VALUE"""),903.0)</f>
        <v>903</v>
      </c>
      <c r="E850" s="18">
        <f>IFERROR(__xludf.DUMMYFUNCTION("""COMPUTED_VALUE"""),792.0)</f>
        <v>792</v>
      </c>
      <c r="G850" s="18">
        <f t="shared" si="1"/>
        <v>21</v>
      </c>
    </row>
    <row r="851">
      <c r="A851" s="20">
        <f>IFERROR(__xludf.DUMMYFUNCTION("""COMPUTED_VALUE"""),43973.0)</f>
        <v>43973</v>
      </c>
      <c r="B851" s="18" t="str">
        <f>IFERROR(__xludf.DUMMYFUNCTION("""COMPUTED_VALUE"""),"Санкт-Петербург Север")</f>
        <v>Санкт-Петербург Север</v>
      </c>
      <c r="C851" s="18">
        <f>IFERROR(__xludf.DUMMYFUNCTION("""COMPUTED_VALUE"""),125.0)</f>
        <v>125</v>
      </c>
      <c r="D851" s="18">
        <f>IFERROR(__xludf.DUMMYFUNCTION("""COMPUTED_VALUE"""),21427.0)</f>
        <v>21427</v>
      </c>
      <c r="E851" s="18">
        <f>IFERROR(__xludf.DUMMYFUNCTION("""COMPUTED_VALUE"""),19799.0)</f>
        <v>19799</v>
      </c>
      <c r="G851" s="18">
        <f t="shared" si="1"/>
        <v>21</v>
      </c>
    </row>
    <row r="852">
      <c r="A852" s="20">
        <f>IFERROR(__xludf.DUMMYFUNCTION("""COMPUTED_VALUE"""),43973.0)</f>
        <v>43973</v>
      </c>
      <c r="B852" s="18" t="str">
        <f>IFERROR(__xludf.DUMMYFUNCTION("""COMPUTED_VALUE"""),"Санкт-Петербург Юг")</f>
        <v>Санкт-Петербург Юг</v>
      </c>
      <c r="C852" s="18">
        <f>IFERROR(__xludf.DUMMYFUNCTION("""COMPUTED_VALUE"""),129.0)</f>
        <v>129</v>
      </c>
      <c r="D852" s="18">
        <f>IFERROR(__xludf.DUMMYFUNCTION("""COMPUTED_VALUE"""),17088.0)</f>
        <v>17088</v>
      </c>
      <c r="E852" s="18">
        <f>IFERROR(__xludf.DUMMYFUNCTION("""COMPUTED_VALUE"""),15804.0)</f>
        <v>15804</v>
      </c>
      <c r="G852" s="18">
        <f t="shared" si="1"/>
        <v>21</v>
      </c>
    </row>
    <row r="853">
      <c r="A853" s="20">
        <f>IFERROR(__xludf.DUMMYFUNCTION("""COMPUTED_VALUE"""),43973.0)</f>
        <v>43973</v>
      </c>
      <c r="B853" s="18" t="str">
        <f>IFERROR(__xludf.DUMMYFUNCTION("""COMPUTED_VALUE"""),"Тольятти")</f>
        <v>Тольятти</v>
      </c>
      <c r="C853" s="18">
        <f>IFERROR(__xludf.DUMMYFUNCTION("""COMPUTED_VALUE"""),10.0)</f>
        <v>10</v>
      </c>
      <c r="D853" s="18">
        <f>IFERROR(__xludf.DUMMYFUNCTION("""COMPUTED_VALUE"""),965.0)</f>
        <v>965</v>
      </c>
      <c r="E853" s="18">
        <f>IFERROR(__xludf.DUMMYFUNCTION("""COMPUTED_VALUE"""),861.0)</f>
        <v>861</v>
      </c>
      <c r="G853" s="18">
        <f t="shared" si="1"/>
        <v>21</v>
      </c>
    </row>
    <row r="854">
      <c r="A854" s="20">
        <f>IFERROR(__xludf.DUMMYFUNCTION("""COMPUTED_VALUE"""),43974.0)</f>
        <v>43974</v>
      </c>
      <c r="B854" s="18" t="str">
        <f>IFERROR(__xludf.DUMMYFUNCTION("""COMPUTED_VALUE"""),"Волгоград")</f>
        <v>Волгоград</v>
      </c>
      <c r="C854" s="18">
        <f>IFERROR(__xludf.DUMMYFUNCTION("""COMPUTED_VALUE"""),36.0)</f>
        <v>36</v>
      </c>
      <c r="D854" s="18">
        <f>IFERROR(__xludf.DUMMYFUNCTION("""COMPUTED_VALUE"""),5651.0)</f>
        <v>5651</v>
      </c>
      <c r="E854" s="18">
        <f>IFERROR(__xludf.DUMMYFUNCTION("""COMPUTED_VALUE"""),5212.0)</f>
        <v>5212</v>
      </c>
      <c r="G854" s="18">
        <f t="shared" si="1"/>
        <v>21</v>
      </c>
    </row>
    <row r="855">
      <c r="A855" s="20">
        <f>IFERROR(__xludf.DUMMYFUNCTION("""COMPUTED_VALUE"""),43974.0)</f>
        <v>43974</v>
      </c>
      <c r="B855" s="18" t="str">
        <f>IFERROR(__xludf.DUMMYFUNCTION("""COMPUTED_VALUE"""),"Екатеринбург")</f>
        <v>Екатеринбург</v>
      </c>
      <c r="C855" s="18">
        <f>IFERROR(__xludf.DUMMYFUNCTION("""COMPUTED_VALUE"""),31.0)</f>
        <v>31</v>
      </c>
      <c r="D855" s="18">
        <f>IFERROR(__xludf.DUMMYFUNCTION("""COMPUTED_VALUE"""),6276.0)</f>
        <v>6276</v>
      </c>
      <c r="E855" s="18">
        <f>IFERROR(__xludf.DUMMYFUNCTION("""COMPUTED_VALUE"""),5801.0)</f>
        <v>5801</v>
      </c>
      <c r="G855" s="18">
        <f t="shared" si="1"/>
        <v>21</v>
      </c>
    </row>
    <row r="856">
      <c r="A856" s="20">
        <f>IFERROR(__xludf.DUMMYFUNCTION("""COMPUTED_VALUE"""),43974.0)</f>
        <v>43974</v>
      </c>
      <c r="B856" s="18" t="str">
        <f>IFERROR(__xludf.DUMMYFUNCTION("""COMPUTED_VALUE"""),"Казань")</f>
        <v>Казань</v>
      </c>
      <c r="C856" s="18">
        <f>IFERROR(__xludf.DUMMYFUNCTION("""COMPUTED_VALUE"""),21.0)</f>
        <v>21</v>
      </c>
      <c r="D856" s="18">
        <f>IFERROR(__xludf.DUMMYFUNCTION("""COMPUTED_VALUE"""),2460.0)</f>
        <v>2460</v>
      </c>
      <c r="E856" s="18">
        <f>IFERROR(__xludf.DUMMYFUNCTION("""COMPUTED_VALUE"""),2226.0)</f>
        <v>2226</v>
      </c>
      <c r="G856" s="18">
        <f t="shared" si="1"/>
        <v>21</v>
      </c>
    </row>
    <row r="857">
      <c r="A857" s="20">
        <f>IFERROR(__xludf.DUMMYFUNCTION("""COMPUTED_VALUE"""),43974.0)</f>
        <v>43974</v>
      </c>
      <c r="B857" s="18" t="str">
        <f>IFERROR(__xludf.DUMMYFUNCTION("""COMPUTED_VALUE"""),"Кемерово")</f>
        <v>Кемерово</v>
      </c>
      <c r="C857" s="18">
        <f>IFERROR(__xludf.DUMMYFUNCTION("""COMPUTED_VALUE"""),21.0)</f>
        <v>21</v>
      </c>
      <c r="D857" s="18">
        <f>IFERROR(__xludf.DUMMYFUNCTION("""COMPUTED_VALUE"""),2340.0)</f>
        <v>2340</v>
      </c>
      <c r="E857" s="18">
        <f>IFERROR(__xludf.DUMMYFUNCTION("""COMPUTED_VALUE"""),2146.0)</f>
        <v>2146</v>
      </c>
      <c r="G857" s="18">
        <f t="shared" si="1"/>
        <v>21</v>
      </c>
    </row>
    <row r="858">
      <c r="A858" s="20">
        <f>IFERROR(__xludf.DUMMYFUNCTION("""COMPUTED_VALUE"""),43974.0)</f>
        <v>43974</v>
      </c>
      <c r="B858" s="18" t="str">
        <f>IFERROR(__xludf.DUMMYFUNCTION("""COMPUTED_VALUE"""),"Краснодар")</f>
        <v>Краснодар</v>
      </c>
      <c r="C858" s="18">
        <f>IFERROR(__xludf.DUMMYFUNCTION("""COMPUTED_VALUE"""),19.0)</f>
        <v>19</v>
      </c>
      <c r="D858" s="18">
        <f>IFERROR(__xludf.DUMMYFUNCTION("""COMPUTED_VALUE"""),2195.0)</f>
        <v>2195</v>
      </c>
      <c r="E858" s="18">
        <f>IFERROR(__xludf.DUMMYFUNCTION("""COMPUTED_VALUE"""),1999.0)</f>
        <v>1999</v>
      </c>
      <c r="G858" s="18">
        <f t="shared" si="1"/>
        <v>21</v>
      </c>
    </row>
    <row r="859">
      <c r="A859" s="20">
        <f>IFERROR(__xludf.DUMMYFUNCTION("""COMPUTED_VALUE"""),43974.0)</f>
        <v>43974</v>
      </c>
      <c r="B859" s="18" t="str">
        <f>IFERROR(__xludf.DUMMYFUNCTION("""COMPUTED_VALUE"""),"Москва Восток")</f>
        <v>Москва Восток</v>
      </c>
      <c r="C859" s="18">
        <f>IFERROR(__xludf.DUMMYFUNCTION("""COMPUTED_VALUE"""),54.0)</f>
        <v>54</v>
      </c>
      <c r="D859" s="18">
        <f>IFERROR(__xludf.DUMMYFUNCTION("""COMPUTED_VALUE"""),16221.0)</f>
        <v>16221</v>
      </c>
      <c r="E859" s="18">
        <f>IFERROR(__xludf.DUMMYFUNCTION("""COMPUTED_VALUE"""),15065.0)</f>
        <v>15065</v>
      </c>
      <c r="G859" s="18">
        <f t="shared" si="1"/>
        <v>21</v>
      </c>
    </row>
    <row r="860">
      <c r="A860" s="20">
        <f>IFERROR(__xludf.DUMMYFUNCTION("""COMPUTED_VALUE"""),43974.0)</f>
        <v>43974</v>
      </c>
      <c r="B860" s="18" t="str">
        <f>IFERROR(__xludf.DUMMYFUNCTION("""COMPUTED_VALUE"""),"Москва Запад")</f>
        <v>Москва Запад</v>
      </c>
      <c r="C860" s="18">
        <f>IFERROR(__xludf.DUMMYFUNCTION("""COMPUTED_VALUE"""),60.0)</f>
        <v>60</v>
      </c>
      <c r="D860" s="18">
        <f>IFERROR(__xludf.DUMMYFUNCTION("""COMPUTED_VALUE"""),17295.0)</f>
        <v>17295</v>
      </c>
      <c r="E860" s="18">
        <f>IFERROR(__xludf.DUMMYFUNCTION("""COMPUTED_VALUE"""),16010.0)</f>
        <v>16010</v>
      </c>
      <c r="G860" s="18">
        <f t="shared" si="1"/>
        <v>21</v>
      </c>
    </row>
    <row r="861">
      <c r="A861" s="20">
        <f>IFERROR(__xludf.DUMMYFUNCTION("""COMPUTED_VALUE"""),43974.0)</f>
        <v>43974</v>
      </c>
      <c r="B861" s="18" t="str">
        <f>IFERROR(__xludf.DUMMYFUNCTION("""COMPUTED_VALUE"""),"Нижний Новгород")</f>
        <v>Нижний Новгород</v>
      </c>
      <c r="C861" s="18">
        <f>IFERROR(__xludf.DUMMYFUNCTION("""COMPUTED_VALUE"""),20.0)</f>
        <v>20</v>
      </c>
      <c r="D861" s="18">
        <f>IFERROR(__xludf.DUMMYFUNCTION("""COMPUTED_VALUE"""),2266.0)</f>
        <v>2266</v>
      </c>
      <c r="E861" s="18">
        <f>IFERROR(__xludf.DUMMYFUNCTION("""COMPUTED_VALUE"""),1993.0)</f>
        <v>1993</v>
      </c>
      <c r="G861" s="18">
        <f t="shared" si="1"/>
        <v>21</v>
      </c>
    </row>
    <row r="862">
      <c r="A862" s="20">
        <f>IFERROR(__xludf.DUMMYFUNCTION("""COMPUTED_VALUE"""),43974.0)</f>
        <v>43974</v>
      </c>
      <c r="B862" s="18" t="str">
        <f>IFERROR(__xludf.DUMMYFUNCTION("""COMPUTED_VALUE"""),"Новосибирск")</f>
        <v>Новосибирск</v>
      </c>
      <c r="C862" s="18">
        <f>IFERROR(__xludf.DUMMYFUNCTION("""COMPUTED_VALUE"""),18.0)</f>
        <v>18</v>
      </c>
      <c r="D862" s="18">
        <f>IFERROR(__xludf.DUMMYFUNCTION("""COMPUTED_VALUE"""),1031.0)</f>
        <v>1031</v>
      </c>
      <c r="E862" s="18">
        <f>IFERROR(__xludf.DUMMYFUNCTION("""COMPUTED_VALUE"""),918.0)</f>
        <v>918</v>
      </c>
      <c r="G862" s="18">
        <f t="shared" si="1"/>
        <v>21</v>
      </c>
    </row>
    <row r="863">
      <c r="A863" s="20">
        <f>IFERROR(__xludf.DUMMYFUNCTION("""COMPUTED_VALUE"""),43974.0)</f>
        <v>43974</v>
      </c>
      <c r="B863" s="18" t="str">
        <f>IFERROR(__xludf.DUMMYFUNCTION("""COMPUTED_VALUE"""),"Пермь")</f>
        <v>Пермь</v>
      </c>
      <c r="C863" s="18">
        <f>IFERROR(__xludf.DUMMYFUNCTION("""COMPUTED_VALUE"""),17.0)</f>
        <v>17</v>
      </c>
      <c r="D863" s="18">
        <f>IFERROR(__xludf.DUMMYFUNCTION("""COMPUTED_VALUE"""),1294.0)</f>
        <v>1294</v>
      </c>
      <c r="E863" s="18">
        <f>IFERROR(__xludf.DUMMYFUNCTION("""COMPUTED_VALUE"""),1155.0)</f>
        <v>1155</v>
      </c>
      <c r="G863" s="18">
        <f t="shared" si="1"/>
        <v>21</v>
      </c>
    </row>
    <row r="864">
      <c r="A864" s="20">
        <f>IFERROR(__xludf.DUMMYFUNCTION("""COMPUTED_VALUE"""),43974.0)</f>
        <v>43974</v>
      </c>
      <c r="B864" s="18" t="str">
        <f>IFERROR(__xludf.DUMMYFUNCTION("""COMPUTED_VALUE"""),"Ростов-на-Дону")</f>
        <v>Ростов-на-Дону</v>
      </c>
      <c r="C864" s="18">
        <f>IFERROR(__xludf.DUMMYFUNCTION("""COMPUTED_VALUE"""),15.0)</f>
        <v>15</v>
      </c>
      <c r="D864" s="18">
        <f>IFERROR(__xludf.DUMMYFUNCTION("""COMPUTED_VALUE"""),840.0)</f>
        <v>840</v>
      </c>
      <c r="E864" s="18">
        <f>IFERROR(__xludf.DUMMYFUNCTION("""COMPUTED_VALUE"""),725.0)</f>
        <v>725</v>
      </c>
      <c r="G864" s="18">
        <f t="shared" si="1"/>
        <v>21</v>
      </c>
    </row>
    <row r="865">
      <c r="A865" s="20">
        <f>IFERROR(__xludf.DUMMYFUNCTION("""COMPUTED_VALUE"""),43974.0)</f>
        <v>43974</v>
      </c>
      <c r="B865" s="18" t="str">
        <f>IFERROR(__xludf.DUMMYFUNCTION("""COMPUTED_VALUE"""),"Санкт-Петербург Север")</f>
        <v>Санкт-Петербург Север</v>
      </c>
      <c r="C865" s="18">
        <f>IFERROR(__xludf.DUMMYFUNCTION("""COMPUTED_VALUE"""),125.0)</f>
        <v>125</v>
      </c>
      <c r="D865" s="18">
        <f>IFERROR(__xludf.DUMMYFUNCTION("""COMPUTED_VALUE"""),24574.0)</f>
        <v>24574</v>
      </c>
      <c r="E865" s="18">
        <f>IFERROR(__xludf.DUMMYFUNCTION("""COMPUTED_VALUE"""),22609.0)</f>
        <v>22609</v>
      </c>
      <c r="G865" s="18">
        <f t="shared" si="1"/>
        <v>21</v>
      </c>
    </row>
    <row r="866">
      <c r="A866" s="20">
        <f>IFERROR(__xludf.DUMMYFUNCTION("""COMPUTED_VALUE"""),43974.0)</f>
        <v>43974</v>
      </c>
      <c r="B866" s="18" t="str">
        <f>IFERROR(__xludf.DUMMYFUNCTION("""COMPUTED_VALUE"""),"Санкт-Петербург Юг")</f>
        <v>Санкт-Петербург Юг</v>
      </c>
      <c r="C866" s="18">
        <f>IFERROR(__xludf.DUMMYFUNCTION("""COMPUTED_VALUE"""),129.0)</f>
        <v>129</v>
      </c>
      <c r="D866" s="18">
        <f>IFERROR(__xludf.DUMMYFUNCTION("""COMPUTED_VALUE"""),19856.0)</f>
        <v>19856</v>
      </c>
      <c r="E866" s="18">
        <f>IFERROR(__xludf.DUMMYFUNCTION("""COMPUTED_VALUE"""),18325.0)</f>
        <v>18325</v>
      </c>
      <c r="G866" s="18">
        <f t="shared" si="1"/>
        <v>21</v>
      </c>
    </row>
    <row r="867">
      <c r="A867" s="20">
        <f>IFERROR(__xludf.DUMMYFUNCTION("""COMPUTED_VALUE"""),43974.0)</f>
        <v>43974</v>
      </c>
      <c r="B867" s="18" t="str">
        <f>IFERROR(__xludf.DUMMYFUNCTION("""COMPUTED_VALUE"""),"Тольятти")</f>
        <v>Тольятти</v>
      </c>
      <c r="C867" s="18">
        <f>IFERROR(__xludf.DUMMYFUNCTION("""COMPUTED_VALUE"""),10.0)</f>
        <v>10</v>
      </c>
      <c r="D867" s="18">
        <f>IFERROR(__xludf.DUMMYFUNCTION("""COMPUTED_VALUE"""),828.0)</f>
        <v>828</v>
      </c>
      <c r="E867" s="18">
        <f>IFERROR(__xludf.DUMMYFUNCTION("""COMPUTED_VALUE"""),734.0)</f>
        <v>734</v>
      </c>
      <c r="G867" s="18">
        <f t="shared" si="1"/>
        <v>21</v>
      </c>
    </row>
    <row r="868">
      <c r="A868" s="20">
        <f>IFERROR(__xludf.DUMMYFUNCTION("""COMPUTED_VALUE"""),43975.0)</f>
        <v>43975</v>
      </c>
      <c r="B868" s="18" t="str">
        <f>IFERROR(__xludf.DUMMYFUNCTION("""COMPUTED_VALUE"""),"Волгоград")</f>
        <v>Волгоград</v>
      </c>
      <c r="C868" s="18">
        <f>IFERROR(__xludf.DUMMYFUNCTION("""COMPUTED_VALUE"""),36.0)</f>
        <v>36</v>
      </c>
      <c r="D868" s="18">
        <f>IFERROR(__xludf.DUMMYFUNCTION("""COMPUTED_VALUE"""),4915.0)</f>
        <v>4915</v>
      </c>
      <c r="E868" s="18">
        <f>IFERROR(__xludf.DUMMYFUNCTION("""COMPUTED_VALUE"""),4562.0)</f>
        <v>4562</v>
      </c>
      <c r="G868" s="18">
        <f t="shared" si="1"/>
        <v>21</v>
      </c>
    </row>
    <row r="869">
      <c r="A869" s="20">
        <f>IFERROR(__xludf.DUMMYFUNCTION("""COMPUTED_VALUE"""),43975.0)</f>
        <v>43975</v>
      </c>
      <c r="B869" s="18" t="str">
        <f>IFERROR(__xludf.DUMMYFUNCTION("""COMPUTED_VALUE"""),"Екатеринбург")</f>
        <v>Екатеринбург</v>
      </c>
      <c r="C869" s="18">
        <f>IFERROR(__xludf.DUMMYFUNCTION("""COMPUTED_VALUE"""),31.0)</f>
        <v>31</v>
      </c>
      <c r="D869" s="18">
        <f>IFERROR(__xludf.DUMMYFUNCTION("""COMPUTED_VALUE"""),5035.0)</f>
        <v>5035</v>
      </c>
      <c r="E869" s="18">
        <f>IFERROR(__xludf.DUMMYFUNCTION("""COMPUTED_VALUE"""),4683.0)</f>
        <v>4683</v>
      </c>
      <c r="G869" s="18">
        <f t="shared" si="1"/>
        <v>21</v>
      </c>
    </row>
    <row r="870">
      <c r="A870" s="20">
        <f>IFERROR(__xludf.DUMMYFUNCTION("""COMPUTED_VALUE"""),43975.0)</f>
        <v>43975</v>
      </c>
      <c r="B870" s="18" t="str">
        <f>IFERROR(__xludf.DUMMYFUNCTION("""COMPUTED_VALUE"""),"Казань")</f>
        <v>Казань</v>
      </c>
      <c r="C870" s="18">
        <f>IFERROR(__xludf.DUMMYFUNCTION("""COMPUTED_VALUE"""),21.0)</f>
        <v>21</v>
      </c>
      <c r="D870" s="18">
        <f>IFERROR(__xludf.DUMMYFUNCTION("""COMPUTED_VALUE"""),2254.0)</f>
        <v>2254</v>
      </c>
      <c r="E870" s="18">
        <f>IFERROR(__xludf.DUMMYFUNCTION("""COMPUTED_VALUE"""),2061.0)</f>
        <v>2061</v>
      </c>
      <c r="G870" s="18">
        <f t="shared" si="1"/>
        <v>21</v>
      </c>
    </row>
    <row r="871">
      <c r="A871" s="20">
        <f>IFERROR(__xludf.DUMMYFUNCTION("""COMPUTED_VALUE"""),43975.0)</f>
        <v>43975</v>
      </c>
      <c r="B871" s="18" t="str">
        <f>IFERROR(__xludf.DUMMYFUNCTION("""COMPUTED_VALUE"""),"Кемерово")</f>
        <v>Кемерово</v>
      </c>
      <c r="C871" s="18">
        <f>IFERROR(__xludf.DUMMYFUNCTION("""COMPUTED_VALUE"""),20.0)</f>
        <v>20</v>
      </c>
      <c r="D871" s="18">
        <f>IFERROR(__xludf.DUMMYFUNCTION("""COMPUTED_VALUE"""),1999.0)</f>
        <v>1999</v>
      </c>
      <c r="E871" s="18">
        <f>IFERROR(__xludf.DUMMYFUNCTION("""COMPUTED_VALUE"""),1829.0)</f>
        <v>1829</v>
      </c>
      <c r="G871" s="18">
        <f t="shared" si="1"/>
        <v>21</v>
      </c>
    </row>
    <row r="872">
      <c r="A872" s="20">
        <f>IFERROR(__xludf.DUMMYFUNCTION("""COMPUTED_VALUE"""),43975.0)</f>
        <v>43975</v>
      </c>
      <c r="B872" s="18" t="str">
        <f>IFERROR(__xludf.DUMMYFUNCTION("""COMPUTED_VALUE"""),"Краснодар")</f>
        <v>Краснодар</v>
      </c>
      <c r="C872" s="18">
        <f>IFERROR(__xludf.DUMMYFUNCTION("""COMPUTED_VALUE"""),19.0)</f>
        <v>19</v>
      </c>
      <c r="D872" s="18">
        <f>IFERROR(__xludf.DUMMYFUNCTION("""COMPUTED_VALUE"""),1868.0)</f>
        <v>1868</v>
      </c>
      <c r="E872" s="18">
        <f>IFERROR(__xludf.DUMMYFUNCTION("""COMPUTED_VALUE"""),1706.0)</f>
        <v>1706</v>
      </c>
      <c r="G872" s="18">
        <f t="shared" si="1"/>
        <v>21</v>
      </c>
    </row>
    <row r="873">
      <c r="A873" s="20">
        <f>IFERROR(__xludf.DUMMYFUNCTION("""COMPUTED_VALUE"""),43975.0)</f>
        <v>43975</v>
      </c>
      <c r="B873" s="18" t="str">
        <f>IFERROR(__xludf.DUMMYFUNCTION("""COMPUTED_VALUE"""),"Москва Восток")</f>
        <v>Москва Восток</v>
      </c>
      <c r="C873" s="18">
        <f>IFERROR(__xludf.DUMMYFUNCTION("""COMPUTED_VALUE"""),54.0)</f>
        <v>54</v>
      </c>
      <c r="D873" s="18">
        <f>IFERROR(__xludf.DUMMYFUNCTION("""COMPUTED_VALUE"""),12211.0)</f>
        <v>12211</v>
      </c>
      <c r="E873" s="18">
        <f>IFERROR(__xludf.DUMMYFUNCTION("""COMPUTED_VALUE"""),11427.0)</f>
        <v>11427</v>
      </c>
      <c r="G873" s="18">
        <f t="shared" si="1"/>
        <v>21</v>
      </c>
    </row>
    <row r="874">
      <c r="A874" s="20">
        <f>IFERROR(__xludf.DUMMYFUNCTION("""COMPUTED_VALUE"""),43975.0)</f>
        <v>43975</v>
      </c>
      <c r="B874" s="18" t="str">
        <f>IFERROR(__xludf.DUMMYFUNCTION("""COMPUTED_VALUE"""),"Москва Запад")</f>
        <v>Москва Запад</v>
      </c>
      <c r="C874" s="18">
        <f>IFERROR(__xludf.DUMMYFUNCTION("""COMPUTED_VALUE"""),60.0)</f>
        <v>60</v>
      </c>
      <c r="D874" s="18">
        <f>IFERROR(__xludf.DUMMYFUNCTION("""COMPUTED_VALUE"""),12822.0)</f>
        <v>12822</v>
      </c>
      <c r="E874" s="18">
        <f>IFERROR(__xludf.DUMMYFUNCTION("""COMPUTED_VALUE"""),11916.0)</f>
        <v>11916</v>
      </c>
      <c r="G874" s="18">
        <f t="shared" si="1"/>
        <v>21</v>
      </c>
    </row>
    <row r="875">
      <c r="A875" s="20">
        <f>IFERROR(__xludf.DUMMYFUNCTION("""COMPUTED_VALUE"""),43975.0)</f>
        <v>43975</v>
      </c>
      <c r="B875" s="18" t="str">
        <f>IFERROR(__xludf.DUMMYFUNCTION("""COMPUTED_VALUE"""),"Нижний Новгород")</f>
        <v>Нижний Новгород</v>
      </c>
      <c r="C875" s="18">
        <f>IFERROR(__xludf.DUMMYFUNCTION("""COMPUTED_VALUE"""),20.0)</f>
        <v>20</v>
      </c>
      <c r="D875" s="18">
        <f>IFERROR(__xludf.DUMMYFUNCTION("""COMPUTED_VALUE"""),2015.0)</f>
        <v>2015</v>
      </c>
      <c r="E875" s="18">
        <f>IFERROR(__xludf.DUMMYFUNCTION("""COMPUTED_VALUE"""),1803.0)</f>
        <v>1803</v>
      </c>
      <c r="G875" s="18">
        <f t="shared" si="1"/>
        <v>21</v>
      </c>
    </row>
    <row r="876">
      <c r="A876" s="20">
        <f>IFERROR(__xludf.DUMMYFUNCTION("""COMPUTED_VALUE"""),43975.0)</f>
        <v>43975</v>
      </c>
      <c r="B876" s="18" t="str">
        <f>IFERROR(__xludf.DUMMYFUNCTION("""COMPUTED_VALUE"""),"Новосибирск")</f>
        <v>Новосибирск</v>
      </c>
      <c r="C876" s="18">
        <f>IFERROR(__xludf.DUMMYFUNCTION("""COMPUTED_VALUE"""),18.0)</f>
        <v>18</v>
      </c>
      <c r="D876" s="18">
        <f>IFERROR(__xludf.DUMMYFUNCTION("""COMPUTED_VALUE"""),1006.0)</f>
        <v>1006</v>
      </c>
      <c r="E876" s="18">
        <f>IFERROR(__xludf.DUMMYFUNCTION("""COMPUTED_VALUE"""),904.0)</f>
        <v>904</v>
      </c>
      <c r="G876" s="18">
        <f t="shared" si="1"/>
        <v>21</v>
      </c>
    </row>
    <row r="877">
      <c r="A877" s="20">
        <f>IFERROR(__xludf.DUMMYFUNCTION("""COMPUTED_VALUE"""),43975.0)</f>
        <v>43975</v>
      </c>
      <c r="B877" s="18" t="str">
        <f>IFERROR(__xludf.DUMMYFUNCTION("""COMPUTED_VALUE"""),"Пермь")</f>
        <v>Пермь</v>
      </c>
      <c r="C877" s="18">
        <f>IFERROR(__xludf.DUMMYFUNCTION("""COMPUTED_VALUE"""),17.0)</f>
        <v>17</v>
      </c>
      <c r="D877" s="18">
        <f>IFERROR(__xludf.DUMMYFUNCTION("""COMPUTED_VALUE"""),1128.0)</f>
        <v>1128</v>
      </c>
      <c r="E877" s="18">
        <f>IFERROR(__xludf.DUMMYFUNCTION("""COMPUTED_VALUE"""),1001.0)</f>
        <v>1001</v>
      </c>
      <c r="G877" s="18">
        <f t="shared" si="1"/>
        <v>21</v>
      </c>
    </row>
    <row r="878">
      <c r="A878" s="20">
        <f>IFERROR(__xludf.DUMMYFUNCTION("""COMPUTED_VALUE"""),43975.0)</f>
        <v>43975</v>
      </c>
      <c r="B878" s="18" t="str">
        <f>IFERROR(__xludf.DUMMYFUNCTION("""COMPUTED_VALUE"""),"Ростов-на-Дону")</f>
        <v>Ростов-на-Дону</v>
      </c>
      <c r="C878" s="18">
        <f>IFERROR(__xludf.DUMMYFUNCTION("""COMPUTED_VALUE"""),15.0)</f>
        <v>15</v>
      </c>
      <c r="D878" s="18">
        <f>IFERROR(__xludf.DUMMYFUNCTION("""COMPUTED_VALUE"""),779.0)</f>
        <v>779</v>
      </c>
      <c r="E878" s="18">
        <f>IFERROR(__xludf.DUMMYFUNCTION("""COMPUTED_VALUE"""),673.0)</f>
        <v>673</v>
      </c>
      <c r="G878" s="18">
        <f t="shared" si="1"/>
        <v>21</v>
      </c>
    </row>
    <row r="879">
      <c r="A879" s="20">
        <f>IFERROR(__xludf.DUMMYFUNCTION("""COMPUTED_VALUE"""),43975.0)</f>
        <v>43975</v>
      </c>
      <c r="B879" s="18" t="str">
        <f>IFERROR(__xludf.DUMMYFUNCTION("""COMPUTED_VALUE"""),"Санкт-Петербург Север")</f>
        <v>Санкт-Петербург Север</v>
      </c>
      <c r="C879" s="18">
        <f>IFERROR(__xludf.DUMMYFUNCTION("""COMPUTED_VALUE"""),125.0)</f>
        <v>125</v>
      </c>
      <c r="D879" s="18">
        <f>IFERROR(__xludf.DUMMYFUNCTION("""COMPUTED_VALUE"""),21004.0)</f>
        <v>21004</v>
      </c>
      <c r="E879" s="18">
        <f>IFERROR(__xludf.DUMMYFUNCTION("""COMPUTED_VALUE"""),19556.0)</f>
        <v>19556</v>
      </c>
      <c r="G879" s="18">
        <f t="shared" si="1"/>
        <v>21</v>
      </c>
    </row>
    <row r="880">
      <c r="A880" s="20">
        <f>IFERROR(__xludf.DUMMYFUNCTION("""COMPUTED_VALUE"""),43975.0)</f>
        <v>43975</v>
      </c>
      <c r="B880" s="18" t="str">
        <f>IFERROR(__xludf.DUMMYFUNCTION("""COMPUTED_VALUE"""),"Санкт-Петербург Юг")</f>
        <v>Санкт-Петербург Юг</v>
      </c>
      <c r="C880" s="18">
        <f>IFERROR(__xludf.DUMMYFUNCTION("""COMPUTED_VALUE"""),129.0)</f>
        <v>129</v>
      </c>
      <c r="D880" s="18">
        <f>IFERROR(__xludf.DUMMYFUNCTION("""COMPUTED_VALUE"""),16432.0)</f>
        <v>16432</v>
      </c>
      <c r="E880" s="18">
        <f>IFERROR(__xludf.DUMMYFUNCTION("""COMPUTED_VALUE"""),15345.0)</f>
        <v>15345</v>
      </c>
      <c r="G880" s="18">
        <f t="shared" si="1"/>
        <v>21</v>
      </c>
    </row>
    <row r="881">
      <c r="A881" s="20">
        <f>IFERROR(__xludf.DUMMYFUNCTION("""COMPUTED_VALUE"""),43975.0)</f>
        <v>43975</v>
      </c>
      <c r="B881" s="18" t="str">
        <f>IFERROR(__xludf.DUMMYFUNCTION("""COMPUTED_VALUE"""),"Тольятти")</f>
        <v>Тольятти</v>
      </c>
      <c r="C881" s="18">
        <f>IFERROR(__xludf.DUMMYFUNCTION("""COMPUTED_VALUE"""),10.0)</f>
        <v>10</v>
      </c>
      <c r="D881" s="18">
        <f>IFERROR(__xludf.DUMMYFUNCTION("""COMPUTED_VALUE"""),639.0)</f>
        <v>639</v>
      </c>
      <c r="E881" s="18">
        <f>IFERROR(__xludf.DUMMYFUNCTION("""COMPUTED_VALUE"""),557.0)</f>
        <v>557</v>
      </c>
      <c r="G881" s="18">
        <f t="shared" si="1"/>
        <v>21</v>
      </c>
    </row>
    <row r="882">
      <c r="A882" s="20">
        <f>IFERROR(__xludf.DUMMYFUNCTION("""COMPUTED_VALUE"""),43976.0)</f>
        <v>43976</v>
      </c>
      <c r="B882" s="18" t="str">
        <f>IFERROR(__xludf.DUMMYFUNCTION("""COMPUTED_VALUE"""),"Волгоград")</f>
        <v>Волгоград</v>
      </c>
      <c r="C882" s="18">
        <f>IFERROR(__xludf.DUMMYFUNCTION("""COMPUTED_VALUE"""),36.0)</f>
        <v>36</v>
      </c>
      <c r="D882" s="18">
        <f>IFERROR(__xludf.DUMMYFUNCTION("""COMPUTED_VALUE"""),4641.0)</f>
        <v>4641</v>
      </c>
      <c r="E882" s="18">
        <f>IFERROR(__xludf.DUMMYFUNCTION("""COMPUTED_VALUE"""),4274.0)</f>
        <v>4274</v>
      </c>
      <c r="G882" s="18">
        <f t="shared" si="1"/>
        <v>22</v>
      </c>
    </row>
    <row r="883">
      <c r="A883" s="20">
        <f>IFERROR(__xludf.DUMMYFUNCTION("""COMPUTED_VALUE"""),43976.0)</f>
        <v>43976</v>
      </c>
      <c r="B883" s="18" t="str">
        <f>IFERROR(__xludf.DUMMYFUNCTION("""COMPUTED_VALUE"""),"Екатеринбург")</f>
        <v>Екатеринбург</v>
      </c>
      <c r="C883" s="18">
        <f>IFERROR(__xludf.DUMMYFUNCTION("""COMPUTED_VALUE"""),31.0)</f>
        <v>31</v>
      </c>
      <c r="D883" s="18">
        <f>IFERROR(__xludf.DUMMYFUNCTION("""COMPUTED_VALUE"""),5210.0)</f>
        <v>5210</v>
      </c>
      <c r="E883" s="18">
        <f>IFERROR(__xludf.DUMMYFUNCTION("""COMPUTED_VALUE"""),4841.0)</f>
        <v>4841</v>
      </c>
      <c r="G883" s="18">
        <f t="shared" si="1"/>
        <v>22</v>
      </c>
    </row>
    <row r="884">
      <c r="A884" s="20">
        <f>IFERROR(__xludf.DUMMYFUNCTION("""COMPUTED_VALUE"""),43976.0)</f>
        <v>43976</v>
      </c>
      <c r="B884" s="18" t="str">
        <f>IFERROR(__xludf.DUMMYFUNCTION("""COMPUTED_VALUE"""),"Казань")</f>
        <v>Казань</v>
      </c>
      <c r="C884" s="18">
        <f>IFERROR(__xludf.DUMMYFUNCTION("""COMPUTED_VALUE"""),21.0)</f>
        <v>21</v>
      </c>
      <c r="D884" s="18">
        <f>IFERROR(__xludf.DUMMYFUNCTION("""COMPUTED_VALUE"""),2330.0)</f>
        <v>2330</v>
      </c>
      <c r="E884" s="18">
        <f>IFERROR(__xludf.DUMMYFUNCTION("""COMPUTED_VALUE"""),2142.0)</f>
        <v>2142</v>
      </c>
      <c r="G884" s="18">
        <f t="shared" si="1"/>
        <v>22</v>
      </c>
    </row>
    <row r="885">
      <c r="A885" s="20">
        <f>IFERROR(__xludf.DUMMYFUNCTION("""COMPUTED_VALUE"""),43976.0)</f>
        <v>43976</v>
      </c>
      <c r="B885" s="18" t="str">
        <f>IFERROR(__xludf.DUMMYFUNCTION("""COMPUTED_VALUE"""),"Кемерово")</f>
        <v>Кемерово</v>
      </c>
      <c r="C885" s="18">
        <f>IFERROR(__xludf.DUMMYFUNCTION("""COMPUTED_VALUE"""),20.0)</f>
        <v>20</v>
      </c>
      <c r="D885" s="18">
        <f>IFERROR(__xludf.DUMMYFUNCTION("""COMPUTED_VALUE"""),2087.0)</f>
        <v>2087</v>
      </c>
      <c r="E885" s="18">
        <f>IFERROR(__xludf.DUMMYFUNCTION("""COMPUTED_VALUE"""),1914.0)</f>
        <v>1914</v>
      </c>
      <c r="G885" s="18">
        <f t="shared" si="1"/>
        <v>22</v>
      </c>
    </row>
    <row r="886">
      <c r="A886" s="20">
        <f>IFERROR(__xludf.DUMMYFUNCTION("""COMPUTED_VALUE"""),43976.0)</f>
        <v>43976</v>
      </c>
      <c r="B886" s="18" t="str">
        <f>IFERROR(__xludf.DUMMYFUNCTION("""COMPUTED_VALUE"""),"Краснодар")</f>
        <v>Краснодар</v>
      </c>
      <c r="C886" s="18">
        <f>IFERROR(__xludf.DUMMYFUNCTION("""COMPUTED_VALUE"""),20.0)</f>
        <v>20</v>
      </c>
      <c r="D886" s="18">
        <f>IFERROR(__xludf.DUMMYFUNCTION("""COMPUTED_VALUE"""),1899.0)</f>
        <v>1899</v>
      </c>
      <c r="E886" s="18">
        <f>IFERROR(__xludf.DUMMYFUNCTION("""COMPUTED_VALUE"""),1738.0)</f>
        <v>1738</v>
      </c>
      <c r="G886" s="18">
        <f t="shared" si="1"/>
        <v>22</v>
      </c>
    </row>
    <row r="887">
      <c r="A887" s="20">
        <f>IFERROR(__xludf.DUMMYFUNCTION("""COMPUTED_VALUE"""),43976.0)</f>
        <v>43976</v>
      </c>
      <c r="B887" s="18" t="str">
        <f>IFERROR(__xludf.DUMMYFUNCTION("""COMPUTED_VALUE"""),"Москва Восток")</f>
        <v>Москва Восток</v>
      </c>
      <c r="C887" s="18">
        <f>IFERROR(__xludf.DUMMYFUNCTION("""COMPUTED_VALUE"""),54.0)</f>
        <v>54</v>
      </c>
      <c r="D887" s="18">
        <f>IFERROR(__xludf.DUMMYFUNCTION("""COMPUTED_VALUE"""),12336.0)</f>
        <v>12336</v>
      </c>
      <c r="E887" s="18">
        <f>IFERROR(__xludf.DUMMYFUNCTION("""COMPUTED_VALUE"""),11519.0)</f>
        <v>11519</v>
      </c>
      <c r="G887" s="18">
        <f t="shared" si="1"/>
        <v>22</v>
      </c>
    </row>
    <row r="888">
      <c r="A888" s="20">
        <f>IFERROR(__xludf.DUMMYFUNCTION("""COMPUTED_VALUE"""),43976.0)</f>
        <v>43976</v>
      </c>
      <c r="B888" s="18" t="str">
        <f>IFERROR(__xludf.DUMMYFUNCTION("""COMPUTED_VALUE"""),"Москва Запад")</f>
        <v>Москва Запад</v>
      </c>
      <c r="C888" s="18">
        <f>IFERROR(__xludf.DUMMYFUNCTION("""COMPUTED_VALUE"""),59.0)</f>
        <v>59</v>
      </c>
      <c r="D888" s="18">
        <f>IFERROR(__xludf.DUMMYFUNCTION("""COMPUTED_VALUE"""),12983.0)</f>
        <v>12983</v>
      </c>
      <c r="E888" s="18">
        <f>IFERROR(__xludf.DUMMYFUNCTION("""COMPUTED_VALUE"""),12056.0)</f>
        <v>12056</v>
      </c>
      <c r="G888" s="18">
        <f t="shared" si="1"/>
        <v>22</v>
      </c>
    </row>
    <row r="889">
      <c r="A889" s="20">
        <f>IFERROR(__xludf.DUMMYFUNCTION("""COMPUTED_VALUE"""),43976.0)</f>
        <v>43976</v>
      </c>
      <c r="B889" s="18" t="str">
        <f>IFERROR(__xludf.DUMMYFUNCTION("""COMPUTED_VALUE"""),"Нижний Новгород")</f>
        <v>Нижний Новгород</v>
      </c>
      <c r="C889" s="18">
        <f>IFERROR(__xludf.DUMMYFUNCTION("""COMPUTED_VALUE"""),20.0)</f>
        <v>20</v>
      </c>
      <c r="D889" s="18">
        <f>IFERROR(__xludf.DUMMYFUNCTION("""COMPUTED_VALUE"""),2011.0)</f>
        <v>2011</v>
      </c>
      <c r="E889" s="18">
        <f>IFERROR(__xludf.DUMMYFUNCTION("""COMPUTED_VALUE"""),1791.0)</f>
        <v>1791</v>
      </c>
      <c r="G889" s="18">
        <f t="shared" si="1"/>
        <v>22</v>
      </c>
    </row>
    <row r="890">
      <c r="A890" s="20">
        <f>IFERROR(__xludf.DUMMYFUNCTION("""COMPUTED_VALUE"""),43976.0)</f>
        <v>43976</v>
      </c>
      <c r="B890" s="18" t="str">
        <f>IFERROR(__xludf.DUMMYFUNCTION("""COMPUTED_VALUE"""),"Новосибирск")</f>
        <v>Новосибирск</v>
      </c>
      <c r="C890" s="18">
        <f>IFERROR(__xludf.DUMMYFUNCTION("""COMPUTED_VALUE"""),18.0)</f>
        <v>18</v>
      </c>
      <c r="D890" s="18">
        <f>IFERROR(__xludf.DUMMYFUNCTION("""COMPUTED_VALUE"""),989.0)</f>
        <v>989</v>
      </c>
      <c r="E890" s="18">
        <f>IFERROR(__xludf.DUMMYFUNCTION("""COMPUTED_VALUE"""),887.0)</f>
        <v>887</v>
      </c>
      <c r="G890" s="18">
        <f t="shared" si="1"/>
        <v>22</v>
      </c>
    </row>
    <row r="891">
      <c r="A891" s="20">
        <f>IFERROR(__xludf.DUMMYFUNCTION("""COMPUTED_VALUE"""),43976.0)</f>
        <v>43976</v>
      </c>
      <c r="B891" s="18" t="str">
        <f>IFERROR(__xludf.DUMMYFUNCTION("""COMPUTED_VALUE"""),"Пермь")</f>
        <v>Пермь</v>
      </c>
      <c r="C891" s="18">
        <f>IFERROR(__xludf.DUMMYFUNCTION("""COMPUTED_VALUE"""),17.0)</f>
        <v>17</v>
      </c>
      <c r="D891" s="18">
        <f>IFERROR(__xludf.DUMMYFUNCTION("""COMPUTED_VALUE"""),1142.0)</f>
        <v>1142</v>
      </c>
      <c r="E891" s="18">
        <f>IFERROR(__xludf.DUMMYFUNCTION("""COMPUTED_VALUE"""),1020.0)</f>
        <v>1020</v>
      </c>
      <c r="G891" s="18">
        <f t="shared" si="1"/>
        <v>22</v>
      </c>
    </row>
    <row r="892">
      <c r="A892" s="20">
        <f>IFERROR(__xludf.DUMMYFUNCTION("""COMPUTED_VALUE"""),43976.0)</f>
        <v>43976</v>
      </c>
      <c r="B892" s="18" t="str">
        <f>IFERROR(__xludf.DUMMYFUNCTION("""COMPUTED_VALUE"""),"Ростов-на-Дону")</f>
        <v>Ростов-на-Дону</v>
      </c>
      <c r="C892" s="18">
        <f>IFERROR(__xludf.DUMMYFUNCTION("""COMPUTED_VALUE"""),15.0)</f>
        <v>15</v>
      </c>
      <c r="D892" s="18">
        <f>IFERROR(__xludf.DUMMYFUNCTION("""COMPUTED_VALUE"""),835.0)</f>
        <v>835</v>
      </c>
      <c r="E892" s="18">
        <f>IFERROR(__xludf.DUMMYFUNCTION("""COMPUTED_VALUE"""),736.0)</f>
        <v>736</v>
      </c>
      <c r="G892" s="18">
        <f t="shared" si="1"/>
        <v>22</v>
      </c>
    </row>
    <row r="893">
      <c r="A893" s="20">
        <f>IFERROR(__xludf.DUMMYFUNCTION("""COMPUTED_VALUE"""),43976.0)</f>
        <v>43976</v>
      </c>
      <c r="B893" s="18" t="str">
        <f>IFERROR(__xludf.DUMMYFUNCTION("""COMPUTED_VALUE"""),"Санкт-Петербург Север")</f>
        <v>Санкт-Петербург Север</v>
      </c>
      <c r="C893" s="18">
        <f>IFERROR(__xludf.DUMMYFUNCTION("""COMPUTED_VALUE"""),124.0)</f>
        <v>124</v>
      </c>
      <c r="D893" s="18">
        <f>IFERROR(__xludf.DUMMYFUNCTION("""COMPUTED_VALUE"""),20358.0)</f>
        <v>20358</v>
      </c>
      <c r="E893" s="18">
        <f>IFERROR(__xludf.DUMMYFUNCTION("""COMPUTED_VALUE"""),18890.0)</f>
        <v>18890</v>
      </c>
      <c r="G893" s="18">
        <f t="shared" si="1"/>
        <v>22</v>
      </c>
    </row>
    <row r="894">
      <c r="A894" s="20">
        <f>IFERROR(__xludf.DUMMYFUNCTION("""COMPUTED_VALUE"""),43976.0)</f>
        <v>43976</v>
      </c>
      <c r="B894" s="18" t="str">
        <f>IFERROR(__xludf.DUMMYFUNCTION("""COMPUTED_VALUE"""),"Санкт-Петербург Юг")</f>
        <v>Санкт-Петербург Юг</v>
      </c>
      <c r="C894" s="18">
        <f>IFERROR(__xludf.DUMMYFUNCTION("""COMPUTED_VALUE"""),129.0)</f>
        <v>129</v>
      </c>
      <c r="D894" s="18">
        <f>IFERROR(__xludf.DUMMYFUNCTION("""COMPUTED_VALUE"""),15822.0)</f>
        <v>15822</v>
      </c>
      <c r="E894" s="18">
        <f>IFERROR(__xludf.DUMMYFUNCTION("""COMPUTED_VALUE"""),14753.0)</f>
        <v>14753</v>
      </c>
      <c r="G894" s="18">
        <f t="shared" si="1"/>
        <v>22</v>
      </c>
    </row>
    <row r="895">
      <c r="A895" s="20">
        <f>IFERROR(__xludf.DUMMYFUNCTION("""COMPUTED_VALUE"""),43976.0)</f>
        <v>43976</v>
      </c>
      <c r="B895" s="18" t="str">
        <f>IFERROR(__xludf.DUMMYFUNCTION("""COMPUTED_VALUE"""),"Тольятти")</f>
        <v>Тольятти</v>
      </c>
      <c r="C895" s="18">
        <f>IFERROR(__xludf.DUMMYFUNCTION("""COMPUTED_VALUE"""),10.0)</f>
        <v>10</v>
      </c>
      <c r="D895" s="18">
        <f>IFERROR(__xludf.DUMMYFUNCTION("""COMPUTED_VALUE"""),739.0)</f>
        <v>739</v>
      </c>
      <c r="E895" s="18">
        <f>IFERROR(__xludf.DUMMYFUNCTION("""COMPUTED_VALUE"""),642.0)</f>
        <v>642</v>
      </c>
      <c r="G895" s="18">
        <f t="shared" si="1"/>
        <v>22</v>
      </c>
    </row>
    <row r="896">
      <c r="A896" s="20">
        <f>IFERROR(__xludf.DUMMYFUNCTION("""COMPUTED_VALUE"""),43977.0)</f>
        <v>43977</v>
      </c>
      <c r="B896" s="18" t="str">
        <f>IFERROR(__xludf.DUMMYFUNCTION("""COMPUTED_VALUE"""),"Волгоград")</f>
        <v>Волгоград</v>
      </c>
      <c r="C896" s="18">
        <f>IFERROR(__xludf.DUMMYFUNCTION("""COMPUTED_VALUE"""),36.0)</f>
        <v>36</v>
      </c>
      <c r="D896" s="18">
        <f>IFERROR(__xludf.DUMMYFUNCTION("""COMPUTED_VALUE"""),4770.0)</f>
        <v>4770</v>
      </c>
      <c r="E896" s="18">
        <f>IFERROR(__xludf.DUMMYFUNCTION("""COMPUTED_VALUE"""),4424.0)</f>
        <v>4424</v>
      </c>
      <c r="G896" s="18">
        <f t="shared" si="1"/>
        <v>22</v>
      </c>
    </row>
    <row r="897">
      <c r="A897" s="20">
        <f>IFERROR(__xludf.DUMMYFUNCTION("""COMPUTED_VALUE"""),43977.0)</f>
        <v>43977</v>
      </c>
      <c r="B897" s="18" t="str">
        <f>IFERROR(__xludf.DUMMYFUNCTION("""COMPUTED_VALUE"""),"Екатеринбург")</f>
        <v>Екатеринбург</v>
      </c>
      <c r="C897" s="18">
        <f>IFERROR(__xludf.DUMMYFUNCTION("""COMPUTED_VALUE"""),31.0)</f>
        <v>31</v>
      </c>
      <c r="D897" s="18">
        <f>IFERROR(__xludf.DUMMYFUNCTION("""COMPUTED_VALUE"""),5493.0)</f>
        <v>5493</v>
      </c>
      <c r="E897" s="18">
        <f>IFERROR(__xludf.DUMMYFUNCTION("""COMPUTED_VALUE"""),5119.0)</f>
        <v>5119</v>
      </c>
      <c r="G897" s="18">
        <f t="shared" si="1"/>
        <v>22</v>
      </c>
    </row>
    <row r="898">
      <c r="A898" s="20">
        <f>IFERROR(__xludf.DUMMYFUNCTION("""COMPUTED_VALUE"""),43977.0)</f>
        <v>43977</v>
      </c>
      <c r="B898" s="18" t="str">
        <f>IFERROR(__xludf.DUMMYFUNCTION("""COMPUTED_VALUE"""),"Казань")</f>
        <v>Казань</v>
      </c>
      <c r="C898" s="18">
        <f>IFERROR(__xludf.DUMMYFUNCTION("""COMPUTED_VALUE"""),21.0)</f>
        <v>21</v>
      </c>
      <c r="D898" s="18">
        <f>IFERROR(__xludf.DUMMYFUNCTION("""COMPUTED_VALUE"""),2418.0)</f>
        <v>2418</v>
      </c>
      <c r="E898" s="18">
        <f>IFERROR(__xludf.DUMMYFUNCTION("""COMPUTED_VALUE"""),2215.0)</f>
        <v>2215</v>
      </c>
      <c r="G898" s="18">
        <f t="shared" si="1"/>
        <v>22</v>
      </c>
    </row>
    <row r="899">
      <c r="A899" s="20">
        <f>IFERROR(__xludf.DUMMYFUNCTION("""COMPUTED_VALUE"""),43977.0)</f>
        <v>43977</v>
      </c>
      <c r="B899" s="18" t="str">
        <f>IFERROR(__xludf.DUMMYFUNCTION("""COMPUTED_VALUE"""),"Кемерово")</f>
        <v>Кемерово</v>
      </c>
      <c r="C899" s="18">
        <f>IFERROR(__xludf.DUMMYFUNCTION("""COMPUTED_VALUE"""),20.0)</f>
        <v>20</v>
      </c>
      <c r="D899" s="18">
        <f>IFERROR(__xludf.DUMMYFUNCTION("""COMPUTED_VALUE"""),2044.0)</f>
        <v>2044</v>
      </c>
      <c r="E899" s="18">
        <f>IFERROR(__xludf.DUMMYFUNCTION("""COMPUTED_VALUE"""),1863.0)</f>
        <v>1863</v>
      </c>
      <c r="G899" s="18">
        <f t="shared" si="1"/>
        <v>22</v>
      </c>
    </row>
    <row r="900">
      <c r="A900" s="20">
        <f>IFERROR(__xludf.DUMMYFUNCTION("""COMPUTED_VALUE"""),43977.0)</f>
        <v>43977</v>
      </c>
      <c r="B900" s="18" t="str">
        <f>IFERROR(__xludf.DUMMYFUNCTION("""COMPUTED_VALUE"""),"Краснодар")</f>
        <v>Краснодар</v>
      </c>
      <c r="C900" s="18">
        <f>IFERROR(__xludf.DUMMYFUNCTION("""COMPUTED_VALUE"""),20.0)</f>
        <v>20</v>
      </c>
      <c r="D900" s="18">
        <f>IFERROR(__xludf.DUMMYFUNCTION("""COMPUTED_VALUE"""),1814.0)</f>
        <v>1814</v>
      </c>
      <c r="E900" s="18">
        <f>IFERROR(__xludf.DUMMYFUNCTION("""COMPUTED_VALUE"""),1655.0)</f>
        <v>1655</v>
      </c>
      <c r="G900" s="18">
        <f t="shared" si="1"/>
        <v>22</v>
      </c>
    </row>
    <row r="901">
      <c r="A901" s="20">
        <f>IFERROR(__xludf.DUMMYFUNCTION("""COMPUTED_VALUE"""),43977.0)</f>
        <v>43977</v>
      </c>
      <c r="B901" s="18" t="str">
        <f>IFERROR(__xludf.DUMMYFUNCTION("""COMPUTED_VALUE"""),"Москва Восток")</f>
        <v>Москва Восток</v>
      </c>
      <c r="C901" s="18">
        <f>IFERROR(__xludf.DUMMYFUNCTION("""COMPUTED_VALUE"""),54.0)</f>
        <v>54</v>
      </c>
      <c r="D901" s="18">
        <f>IFERROR(__xludf.DUMMYFUNCTION("""COMPUTED_VALUE"""),14482.0)</f>
        <v>14482</v>
      </c>
      <c r="E901" s="18">
        <f>IFERROR(__xludf.DUMMYFUNCTION("""COMPUTED_VALUE"""),13510.0)</f>
        <v>13510</v>
      </c>
      <c r="G901" s="18">
        <f t="shared" si="1"/>
        <v>22</v>
      </c>
    </row>
    <row r="902">
      <c r="A902" s="20">
        <f>IFERROR(__xludf.DUMMYFUNCTION("""COMPUTED_VALUE"""),43977.0)</f>
        <v>43977</v>
      </c>
      <c r="B902" s="18" t="str">
        <f>IFERROR(__xludf.DUMMYFUNCTION("""COMPUTED_VALUE"""),"Москва Запад")</f>
        <v>Москва Запад</v>
      </c>
      <c r="C902" s="18">
        <f>IFERROR(__xludf.DUMMYFUNCTION("""COMPUTED_VALUE"""),59.0)</f>
        <v>59</v>
      </c>
      <c r="D902" s="18">
        <f>IFERROR(__xludf.DUMMYFUNCTION("""COMPUTED_VALUE"""),15369.0)</f>
        <v>15369</v>
      </c>
      <c r="E902" s="18">
        <f>IFERROR(__xludf.DUMMYFUNCTION("""COMPUTED_VALUE"""),14299.0)</f>
        <v>14299</v>
      </c>
      <c r="G902" s="18">
        <f t="shared" si="1"/>
        <v>22</v>
      </c>
    </row>
    <row r="903">
      <c r="A903" s="20">
        <f>IFERROR(__xludf.DUMMYFUNCTION("""COMPUTED_VALUE"""),43977.0)</f>
        <v>43977</v>
      </c>
      <c r="B903" s="18" t="str">
        <f>IFERROR(__xludf.DUMMYFUNCTION("""COMPUTED_VALUE"""),"Нижний Новгород")</f>
        <v>Нижний Новгород</v>
      </c>
      <c r="C903" s="18">
        <f>IFERROR(__xludf.DUMMYFUNCTION("""COMPUTED_VALUE"""),20.0)</f>
        <v>20</v>
      </c>
      <c r="D903" s="18">
        <f>IFERROR(__xludf.DUMMYFUNCTION("""COMPUTED_VALUE"""),2036.0)</f>
        <v>2036</v>
      </c>
      <c r="E903" s="18">
        <f>IFERROR(__xludf.DUMMYFUNCTION("""COMPUTED_VALUE"""),1790.0)</f>
        <v>1790</v>
      </c>
      <c r="G903" s="18">
        <f t="shared" si="1"/>
        <v>22</v>
      </c>
    </row>
    <row r="904">
      <c r="A904" s="20">
        <f>IFERROR(__xludf.DUMMYFUNCTION("""COMPUTED_VALUE"""),43977.0)</f>
        <v>43977</v>
      </c>
      <c r="B904" s="18" t="str">
        <f>IFERROR(__xludf.DUMMYFUNCTION("""COMPUTED_VALUE"""),"Новосибирск")</f>
        <v>Новосибирск</v>
      </c>
      <c r="C904" s="18">
        <f>IFERROR(__xludf.DUMMYFUNCTION("""COMPUTED_VALUE"""),18.0)</f>
        <v>18</v>
      </c>
      <c r="D904" s="18">
        <f>IFERROR(__xludf.DUMMYFUNCTION("""COMPUTED_VALUE"""),914.0)</f>
        <v>914</v>
      </c>
      <c r="E904" s="18">
        <f>IFERROR(__xludf.DUMMYFUNCTION("""COMPUTED_VALUE"""),804.0)</f>
        <v>804</v>
      </c>
      <c r="G904" s="18">
        <f t="shared" si="1"/>
        <v>22</v>
      </c>
    </row>
    <row r="905">
      <c r="A905" s="20">
        <f>IFERROR(__xludf.DUMMYFUNCTION("""COMPUTED_VALUE"""),43977.0)</f>
        <v>43977</v>
      </c>
      <c r="B905" s="18" t="str">
        <f>IFERROR(__xludf.DUMMYFUNCTION("""COMPUTED_VALUE"""),"Пермь")</f>
        <v>Пермь</v>
      </c>
      <c r="C905" s="18">
        <f>IFERROR(__xludf.DUMMYFUNCTION("""COMPUTED_VALUE"""),17.0)</f>
        <v>17</v>
      </c>
      <c r="D905" s="18">
        <f>IFERROR(__xludf.DUMMYFUNCTION("""COMPUTED_VALUE"""),1140.0)</f>
        <v>1140</v>
      </c>
      <c r="E905" s="18">
        <f>IFERROR(__xludf.DUMMYFUNCTION("""COMPUTED_VALUE"""),1016.0)</f>
        <v>1016</v>
      </c>
      <c r="G905" s="18">
        <f t="shared" si="1"/>
        <v>22</v>
      </c>
    </row>
    <row r="906">
      <c r="A906" s="20">
        <f>IFERROR(__xludf.DUMMYFUNCTION("""COMPUTED_VALUE"""),43977.0)</f>
        <v>43977</v>
      </c>
      <c r="B906" s="18" t="str">
        <f>IFERROR(__xludf.DUMMYFUNCTION("""COMPUTED_VALUE"""),"Ростов-на-Дону")</f>
        <v>Ростов-на-Дону</v>
      </c>
      <c r="C906" s="18">
        <f>IFERROR(__xludf.DUMMYFUNCTION("""COMPUTED_VALUE"""),15.0)</f>
        <v>15</v>
      </c>
      <c r="D906" s="18">
        <f>IFERROR(__xludf.DUMMYFUNCTION("""COMPUTED_VALUE"""),812.0)</f>
        <v>812</v>
      </c>
      <c r="E906" s="18">
        <f>IFERROR(__xludf.DUMMYFUNCTION("""COMPUTED_VALUE"""),711.0)</f>
        <v>711</v>
      </c>
      <c r="G906" s="18">
        <f t="shared" si="1"/>
        <v>22</v>
      </c>
    </row>
    <row r="907">
      <c r="A907" s="20">
        <f>IFERROR(__xludf.DUMMYFUNCTION("""COMPUTED_VALUE"""),43977.0)</f>
        <v>43977</v>
      </c>
      <c r="B907" s="18" t="str">
        <f>IFERROR(__xludf.DUMMYFUNCTION("""COMPUTED_VALUE"""),"Санкт-Петербург Север")</f>
        <v>Санкт-Петербург Север</v>
      </c>
      <c r="C907" s="18">
        <f>IFERROR(__xludf.DUMMYFUNCTION("""COMPUTED_VALUE"""),124.0)</f>
        <v>124</v>
      </c>
      <c r="D907" s="18">
        <f>IFERROR(__xludf.DUMMYFUNCTION("""COMPUTED_VALUE"""),21153.0)</f>
        <v>21153</v>
      </c>
      <c r="E907" s="18">
        <f>IFERROR(__xludf.DUMMYFUNCTION("""COMPUTED_VALUE"""),19673.0)</f>
        <v>19673</v>
      </c>
      <c r="G907" s="18">
        <f t="shared" si="1"/>
        <v>22</v>
      </c>
    </row>
    <row r="908">
      <c r="A908" s="20">
        <f>IFERROR(__xludf.DUMMYFUNCTION("""COMPUTED_VALUE"""),43977.0)</f>
        <v>43977</v>
      </c>
      <c r="B908" s="18" t="str">
        <f>IFERROR(__xludf.DUMMYFUNCTION("""COMPUTED_VALUE"""),"Санкт-Петербург Юг")</f>
        <v>Санкт-Петербург Юг</v>
      </c>
      <c r="C908" s="18">
        <f>IFERROR(__xludf.DUMMYFUNCTION("""COMPUTED_VALUE"""),129.0)</f>
        <v>129</v>
      </c>
      <c r="D908" s="18">
        <f>IFERROR(__xludf.DUMMYFUNCTION("""COMPUTED_VALUE"""),16459.0)</f>
        <v>16459</v>
      </c>
      <c r="E908" s="18">
        <f>IFERROR(__xludf.DUMMYFUNCTION("""COMPUTED_VALUE"""),15355.0)</f>
        <v>15355</v>
      </c>
      <c r="G908" s="18">
        <f t="shared" si="1"/>
        <v>22</v>
      </c>
    </row>
    <row r="909">
      <c r="A909" s="20">
        <f>IFERROR(__xludf.DUMMYFUNCTION("""COMPUTED_VALUE"""),43977.0)</f>
        <v>43977</v>
      </c>
      <c r="B909" s="18" t="str">
        <f>IFERROR(__xludf.DUMMYFUNCTION("""COMPUTED_VALUE"""),"Тольятти")</f>
        <v>Тольятти</v>
      </c>
      <c r="C909" s="18">
        <f>IFERROR(__xludf.DUMMYFUNCTION("""COMPUTED_VALUE"""),10.0)</f>
        <v>10</v>
      </c>
      <c r="D909" s="18">
        <f>IFERROR(__xludf.DUMMYFUNCTION("""COMPUTED_VALUE"""),692.0)</f>
        <v>692</v>
      </c>
      <c r="E909" s="18">
        <f>IFERROR(__xludf.DUMMYFUNCTION("""COMPUTED_VALUE"""),601.0)</f>
        <v>601</v>
      </c>
      <c r="G909" s="18">
        <f t="shared" si="1"/>
        <v>22</v>
      </c>
    </row>
    <row r="910">
      <c r="A910" s="20">
        <f>IFERROR(__xludf.DUMMYFUNCTION("""COMPUTED_VALUE"""),43977.0)</f>
        <v>43977</v>
      </c>
      <c r="B910" s="18" t="str">
        <f>IFERROR(__xludf.DUMMYFUNCTION("""COMPUTED_VALUE"""),"Тюмень")</f>
        <v>Тюмень</v>
      </c>
      <c r="C910" s="18">
        <f>IFERROR(__xludf.DUMMYFUNCTION("""COMPUTED_VALUE"""),7.0)</f>
        <v>7</v>
      </c>
      <c r="D910" s="18">
        <f>IFERROR(__xludf.DUMMYFUNCTION("""COMPUTED_VALUE"""),577.0)</f>
        <v>577</v>
      </c>
      <c r="E910" s="18">
        <f>IFERROR(__xludf.DUMMYFUNCTION("""COMPUTED_VALUE"""),389.0)</f>
        <v>389</v>
      </c>
      <c r="G910" s="18">
        <f t="shared" si="1"/>
        <v>22</v>
      </c>
    </row>
    <row r="911">
      <c r="A911" s="20">
        <f>IFERROR(__xludf.DUMMYFUNCTION("""COMPUTED_VALUE"""),43978.0)</f>
        <v>43978</v>
      </c>
      <c r="B911" s="18" t="str">
        <f>IFERROR(__xludf.DUMMYFUNCTION("""COMPUTED_VALUE"""),"Волгоград")</f>
        <v>Волгоград</v>
      </c>
      <c r="C911" s="18">
        <f>IFERROR(__xludf.DUMMYFUNCTION("""COMPUTED_VALUE"""),36.0)</f>
        <v>36</v>
      </c>
      <c r="D911" s="18">
        <f>IFERROR(__xludf.DUMMYFUNCTION("""COMPUTED_VALUE"""),4951.0)</f>
        <v>4951</v>
      </c>
      <c r="E911" s="18">
        <f>IFERROR(__xludf.DUMMYFUNCTION("""COMPUTED_VALUE"""),4584.0)</f>
        <v>4584</v>
      </c>
      <c r="G911" s="18">
        <f t="shared" si="1"/>
        <v>22</v>
      </c>
    </row>
    <row r="912">
      <c r="A912" s="20">
        <f>IFERROR(__xludf.DUMMYFUNCTION("""COMPUTED_VALUE"""),43978.0)</f>
        <v>43978</v>
      </c>
      <c r="B912" s="18" t="str">
        <f>IFERROR(__xludf.DUMMYFUNCTION("""COMPUTED_VALUE"""),"Екатеринбург")</f>
        <v>Екатеринбург</v>
      </c>
      <c r="C912" s="18">
        <f>IFERROR(__xludf.DUMMYFUNCTION("""COMPUTED_VALUE"""),31.0)</f>
        <v>31</v>
      </c>
      <c r="D912" s="18">
        <f>IFERROR(__xludf.DUMMYFUNCTION("""COMPUTED_VALUE"""),5330.0)</f>
        <v>5330</v>
      </c>
      <c r="E912" s="18">
        <f>IFERROR(__xludf.DUMMYFUNCTION("""COMPUTED_VALUE"""),4977.0)</f>
        <v>4977</v>
      </c>
      <c r="G912" s="18">
        <f t="shared" si="1"/>
        <v>22</v>
      </c>
    </row>
    <row r="913">
      <c r="A913" s="20">
        <f>IFERROR(__xludf.DUMMYFUNCTION("""COMPUTED_VALUE"""),43978.0)</f>
        <v>43978</v>
      </c>
      <c r="B913" s="18" t="str">
        <f>IFERROR(__xludf.DUMMYFUNCTION("""COMPUTED_VALUE"""),"Казань")</f>
        <v>Казань</v>
      </c>
      <c r="C913" s="18">
        <f>IFERROR(__xludf.DUMMYFUNCTION("""COMPUTED_VALUE"""),21.0)</f>
        <v>21</v>
      </c>
      <c r="D913" s="18">
        <f>IFERROR(__xludf.DUMMYFUNCTION("""COMPUTED_VALUE"""),2430.0)</f>
        <v>2430</v>
      </c>
      <c r="E913" s="18">
        <f>IFERROR(__xludf.DUMMYFUNCTION("""COMPUTED_VALUE"""),2216.0)</f>
        <v>2216</v>
      </c>
      <c r="G913" s="18">
        <f t="shared" si="1"/>
        <v>22</v>
      </c>
    </row>
    <row r="914">
      <c r="A914" s="20">
        <f>IFERROR(__xludf.DUMMYFUNCTION("""COMPUTED_VALUE"""),43978.0)</f>
        <v>43978</v>
      </c>
      <c r="B914" s="18" t="str">
        <f>IFERROR(__xludf.DUMMYFUNCTION("""COMPUTED_VALUE"""),"Кемерово")</f>
        <v>Кемерово</v>
      </c>
      <c r="C914" s="18">
        <f>IFERROR(__xludf.DUMMYFUNCTION("""COMPUTED_VALUE"""),20.0)</f>
        <v>20</v>
      </c>
      <c r="D914" s="18">
        <f>IFERROR(__xludf.DUMMYFUNCTION("""COMPUTED_VALUE"""),2079.0)</f>
        <v>2079</v>
      </c>
      <c r="E914" s="18">
        <f>IFERROR(__xludf.DUMMYFUNCTION("""COMPUTED_VALUE"""),1893.0)</f>
        <v>1893</v>
      </c>
      <c r="G914" s="18">
        <f t="shared" si="1"/>
        <v>22</v>
      </c>
    </row>
    <row r="915">
      <c r="A915" s="20">
        <f>IFERROR(__xludf.DUMMYFUNCTION("""COMPUTED_VALUE"""),43978.0)</f>
        <v>43978</v>
      </c>
      <c r="B915" s="18" t="str">
        <f>IFERROR(__xludf.DUMMYFUNCTION("""COMPUTED_VALUE"""),"Краснодар")</f>
        <v>Краснодар</v>
      </c>
      <c r="C915" s="18">
        <f>IFERROR(__xludf.DUMMYFUNCTION("""COMPUTED_VALUE"""),20.0)</f>
        <v>20</v>
      </c>
      <c r="D915" s="18">
        <f>IFERROR(__xludf.DUMMYFUNCTION("""COMPUTED_VALUE"""),1873.0)</f>
        <v>1873</v>
      </c>
      <c r="E915" s="18">
        <f>IFERROR(__xludf.DUMMYFUNCTION("""COMPUTED_VALUE"""),1715.0)</f>
        <v>1715</v>
      </c>
      <c r="G915" s="18">
        <f t="shared" si="1"/>
        <v>22</v>
      </c>
    </row>
    <row r="916">
      <c r="A916" s="20">
        <f>IFERROR(__xludf.DUMMYFUNCTION("""COMPUTED_VALUE"""),43978.0)</f>
        <v>43978</v>
      </c>
      <c r="B916" s="18" t="str">
        <f>IFERROR(__xludf.DUMMYFUNCTION("""COMPUTED_VALUE"""),"Москва Восток")</f>
        <v>Москва Восток</v>
      </c>
      <c r="C916" s="18">
        <f>IFERROR(__xludf.DUMMYFUNCTION("""COMPUTED_VALUE"""),54.0)</f>
        <v>54</v>
      </c>
      <c r="D916" s="18">
        <f>IFERROR(__xludf.DUMMYFUNCTION("""COMPUTED_VALUE"""),13091.0)</f>
        <v>13091</v>
      </c>
      <c r="E916" s="18">
        <f>IFERROR(__xludf.DUMMYFUNCTION("""COMPUTED_VALUE"""),12216.0)</f>
        <v>12216</v>
      </c>
      <c r="G916" s="18">
        <f t="shared" si="1"/>
        <v>22</v>
      </c>
    </row>
    <row r="917">
      <c r="A917" s="20">
        <f>IFERROR(__xludf.DUMMYFUNCTION("""COMPUTED_VALUE"""),43978.0)</f>
        <v>43978</v>
      </c>
      <c r="B917" s="18" t="str">
        <f>IFERROR(__xludf.DUMMYFUNCTION("""COMPUTED_VALUE"""),"Москва Запад")</f>
        <v>Москва Запад</v>
      </c>
      <c r="C917" s="18">
        <f>IFERROR(__xludf.DUMMYFUNCTION("""COMPUTED_VALUE"""),59.0)</f>
        <v>59</v>
      </c>
      <c r="D917" s="18">
        <f>IFERROR(__xludf.DUMMYFUNCTION("""COMPUTED_VALUE"""),13942.0)</f>
        <v>13942</v>
      </c>
      <c r="E917" s="18">
        <f>IFERROR(__xludf.DUMMYFUNCTION("""COMPUTED_VALUE"""),12986.0)</f>
        <v>12986</v>
      </c>
      <c r="G917" s="18">
        <f t="shared" si="1"/>
        <v>22</v>
      </c>
    </row>
    <row r="918">
      <c r="A918" s="20">
        <f>IFERROR(__xludf.DUMMYFUNCTION("""COMPUTED_VALUE"""),43978.0)</f>
        <v>43978</v>
      </c>
      <c r="B918" s="18" t="str">
        <f>IFERROR(__xludf.DUMMYFUNCTION("""COMPUTED_VALUE"""),"Нижний Новгород")</f>
        <v>Нижний Новгород</v>
      </c>
      <c r="C918" s="18">
        <f>IFERROR(__xludf.DUMMYFUNCTION("""COMPUTED_VALUE"""),20.0)</f>
        <v>20</v>
      </c>
      <c r="D918" s="18">
        <f>IFERROR(__xludf.DUMMYFUNCTION("""COMPUTED_VALUE"""),2079.0)</f>
        <v>2079</v>
      </c>
      <c r="E918" s="18">
        <f>IFERROR(__xludf.DUMMYFUNCTION("""COMPUTED_VALUE"""),1856.0)</f>
        <v>1856</v>
      </c>
      <c r="G918" s="18">
        <f t="shared" si="1"/>
        <v>22</v>
      </c>
    </row>
    <row r="919">
      <c r="A919" s="20">
        <f>IFERROR(__xludf.DUMMYFUNCTION("""COMPUTED_VALUE"""),43978.0)</f>
        <v>43978</v>
      </c>
      <c r="B919" s="18" t="str">
        <f>IFERROR(__xludf.DUMMYFUNCTION("""COMPUTED_VALUE"""),"Новосибирск")</f>
        <v>Новосибирск</v>
      </c>
      <c r="C919" s="18">
        <f>IFERROR(__xludf.DUMMYFUNCTION("""COMPUTED_VALUE"""),18.0)</f>
        <v>18</v>
      </c>
      <c r="D919" s="18">
        <f>IFERROR(__xludf.DUMMYFUNCTION("""COMPUTED_VALUE"""),962.0)</f>
        <v>962</v>
      </c>
      <c r="E919" s="18">
        <f>IFERROR(__xludf.DUMMYFUNCTION("""COMPUTED_VALUE"""),859.0)</f>
        <v>859</v>
      </c>
      <c r="G919" s="18">
        <f t="shared" si="1"/>
        <v>22</v>
      </c>
    </row>
    <row r="920">
      <c r="A920" s="20">
        <f>IFERROR(__xludf.DUMMYFUNCTION("""COMPUTED_VALUE"""),43978.0)</f>
        <v>43978</v>
      </c>
      <c r="B920" s="18" t="str">
        <f>IFERROR(__xludf.DUMMYFUNCTION("""COMPUTED_VALUE"""),"Пермь")</f>
        <v>Пермь</v>
      </c>
      <c r="C920" s="18">
        <f>IFERROR(__xludf.DUMMYFUNCTION("""COMPUTED_VALUE"""),17.0)</f>
        <v>17</v>
      </c>
      <c r="D920" s="18">
        <f>IFERROR(__xludf.DUMMYFUNCTION("""COMPUTED_VALUE"""),1203.0)</f>
        <v>1203</v>
      </c>
      <c r="E920" s="18">
        <f>IFERROR(__xludf.DUMMYFUNCTION("""COMPUTED_VALUE"""),1077.0)</f>
        <v>1077</v>
      </c>
      <c r="G920" s="18">
        <f t="shared" si="1"/>
        <v>22</v>
      </c>
    </row>
    <row r="921">
      <c r="A921" s="20">
        <f>IFERROR(__xludf.DUMMYFUNCTION("""COMPUTED_VALUE"""),43978.0)</f>
        <v>43978</v>
      </c>
      <c r="B921" s="18" t="str">
        <f>IFERROR(__xludf.DUMMYFUNCTION("""COMPUTED_VALUE"""),"Ростов-на-Дону")</f>
        <v>Ростов-на-Дону</v>
      </c>
      <c r="C921" s="18">
        <f>IFERROR(__xludf.DUMMYFUNCTION("""COMPUTED_VALUE"""),15.0)</f>
        <v>15</v>
      </c>
      <c r="D921" s="18">
        <f>IFERROR(__xludf.DUMMYFUNCTION("""COMPUTED_VALUE"""),809.0)</f>
        <v>809</v>
      </c>
      <c r="E921" s="18">
        <f>IFERROR(__xludf.DUMMYFUNCTION("""COMPUTED_VALUE"""),702.0)</f>
        <v>702</v>
      </c>
      <c r="G921" s="18">
        <f t="shared" si="1"/>
        <v>22</v>
      </c>
    </row>
    <row r="922">
      <c r="A922" s="20">
        <f>IFERROR(__xludf.DUMMYFUNCTION("""COMPUTED_VALUE"""),43978.0)</f>
        <v>43978</v>
      </c>
      <c r="B922" s="18" t="str">
        <f>IFERROR(__xludf.DUMMYFUNCTION("""COMPUTED_VALUE"""),"Санкт-Петербург Север")</f>
        <v>Санкт-Петербург Север</v>
      </c>
      <c r="C922" s="18">
        <f>IFERROR(__xludf.DUMMYFUNCTION("""COMPUTED_VALUE"""),124.0)</f>
        <v>124</v>
      </c>
      <c r="D922" s="18">
        <f>IFERROR(__xludf.DUMMYFUNCTION("""COMPUTED_VALUE"""),21384.0)</f>
        <v>21384</v>
      </c>
      <c r="E922" s="18">
        <f>IFERROR(__xludf.DUMMYFUNCTION("""COMPUTED_VALUE"""),19897.0)</f>
        <v>19897</v>
      </c>
      <c r="G922" s="18">
        <f t="shared" si="1"/>
        <v>22</v>
      </c>
    </row>
    <row r="923">
      <c r="A923" s="20">
        <f>IFERROR(__xludf.DUMMYFUNCTION("""COMPUTED_VALUE"""),43978.0)</f>
        <v>43978</v>
      </c>
      <c r="B923" s="18" t="str">
        <f>IFERROR(__xludf.DUMMYFUNCTION("""COMPUTED_VALUE"""),"Санкт-Петербург Юг")</f>
        <v>Санкт-Петербург Юг</v>
      </c>
      <c r="C923" s="18">
        <f>IFERROR(__xludf.DUMMYFUNCTION("""COMPUTED_VALUE"""),129.0)</f>
        <v>129</v>
      </c>
      <c r="D923" s="18">
        <f>IFERROR(__xludf.DUMMYFUNCTION("""COMPUTED_VALUE"""),17115.0)</f>
        <v>17115</v>
      </c>
      <c r="E923" s="18">
        <f>IFERROR(__xludf.DUMMYFUNCTION("""COMPUTED_VALUE"""),15962.0)</f>
        <v>15962</v>
      </c>
      <c r="G923" s="18">
        <f t="shared" si="1"/>
        <v>22</v>
      </c>
    </row>
    <row r="924">
      <c r="A924" s="20">
        <f>IFERROR(__xludf.DUMMYFUNCTION("""COMPUTED_VALUE"""),43978.0)</f>
        <v>43978</v>
      </c>
      <c r="B924" s="18" t="str">
        <f>IFERROR(__xludf.DUMMYFUNCTION("""COMPUTED_VALUE"""),"Тольятти")</f>
        <v>Тольятти</v>
      </c>
      <c r="C924" s="18">
        <f>IFERROR(__xludf.DUMMYFUNCTION("""COMPUTED_VALUE"""),10.0)</f>
        <v>10</v>
      </c>
      <c r="D924" s="18">
        <f>IFERROR(__xludf.DUMMYFUNCTION("""COMPUTED_VALUE"""),757.0)</f>
        <v>757</v>
      </c>
      <c r="E924" s="18">
        <f>IFERROR(__xludf.DUMMYFUNCTION("""COMPUTED_VALUE"""),660.0)</f>
        <v>660</v>
      </c>
      <c r="G924" s="18">
        <f t="shared" si="1"/>
        <v>22</v>
      </c>
    </row>
    <row r="925">
      <c r="A925" s="20">
        <f>IFERROR(__xludf.DUMMYFUNCTION("""COMPUTED_VALUE"""),43978.0)</f>
        <v>43978</v>
      </c>
      <c r="B925" s="18" t="str">
        <f>IFERROR(__xludf.DUMMYFUNCTION("""COMPUTED_VALUE"""),"Тюмень")</f>
        <v>Тюмень</v>
      </c>
      <c r="C925" s="18">
        <f>IFERROR(__xludf.DUMMYFUNCTION("""COMPUTED_VALUE"""),7.0)</f>
        <v>7</v>
      </c>
      <c r="D925" s="18">
        <f>IFERROR(__xludf.DUMMYFUNCTION("""COMPUTED_VALUE"""),409.0)</f>
        <v>409</v>
      </c>
      <c r="E925" s="18">
        <f>IFERROR(__xludf.DUMMYFUNCTION("""COMPUTED_VALUE"""),329.0)</f>
        <v>329</v>
      </c>
      <c r="G925" s="18">
        <f t="shared" si="1"/>
        <v>22</v>
      </c>
    </row>
    <row r="926">
      <c r="A926" s="20">
        <f>IFERROR(__xludf.DUMMYFUNCTION("""COMPUTED_VALUE"""),43979.0)</f>
        <v>43979</v>
      </c>
      <c r="B926" s="18" t="str">
        <f>IFERROR(__xludf.DUMMYFUNCTION("""COMPUTED_VALUE"""),"Волгоград")</f>
        <v>Волгоград</v>
      </c>
      <c r="C926" s="18">
        <f>IFERROR(__xludf.DUMMYFUNCTION("""COMPUTED_VALUE"""),37.0)</f>
        <v>37</v>
      </c>
      <c r="D926" s="18">
        <f>IFERROR(__xludf.DUMMYFUNCTION("""COMPUTED_VALUE"""),4840.0)</f>
        <v>4840</v>
      </c>
      <c r="E926" s="18">
        <f>IFERROR(__xludf.DUMMYFUNCTION("""COMPUTED_VALUE"""),4475.0)</f>
        <v>4475</v>
      </c>
      <c r="G926" s="18">
        <f t="shared" si="1"/>
        <v>22</v>
      </c>
    </row>
    <row r="927">
      <c r="A927" s="20">
        <f>IFERROR(__xludf.DUMMYFUNCTION("""COMPUTED_VALUE"""),43979.0)</f>
        <v>43979</v>
      </c>
      <c r="B927" s="18" t="str">
        <f>IFERROR(__xludf.DUMMYFUNCTION("""COMPUTED_VALUE"""),"Екатеринбург")</f>
        <v>Екатеринбург</v>
      </c>
      <c r="C927" s="18">
        <f>IFERROR(__xludf.DUMMYFUNCTION("""COMPUTED_VALUE"""),31.0)</f>
        <v>31</v>
      </c>
      <c r="D927" s="18">
        <f>IFERROR(__xludf.DUMMYFUNCTION("""COMPUTED_VALUE"""),5355.0)</f>
        <v>5355</v>
      </c>
      <c r="E927" s="18">
        <f>IFERROR(__xludf.DUMMYFUNCTION("""COMPUTED_VALUE"""),4969.0)</f>
        <v>4969</v>
      </c>
      <c r="G927" s="18">
        <f t="shared" si="1"/>
        <v>22</v>
      </c>
    </row>
    <row r="928">
      <c r="A928" s="20">
        <f>IFERROR(__xludf.DUMMYFUNCTION("""COMPUTED_VALUE"""),43979.0)</f>
        <v>43979</v>
      </c>
      <c r="B928" s="18" t="str">
        <f>IFERROR(__xludf.DUMMYFUNCTION("""COMPUTED_VALUE"""),"Казань")</f>
        <v>Казань</v>
      </c>
      <c r="C928" s="18">
        <f>IFERROR(__xludf.DUMMYFUNCTION("""COMPUTED_VALUE"""),22.0)</f>
        <v>22</v>
      </c>
      <c r="D928" s="18">
        <f>IFERROR(__xludf.DUMMYFUNCTION("""COMPUTED_VALUE"""),2454.0)</f>
        <v>2454</v>
      </c>
      <c r="E928" s="18">
        <f>IFERROR(__xludf.DUMMYFUNCTION("""COMPUTED_VALUE"""),2239.0)</f>
        <v>2239</v>
      </c>
      <c r="G928" s="18">
        <f t="shared" si="1"/>
        <v>22</v>
      </c>
    </row>
    <row r="929">
      <c r="A929" s="20">
        <f>IFERROR(__xludf.DUMMYFUNCTION("""COMPUTED_VALUE"""),43979.0)</f>
        <v>43979</v>
      </c>
      <c r="B929" s="18" t="str">
        <f>IFERROR(__xludf.DUMMYFUNCTION("""COMPUTED_VALUE"""),"Кемерово")</f>
        <v>Кемерово</v>
      </c>
      <c r="C929" s="18">
        <f>IFERROR(__xludf.DUMMYFUNCTION("""COMPUTED_VALUE"""),20.0)</f>
        <v>20</v>
      </c>
      <c r="D929" s="18">
        <f>IFERROR(__xludf.DUMMYFUNCTION("""COMPUTED_VALUE"""),1886.0)</f>
        <v>1886</v>
      </c>
      <c r="E929" s="18">
        <f>IFERROR(__xludf.DUMMYFUNCTION("""COMPUTED_VALUE"""),1736.0)</f>
        <v>1736</v>
      </c>
      <c r="G929" s="18">
        <f t="shared" si="1"/>
        <v>22</v>
      </c>
    </row>
    <row r="930">
      <c r="A930" s="20">
        <f>IFERROR(__xludf.DUMMYFUNCTION("""COMPUTED_VALUE"""),43979.0)</f>
        <v>43979</v>
      </c>
      <c r="B930" s="18" t="str">
        <f>IFERROR(__xludf.DUMMYFUNCTION("""COMPUTED_VALUE"""),"Краснодар")</f>
        <v>Краснодар</v>
      </c>
      <c r="C930" s="18">
        <f>IFERROR(__xludf.DUMMYFUNCTION("""COMPUTED_VALUE"""),20.0)</f>
        <v>20</v>
      </c>
      <c r="D930" s="18">
        <f>IFERROR(__xludf.DUMMYFUNCTION("""COMPUTED_VALUE"""),1875.0)</f>
        <v>1875</v>
      </c>
      <c r="E930" s="18">
        <f>IFERROR(__xludf.DUMMYFUNCTION("""COMPUTED_VALUE"""),1701.0)</f>
        <v>1701</v>
      </c>
      <c r="G930" s="18">
        <f t="shared" si="1"/>
        <v>22</v>
      </c>
    </row>
    <row r="931">
      <c r="A931" s="20">
        <f>IFERROR(__xludf.DUMMYFUNCTION("""COMPUTED_VALUE"""),43979.0)</f>
        <v>43979</v>
      </c>
      <c r="B931" s="18" t="str">
        <f>IFERROR(__xludf.DUMMYFUNCTION("""COMPUTED_VALUE"""),"Москва Восток")</f>
        <v>Москва Восток</v>
      </c>
      <c r="C931" s="18">
        <f>IFERROR(__xludf.DUMMYFUNCTION("""COMPUTED_VALUE"""),54.0)</f>
        <v>54</v>
      </c>
      <c r="D931" s="18">
        <f>IFERROR(__xludf.DUMMYFUNCTION("""COMPUTED_VALUE"""),12409.0)</f>
        <v>12409</v>
      </c>
      <c r="E931" s="18">
        <f>IFERROR(__xludf.DUMMYFUNCTION("""COMPUTED_VALUE"""),11582.0)</f>
        <v>11582</v>
      </c>
      <c r="G931" s="18">
        <f t="shared" si="1"/>
        <v>22</v>
      </c>
    </row>
    <row r="932">
      <c r="A932" s="20">
        <f>IFERROR(__xludf.DUMMYFUNCTION("""COMPUTED_VALUE"""),43979.0)</f>
        <v>43979</v>
      </c>
      <c r="B932" s="18" t="str">
        <f>IFERROR(__xludf.DUMMYFUNCTION("""COMPUTED_VALUE"""),"Москва Запад")</f>
        <v>Москва Запад</v>
      </c>
      <c r="C932" s="18">
        <f>IFERROR(__xludf.DUMMYFUNCTION("""COMPUTED_VALUE"""),60.0)</f>
        <v>60</v>
      </c>
      <c r="D932" s="18">
        <f>IFERROR(__xludf.DUMMYFUNCTION("""COMPUTED_VALUE"""),12854.0)</f>
        <v>12854</v>
      </c>
      <c r="E932" s="18">
        <f>IFERROR(__xludf.DUMMYFUNCTION("""COMPUTED_VALUE"""),11954.0)</f>
        <v>11954</v>
      </c>
      <c r="G932" s="18">
        <f t="shared" si="1"/>
        <v>22</v>
      </c>
    </row>
    <row r="933">
      <c r="A933" s="20">
        <f>IFERROR(__xludf.DUMMYFUNCTION("""COMPUTED_VALUE"""),43979.0)</f>
        <v>43979</v>
      </c>
      <c r="B933" s="18" t="str">
        <f>IFERROR(__xludf.DUMMYFUNCTION("""COMPUTED_VALUE"""),"Нижний Новгород")</f>
        <v>Нижний Новгород</v>
      </c>
      <c r="C933" s="18">
        <f>IFERROR(__xludf.DUMMYFUNCTION("""COMPUTED_VALUE"""),20.0)</f>
        <v>20</v>
      </c>
      <c r="D933" s="18">
        <f>IFERROR(__xludf.DUMMYFUNCTION("""COMPUTED_VALUE"""),2088.0)</f>
        <v>2088</v>
      </c>
      <c r="E933" s="18">
        <f>IFERROR(__xludf.DUMMYFUNCTION("""COMPUTED_VALUE"""),1848.0)</f>
        <v>1848</v>
      </c>
      <c r="G933" s="18">
        <f t="shared" si="1"/>
        <v>22</v>
      </c>
    </row>
    <row r="934">
      <c r="A934" s="20">
        <f>IFERROR(__xludf.DUMMYFUNCTION("""COMPUTED_VALUE"""),43979.0)</f>
        <v>43979</v>
      </c>
      <c r="B934" s="18" t="str">
        <f>IFERROR(__xludf.DUMMYFUNCTION("""COMPUTED_VALUE"""),"Новосибирск")</f>
        <v>Новосибирск</v>
      </c>
      <c r="C934" s="18">
        <f>IFERROR(__xludf.DUMMYFUNCTION("""COMPUTED_VALUE"""),18.0)</f>
        <v>18</v>
      </c>
      <c r="D934" s="18">
        <f>IFERROR(__xludf.DUMMYFUNCTION("""COMPUTED_VALUE"""),1020.0)</f>
        <v>1020</v>
      </c>
      <c r="E934" s="18">
        <f>IFERROR(__xludf.DUMMYFUNCTION("""COMPUTED_VALUE"""),911.0)</f>
        <v>911</v>
      </c>
      <c r="G934" s="18">
        <f t="shared" si="1"/>
        <v>22</v>
      </c>
    </row>
    <row r="935">
      <c r="A935" s="20">
        <f>IFERROR(__xludf.DUMMYFUNCTION("""COMPUTED_VALUE"""),43979.0)</f>
        <v>43979</v>
      </c>
      <c r="B935" s="18" t="str">
        <f>IFERROR(__xludf.DUMMYFUNCTION("""COMPUTED_VALUE"""),"Пермь")</f>
        <v>Пермь</v>
      </c>
      <c r="C935" s="18">
        <f>IFERROR(__xludf.DUMMYFUNCTION("""COMPUTED_VALUE"""),17.0)</f>
        <v>17</v>
      </c>
      <c r="D935" s="18">
        <f>IFERROR(__xludf.DUMMYFUNCTION("""COMPUTED_VALUE"""),1097.0)</f>
        <v>1097</v>
      </c>
      <c r="E935" s="18">
        <f>IFERROR(__xludf.DUMMYFUNCTION("""COMPUTED_VALUE"""),968.0)</f>
        <v>968</v>
      </c>
      <c r="G935" s="18">
        <f t="shared" si="1"/>
        <v>22</v>
      </c>
    </row>
    <row r="936">
      <c r="A936" s="20">
        <f>IFERROR(__xludf.DUMMYFUNCTION("""COMPUTED_VALUE"""),43979.0)</f>
        <v>43979</v>
      </c>
      <c r="B936" s="18" t="str">
        <f>IFERROR(__xludf.DUMMYFUNCTION("""COMPUTED_VALUE"""),"Ростов-на-Дону")</f>
        <v>Ростов-на-Дону</v>
      </c>
      <c r="C936" s="18">
        <f>IFERROR(__xludf.DUMMYFUNCTION("""COMPUTED_VALUE"""),16.0)</f>
        <v>16</v>
      </c>
      <c r="D936" s="18">
        <f>IFERROR(__xludf.DUMMYFUNCTION("""COMPUTED_VALUE"""),876.0)</f>
        <v>876</v>
      </c>
      <c r="E936" s="18">
        <f>IFERROR(__xludf.DUMMYFUNCTION("""COMPUTED_VALUE"""),762.0)</f>
        <v>762</v>
      </c>
      <c r="G936" s="18">
        <f t="shared" si="1"/>
        <v>22</v>
      </c>
    </row>
    <row r="937">
      <c r="A937" s="20">
        <f>IFERROR(__xludf.DUMMYFUNCTION("""COMPUTED_VALUE"""),43979.0)</f>
        <v>43979</v>
      </c>
      <c r="B937" s="18" t="str">
        <f>IFERROR(__xludf.DUMMYFUNCTION("""COMPUTED_VALUE"""),"Самара")</f>
        <v>Самара</v>
      </c>
      <c r="C937" s="18">
        <f>IFERROR(__xludf.DUMMYFUNCTION("""COMPUTED_VALUE"""),15.0)</f>
        <v>15</v>
      </c>
      <c r="D937" s="18">
        <f>IFERROR(__xludf.DUMMYFUNCTION("""COMPUTED_VALUE"""),464.0)</f>
        <v>464</v>
      </c>
      <c r="E937" s="18">
        <f>IFERROR(__xludf.DUMMYFUNCTION("""COMPUTED_VALUE"""),390.0)</f>
        <v>390</v>
      </c>
      <c r="G937" s="18">
        <f t="shared" si="1"/>
        <v>22</v>
      </c>
    </row>
    <row r="938">
      <c r="A938" s="20">
        <f>IFERROR(__xludf.DUMMYFUNCTION("""COMPUTED_VALUE"""),43979.0)</f>
        <v>43979</v>
      </c>
      <c r="B938" s="18" t="str">
        <f>IFERROR(__xludf.DUMMYFUNCTION("""COMPUTED_VALUE"""),"Санкт-Петербург Север")</f>
        <v>Санкт-Петербург Север</v>
      </c>
      <c r="C938" s="18">
        <f>IFERROR(__xludf.DUMMYFUNCTION("""COMPUTED_VALUE"""),124.0)</f>
        <v>124</v>
      </c>
      <c r="D938" s="18">
        <f>IFERROR(__xludf.DUMMYFUNCTION("""COMPUTED_VALUE"""),20868.0)</f>
        <v>20868</v>
      </c>
      <c r="E938" s="18">
        <f>IFERROR(__xludf.DUMMYFUNCTION("""COMPUTED_VALUE"""),19342.0)</f>
        <v>19342</v>
      </c>
      <c r="G938" s="18">
        <f t="shared" si="1"/>
        <v>22</v>
      </c>
    </row>
    <row r="939">
      <c r="A939" s="20">
        <f>IFERROR(__xludf.DUMMYFUNCTION("""COMPUTED_VALUE"""),43979.0)</f>
        <v>43979</v>
      </c>
      <c r="B939" s="18" t="str">
        <f>IFERROR(__xludf.DUMMYFUNCTION("""COMPUTED_VALUE"""),"Санкт-Петербург Юг")</f>
        <v>Санкт-Петербург Юг</v>
      </c>
      <c r="C939" s="18">
        <f>IFERROR(__xludf.DUMMYFUNCTION("""COMPUTED_VALUE"""),129.0)</f>
        <v>129</v>
      </c>
      <c r="D939" s="18">
        <f>IFERROR(__xludf.DUMMYFUNCTION("""COMPUTED_VALUE"""),16453.0)</f>
        <v>16453</v>
      </c>
      <c r="E939" s="18">
        <f>IFERROR(__xludf.DUMMYFUNCTION("""COMPUTED_VALUE"""),15289.0)</f>
        <v>15289</v>
      </c>
      <c r="G939" s="18">
        <f t="shared" si="1"/>
        <v>22</v>
      </c>
    </row>
    <row r="940">
      <c r="A940" s="20">
        <f>IFERROR(__xludf.DUMMYFUNCTION("""COMPUTED_VALUE"""),43979.0)</f>
        <v>43979</v>
      </c>
      <c r="B940" s="18" t="str">
        <f>IFERROR(__xludf.DUMMYFUNCTION("""COMPUTED_VALUE"""),"Тольятти")</f>
        <v>Тольятти</v>
      </c>
      <c r="C940" s="18">
        <f>IFERROR(__xludf.DUMMYFUNCTION("""COMPUTED_VALUE"""),10.0)</f>
        <v>10</v>
      </c>
      <c r="D940" s="18">
        <f>IFERROR(__xludf.DUMMYFUNCTION("""COMPUTED_VALUE"""),791.0)</f>
        <v>791</v>
      </c>
      <c r="E940" s="18">
        <f>IFERROR(__xludf.DUMMYFUNCTION("""COMPUTED_VALUE"""),697.0)</f>
        <v>697</v>
      </c>
      <c r="G940" s="18">
        <f t="shared" si="1"/>
        <v>22</v>
      </c>
    </row>
    <row r="941">
      <c r="A941" s="20">
        <f>IFERROR(__xludf.DUMMYFUNCTION("""COMPUTED_VALUE"""),43979.0)</f>
        <v>43979</v>
      </c>
      <c r="B941" s="18" t="str">
        <f>IFERROR(__xludf.DUMMYFUNCTION("""COMPUTED_VALUE"""),"Тюмень")</f>
        <v>Тюмень</v>
      </c>
      <c r="C941" s="18">
        <f>IFERROR(__xludf.DUMMYFUNCTION("""COMPUTED_VALUE"""),7.0)</f>
        <v>7</v>
      </c>
      <c r="D941" s="18">
        <f>IFERROR(__xludf.DUMMYFUNCTION("""COMPUTED_VALUE"""),420.0)</f>
        <v>420</v>
      </c>
      <c r="E941" s="18">
        <f>IFERROR(__xludf.DUMMYFUNCTION("""COMPUTED_VALUE"""),347.0)</f>
        <v>347</v>
      </c>
      <c r="G941" s="18">
        <f t="shared" si="1"/>
        <v>22</v>
      </c>
    </row>
    <row r="942">
      <c r="A942" s="20">
        <f>IFERROR(__xludf.DUMMYFUNCTION("""COMPUTED_VALUE"""),43980.0)</f>
        <v>43980</v>
      </c>
      <c r="B942" s="18" t="str">
        <f>IFERROR(__xludf.DUMMYFUNCTION("""COMPUTED_VALUE"""),"Волгоград")</f>
        <v>Волгоград</v>
      </c>
      <c r="C942" s="18">
        <f>IFERROR(__xludf.DUMMYFUNCTION("""COMPUTED_VALUE"""),37.0)</f>
        <v>37</v>
      </c>
      <c r="D942" s="18">
        <f>IFERROR(__xludf.DUMMYFUNCTION("""COMPUTED_VALUE"""),5672.0)</f>
        <v>5672</v>
      </c>
      <c r="E942" s="18">
        <f>IFERROR(__xludf.DUMMYFUNCTION("""COMPUTED_VALUE"""),5198.0)</f>
        <v>5198</v>
      </c>
      <c r="G942" s="18">
        <f t="shared" si="1"/>
        <v>22</v>
      </c>
    </row>
    <row r="943">
      <c r="A943" s="20">
        <f>IFERROR(__xludf.DUMMYFUNCTION("""COMPUTED_VALUE"""),43980.0)</f>
        <v>43980</v>
      </c>
      <c r="B943" s="18" t="str">
        <f>IFERROR(__xludf.DUMMYFUNCTION("""COMPUTED_VALUE"""),"Екатеринбург")</f>
        <v>Екатеринбург</v>
      </c>
      <c r="C943" s="18">
        <f>IFERROR(__xludf.DUMMYFUNCTION("""COMPUTED_VALUE"""),31.0)</f>
        <v>31</v>
      </c>
      <c r="D943" s="18">
        <f>IFERROR(__xludf.DUMMYFUNCTION("""COMPUTED_VALUE"""),5751.0)</f>
        <v>5751</v>
      </c>
      <c r="E943" s="18">
        <f>IFERROR(__xludf.DUMMYFUNCTION("""COMPUTED_VALUE"""),5319.0)</f>
        <v>5319</v>
      </c>
      <c r="G943" s="18">
        <f t="shared" si="1"/>
        <v>22</v>
      </c>
    </row>
    <row r="944">
      <c r="A944" s="20">
        <f>IFERROR(__xludf.DUMMYFUNCTION("""COMPUTED_VALUE"""),43980.0)</f>
        <v>43980</v>
      </c>
      <c r="B944" s="18" t="str">
        <f>IFERROR(__xludf.DUMMYFUNCTION("""COMPUTED_VALUE"""),"Казань")</f>
        <v>Казань</v>
      </c>
      <c r="C944" s="18">
        <f>IFERROR(__xludf.DUMMYFUNCTION("""COMPUTED_VALUE"""),22.0)</f>
        <v>22</v>
      </c>
      <c r="D944" s="18">
        <f>IFERROR(__xludf.DUMMYFUNCTION("""COMPUTED_VALUE"""),2597.0)</f>
        <v>2597</v>
      </c>
      <c r="E944" s="18">
        <f>IFERROR(__xludf.DUMMYFUNCTION("""COMPUTED_VALUE"""),2379.0)</f>
        <v>2379</v>
      </c>
      <c r="G944" s="18">
        <f t="shared" si="1"/>
        <v>22</v>
      </c>
    </row>
    <row r="945">
      <c r="A945" s="20">
        <f>IFERROR(__xludf.DUMMYFUNCTION("""COMPUTED_VALUE"""),43980.0)</f>
        <v>43980</v>
      </c>
      <c r="B945" s="18" t="str">
        <f>IFERROR(__xludf.DUMMYFUNCTION("""COMPUTED_VALUE"""),"Кемерово")</f>
        <v>Кемерово</v>
      </c>
      <c r="C945" s="18">
        <f>IFERROR(__xludf.DUMMYFUNCTION("""COMPUTED_VALUE"""),20.0)</f>
        <v>20</v>
      </c>
      <c r="D945" s="18">
        <f>IFERROR(__xludf.DUMMYFUNCTION("""COMPUTED_VALUE"""),2111.0)</f>
        <v>2111</v>
      </c>
      <c r="E945" s="18">
        <f>IFERROR(__xludf.DUMMYFUNCTION("""COMPUTED_VALUE"""),1917.0)</f>
        <v>1917</v>
      </c>
      <c r="G945" s="18">
        <f t="shared" si="1"/>
        <v>22</v>
      </c>
    </row>
    <row r="946">
      <c r="A946" s="20">
        <f>IFERROR(__xludf.DUMMYFUNCTION("""COMPUTED_VALUE"""),43980.0)</f>
        <v>43980</v>
      </c>
      <c r="B946" s="18" t="str">
        <f>IFERROR(__xludf.DUMMYFUNCTION("""COMPUTED_VALUE"""),"Краснодар")</f>
        <v>Краснодар</v>
      </c>
      <c r="C946" s="18">
        <f>IFERROR(__xludf.DUMMYFUNCTION("""COMPUTED_VALUE"""),20.0)</f>
        <v>20</v>
      </c>
      <c r="D946" s="18">
        <f>IFERROR(__xludf.DUMMYFUNCTION("""COMPUTED_VALUE"""),2064.0)</f>
        <v>2064</v>
      </c>
      <c r="E946" s="18">
        <f>IFERROR(__xludf.DUMMYFUNCTION("""COMPUTED_VALUE"""),1896.0)</f>
        <v>1896</v>
      </c>
      <c r="G946" s="18">
        <f t="shared" si="1"/>
        <v>22</v>
      </c>
    </row>
    <row r="947">
      <c r="A947" s="20">
        <f>IFERROR(__xludf.DUMMYFUNCTION("""COMPUTED_VALUE"""),43980.0)</f>
        <v>43980</v>
      </c>
      <c r="B947" s="18" t="str">
        <f>IFERROR(__xludf.DUMMYFUNCTION("""COMPUTED_VALUE"""),"Москва Восток")</f>
        <v>Москва Восток</v>
      </c>
      <c r="C947" s="18">
        <f>IFERROR(__xludf.DUMMYFUNCTION("""COMPUTED_VALUE"""),54.0)</f>
        <v>54</v>
      </c>
      <c r="D947" s="18">
        <f>IFERROR(__xludf.DUMMYFUNCTION("""COMPUTED_VALUE"""),14031.0)</f>
        <v>14031</v>
      </c>
      <c r="E947" s="18">
        <f>IFERROR(__xludf.DUMMYFUNCTION("""COMPUTED_VALUE"""),12943.0)</f>
        <v>12943</v>
      </c>
      <c r="G947" s="18">
        <f t="shared" si="1"/>
        <v>22</v>
      </c>
    </row>
    <row r="948">
      <c r="A948" s="20">
        <f>IFERROR(__xludf.DUMMYFUNCTION("""COMPUTED_VALUE"""),43980.0)</f>
        <v>43980</v>
      </c>
      <c r="B948" s="18" t="str">
        <f>IFERROR(__xludf.DUMMYFUNCTION("""COMPUTED_VALUE"""),"Москва Запад")</f>
        <v>Москва Запад</v>
      </c>
      <c r="C948" s="18">
        <f>IFERROR(__xludf.DUMMYFUNCTION("""COMPUTED_VALUE"""),59.0)</f>
        <v>59</v>
      </c>
      <c r="D948" s="18">
        <f>IFERROR(__xludf.DUMMYFUNCTION("""COMPUTED_VALUE"""),14507.0)</f>
        <v>14507</v>
      </c>
      <c r="E948" s="18">
        <f>IFERROR(__xludf.DUMMYFUNCTION("""COMPUTED_VALUE"""),13386.0)</f>
        <v>13386</v>
      </c>
      <c r="G948" s="18">
        <f t="shared" si="1"/>
        <v>22</v>
      </c>
    </row>
    <row r="949">
      <c r="A949" s="20">
        <f>IFERROR(__xludf.DUMMYFUNCTION("""COMPUTED_VALUE"""),43980.0)</f>
        <v>43980</v>
      </c>
      <c r="B949" s="18" t="str">
        <f>IFERROR(__xludf.DUMMYFUNCTION("""COMPUTED_VALUE"""),"Нижний Новгород")</f>
        <v>Нижний Новгород</v>
      </c>
      <c r="C949" s="18">
        <f>IFERROR(__xludf.DUMMYFUNCTION("""COMPUTED_VALUE"""),20.0)</f>
        <v>20</v>
      </c>
      <c r="D949" s="18">
        <f>IFERROR(__xludf.DUMMYFUNCTION("""COMPUTED_VALUE"""),2249.0)</f>
        <v>2249</v>
      </c>
      <c r="E949" s="18">
        <f>IFERROR(__xludf.DUMMYFUNCTION("""COMPUTED_VALUE"""),2000.0)</f>
        <v>2000</v>
      </c>
      <c r="G949" s="18">
        <f t="shared" si="1"/>
        <v>22</v>
      </c>
    </row>
    <row r="950">
      <c r="A950" s="20">
        <f>IFERROR(__xludf.DUMMYFUNCTION("""COMPUTED_VALUE"""),43980.0)</f>
        <v>43980</v>
      </c>
      <c r="B950" s="18" t="str">
        <f>IFERROR(__xludf.DUMMYFUNCTION("""COMPUTED_VALUE"""),"Новосибирск")</f>
        <v>Новосибирск</v>
      </c>
      <c r="C950" s="18">
        <f>IFERROR(__xludf.DUMMYFUNCTION("""COMPUTED_VALUE"""),18.0)</f>
        <v>18</v>
      </c>
      <c r="D950" s="18">
        <f>IFERROR(__xludf.DUMMYFUNCTION("""COMPUTED_VALUE"""),1014.0)</f>
        <v>1014</v>
      </c>
      <c r="E950" s="18">
        <f>IFERROR(__xludf.DUMMYFUNCTION("""COMPUTED_VALUE"""),893.0)</f>
        <v>893</v>
      </c>
      <c r="G950" s="18">
        <f t="shared" si="1"/>
        <v>22</v>
      </c>
    </row>
    <row r="951">
      <c r="A951" s="20">
        <f>IFERROR(__xludf.DUMMYFUNCTION("""COMPUTED_VALUE"""),43980.0)</f>
        <v>43980</v>
      </c>
      <c r="B951" s="18" t="str">
        <f>IFERROR(__xludf.DUMMYFUNCTION("""COMPUTED_VALUE"""),"Пермь")</f>
        <v>Пермь</v>
      </c>
      <c r="C951" s="18">
        <f>IFERROR(__xludf.DUMMYFUNCTION("""COMPUTED_VALUE"""),17.0)</f>
        <v>17</v>
      </c>
      <c r="D951" s="18">
        <f>IFERROR(__xludf.DUMMYFUNCTION("""COMPUTED_VALUE"""),1296.0)</f>
        <v>1296</v>
      </c>
      <c r="E951" s="18">
        <f>IFERROR(__xludf.DUMMYFUNCTION("""COMPUTED_VALUE"""),1153.0)</f>
        <v>1153</v>
      </c>
      <c r="G951" s="18">
        <f t="shared" si="1"/>
        <v>22</v>
      </c>
    </row>
    <row r="952">
      <c r="A952" s="20">
        <f>IFERROR(__xludf.DUMMYFUNCTION("""COMPUTED_VALUE"""),43980.0)</f>
        <v>43980</v>
      </c>
      <c r="B952" s="18" t="str">
        <f>IFERROR(__xludf.DUMMYFUNCTION("""COMPUTED_VALUE"""),"Ростов-на-Дону")</f>
        <v>Ростов-на-Дону</v>
      </c>
      <c r="C952" s="18">
        <f>IFERROR(__xludf.DUMMYFUNCTION("""COMPUTED_VALUE"""),16.0)</f>
        <v>16</v>
      </c>
      <c r="D952" s="18">
        <f>IFERROR(__xludf.DUMMYFUNCTION("""COMPUTED_VALUE"""),981.0)</f>
        <v>981</v>
      </c>
      <c r="E952" s="18">
        <f>IFERROR(__xludf.DUMMYFUNCTION("""COMPUTED_VALUE"""),859.0)</f>
        <v>859</v>
      </c>
      <c r="G952" s="18">
        <f t="shared" si="1"/>
        <v>22</v>
      </c>
    </row>
    <row r="953">
      <c r="A953" s="20">
        <f>IFERROR(__xludf.DUMMYFUNCTION("""COMPUTED_VALUE"""),43980.0)</f>
        <v>43980</v>
      </c>
      <c r="B953" s="18" t="str">
        <f>IFERROR(__xludf.DUMMYFUNCTION("""COMPUTED_VALUE"""),"Самара")</f>
        <v>Самара</v>
      </c>
      <c r="C953" s="18">
        <f>IFERROR(__xludf.DUMMYFUNCTION("""COMPUTED_VALUE"""),15.0)</f>
        <v>15</v>
      </c>
      <c r="D953" s="18">
        <f>IFERROR(__xludf.DUMMYFUNCTION("""COMPUTED_VALUE"""),400.0)</f>
        <v>400</v>
      </c>
      <c r="E953" s="18">
        <f>IFERROR(__xludf.DUMMYFUNCTION("""COMPUTED_VALUE"""),329.0)</f>
        <v>329</v>
      </c>
      <c r="G953" s="18">
        <f t="shared" si="1"/>
        <v>22</v>
      </c>
    </row>
    <row r="954">
      <c r="A954" s="20">
        <f>IFERROR(__xludf.DUMMYFUNCTION("""COMPUTED_VALUE"""),43980.0)</f>
        <v>43980</v>
      </c>
      <c r="B954" s="18" t="str">
        <f>IFERROR(__xludf.DUMMYFUNCTION("""COMPUTED_VALUE"""),"Санкт-Петербург Север")</f>
        <v>Санкт-Петербург Север</v>
      </c>
      <c r="C954" s="18">
        <f>IFERROR(__xludf.DUMMYFUNCTION("""COMPUTED_VALUE"""),124.0)</f>
        <v>124</v>
      </c>
      <c r="D954" s="18">
        <f>IFERROR(__xludf.DUMMYFUNCTION("""COMPUTED_VALUE"""),25828.0)</f>
        <v>25828</v>
      </c>
      <c r="E954" s="18">
        <f>IFERROR(__xludf.DUMMYFUNCTION("""COMPUTED_VALUE"""),23974.0)</f>
        <v>23974</v>
      </c>
      <c r="G954" s="18">
        <f t="shared" si="1"/>
        <v>22</v>
      </c>
    </row>
    <row r="955">
      <c r="A955" s="20">
        <f>IFERROR(__xludf.DUMMYFUNCTION("""COMPUTED_VALUE"""),43980.0)</f>
        <v>43980</v>
      </c>
      <c r="B955" s="18" t="str">
        <f>IFERROR(__xludf.DUMMYFUNCTION("""COMPUTED_VALUE"""),"Санкт-Петербург Юг")</f>
        <v>Санкт-Петербург Юг</v>
      </c>
      <c r="C955" s="18">
        <f>IFERROR(__xludf.DUMMYFUNCTION("""COMPUTED_VALUE"""),129.0)</f>
        <v>129</v>
      </c>
      <c r="D955" s="18">
        <f>IFERROR(__xludf.DUMMYFUNCTION("""COMPUTED_VALUE"""),22403.0)</f>
        <v>22403</v>
      </c>
      <c r="E955" s="18">
        <f>IFERROR(__xludf.DUMMYFUNCTION("""COMPUTED_VALUE"""),20676.0)</f>
        <v>20676</v>
      </c>
      <c r="G955" s="18">
        <f t="shared" si="1"/>
        <v>22</v>
      </c>
    </row>
    <row r="956">
      <c r="A956" s="20">
        <f>IFERROR(__xludf.DUMMYFUNCTION("""COMPUTED_VALUE"""),43980.0)</f>
        <v>43980</v>
      </c>
      <c r="B956" s="18" t="str">
        <f>IFERROR(__xludf.DUMMYFUNCTION("""COMPUTED_VALUE"""),"Тольятти")</f>
        <v>Тольятти</v>
      </c>
      <c r="C956" s="18">
        <f>IFERROR(__xludf.DUMMYFUNCTION("""COMPUTED_VALUE"""),10.0)</f>
        <v>10</v>
      </c>
      <c r="D956" s="18">
        <f>IFERROR(__xludf.DUMMYFUNCTION("""COMPUTED_VALUE"""),873.0)</f>
        <v>873</v>
      </c>
      <c r="E956" s="18">
        <f>IFERROR(__xludf.DUMMYFUNCTION("""COMPUTED_VALUE"""),770.0)</f>
        <v>770</v>
      </c>
      <c r="G956" s="18">
        <f t="shared" si="1"/>
        <v>22</v>
      </c>
    </row>
    <row r="957">
      <c r="A957" s="20">
        <f>IFERROR(__xludf.DUMMYFUNCTION("""COMPUTED_VALUE"""),43980.0)</f>
        <v>43980</v>
      </c>
      <c r="B957" s="18" t="str">
        <f>IFERROR(__xludf.DUMMYFUNCTION("""COMPUTED_VALUE"""),"Тюмень")</f>
        <v>Тюмень</v>
      </c>
      <c r="C957" s="18">
        <f>IFERROR(__xludf.DUMMYFUNCTION("""COMPUTED_VALUE"""),7.0)</f>
        <v>7</v>
      </c>
      <c r="D957" s="18">
        <f>IFERROR(__xludf.DUMMYFUNCTION("""COMPUTED_VALUE"""),491.0)</f>
        <v>491</v>
      </c>
      <c r="E957" s="18">
        <f>IFERROR(__xludf.DUMMYFUNCTION("""COMPUTED_VALUE"""),411.0)</f>
        <v>411</v>
      </c>
      <c r="G957" s="18">
        <f t="shared" si="1"/>
        <v>22</v>
      </c>
    </row>
    <row r="958">
      <c r="A958" s="20">
        <f>IFERROR(__xludf.DUMMYFUNCTION("""COMPUTED_VALUE"""),43981.0)</f>
        <v>43981</v>
      </c>
      <c r="B958" s="18" t="str">
        <f>IFERROR(__xludf.DUMMYFUNCTION("""COMPUTED_VALUE"""),"Волгоград")</f>
        <v>Волгоград</v>
      </c>
      <c r="C958" s="18">
        <f>IFERROR(__xludf.DUMMYFUNCTION("""COMPUTED_VALUE"""),37.0)</f>
        <v>37</v>
      </c>
      <c r="D958" s="18">
        <f>IFERROR(__xludf.DUMMYFUNCTION("""COMPUTED_VALUE"""),6645.0)</f>
        <v>6645</v>
      </c>
      <c r="E958" s="18">
        <f>IFERROR(__xludf.DUMMYFUNCTION("""COMPUTED_VALUE"""),6122.0)</f>
        <v>6122</v>
      </c>
      <c r="G958" s="18">
        <f t="shared" si="1"/>
        <v>22</v>
      </c>
    </row>
    <row r="959">
      <c r="A959" s="20">
        <f>IFERROR(__xludf.DUMMYFUNCTION("""COMPUTED_VALUE"""),43981.0)</f>
        <v>43981</v>
      </c>
      <c r="B959" s="18" t="str">
        <f>IFERROR(__xludf.DUMMYFUNCTION("""COMPUTED_VALUE"""),"Екатеринбург")</f>
        <v>Екатеринбург</v>
      </c>
      <c r="C959" s="18">
        <f>IFERROR(__xludf.DUMMYFUNCTION("""COMPUTED_VALUE"""),31.0)</f>
        <v>31</v>
      </c>
      <c r="D959" s="18">
        <f>IFERROR(__xludf.DUMMYFUNCTION("""COMPUTED_VALUE"""),6735.0)</f>
        <v>6735</v>
      </c>
      <c r="E959" s="18">
        <f>IFERROR(__xludf.DUMMYFUNCTION("""COMPUTED_VALUE"""),6264.0)</f>
        <v>6264</v>
      </c>
      <c r="G959" s="18">
        <f t="shared" si="1"/>
        <v>22</v>
      </c>
    </row>
    <row r="960">
      <c r="A960" s="20">
        <f>IFERROR(__xludf.DUMMYFUNCTION("""COMPUTED_VALUE"""),43981.0)</f>
        <v>43981</v>
      </c>
      <c r="B960" s="18" t="str">
        <f>IFERROR(__xludf.DUMMYFUNCTION("""COMPUTED_VALUE"""),"Казань")</f>
        <v>Казань</v>
      </c>
      <c r="C960" s="18">
        <f>IFERROR(__xludf.DUMMYFUNCTION("""COMPUTED_VALUE"""),22.0)</f>
        <v>22</v>
      </c>
      <c r="D960" s="18">
        <f>IFERROR(__xludf.DUMMYFUNCTION("""COMPUTED_VALUE"""),2793.0)</f>
        <v>2793</v>
      </c>
      <c r="E960" s="18">
        <f>IFERROR(__xludf.DUMMYFUNCTION("""COMPUTED_VALUE"""),2539.0)</f>
        <v>2539</v>
      </c>
      <c r="G960" s="18">
        <f t="shared" si="1"/>
        <v>22</v>
      </c>
    </row>
    <row r="961">
      <c r="A961" s="20">
        <f>IFERROR(__xludf.DUMMYFUNCTION("""COMPUTED_VALUE"""),43981.0)</f>
        <v>43981</v>
      </c>
      <c r="B961" s="18" t="str">
        <f>IFERROR(__xludf.DUMMYFUNCTION("""COMPUTED_VALUE"""),"Кемерово")</f>
        <v>Кемерово</v>
      </c>
      <c r="C961" s="18">
        <f>IFERROR(__xludf.DUMMYFUNCTION("""COMPUTED_VALUE"""),20.0)</f>
        <v>20</v>
      </c>
      <c r="D961" s="18">
        <f>IFERROR(__xludf.DUMMYFUNCTION("""COMPUTED_VALUE"""),2597.0)</f>
        <v>2597</v>
      </c>
      <c r="E961" s="18">
        <f>IFERROR(__xludf.DUMMYFUNCTION("""COMPUTED_VALUE"""),2376.0)</f>
        <v>2376</v>
      </c>
      <c r="G961" s="18">
        <f t="shared" si="1"/>
        <v>22</v>
      </c>
    </row>
    <row r="962">
      <c r="A962" s="20">
        <f>IFERROR(__xludf.DUMMYFUNCTION("""COMPUTED_VALUE"""),43981.0)</f>
        <v>43981</v>
      </c>
      <c r="B962" s="18" t="str">
        <f>IFERROR(__xludf.DUMMYFUNCTION("""COMPUTED_VALUE"""),"Краснодар")</f>
        <v>Краснодар</v>
      </c>
      <c r="C962" s="18">
        <f>IFERROR(__xludf.DUMMYFUNCTION("""COMPUTED_VALUE"""),20.0)</f>
        <v>20</v>
      </c>
      <c r="D962" s="18">
        <f>IFERROR(__xludf.DUMMYFUNCTION("""COMPUTED_VALUE"""),2174.0)</f>
        <v>2174</v>
      </c>
      <c r="E962" s="18">
        <f>IFERROR(__xludf.DUMMYFUNCTION("""COMPUTED_VALUE"""),1957.0)</f>
        <v>1957</v>
      </c>
      <c r="G962" s="18">
        <f t="shared" si="1"/>
        <v>22</v>
      </c>
    </row>
    <row r="963">
      <c r="A963" s="20">
        <f>IFERROR(__xludf.DUMMYFUNCTION("""COMPUTED_VALUE"""),43981.0)</f>
        <v>43981</v>
      </c>
      <c r="B963" s="18" t="str">
        <f>IFERROR(__xludf.DUMMYFUNCTION("""COMPUTED_VALUE"""),"Москва Восток")</f>
        <v>Москва Восток</v>
      </c>
      <c r="C963" s="18">
        <f>IFERROR(__xludf.DUMMYFUNCTION("""COMPUTED_VALUE"""),54.0)</f>
        <v>54</v>
      </c>
      <c r="D963" s="18">
        <f>IFERROR(__xludf.DUMMYFUNCTION("""COMPUTED_VALUE"""),14590.0)</f>
        <v>14590</v>
      </c>
      <c r="E963" s="18">
        <f>IFERROR(__xludf.DUMMYFUNCTION("""COMPUTED_VALUE"""),13551.0)</f>
        <v>13551</v>
      </c>
      <c r="G963" s="18">
        <f t="shared" si="1"/>
        <v>22</v>
      </c>
    </row>
    <row r="964">
      <c r="A964" s="20">
        <f>IFERROR(__xludf.DUMMYFUNCTION("""COMPUTED_VALUE"""),43981.0)</f>
        <v>43981</v>
      </c>
      <c r="B964" s="18" t="str">
        <f>IFERROR(__xludf.DUMMYFUNCTION("""COMPUTED_VALUE"""),"Москва Запад")</f>
        <v>Москва Запад</v>
      </c>
      <c r="C964" s="18">
        <f>IFERROR(__xludf.DUMMYFUNCTION("""COMPUTED_VALUE"""),59.0)</f>
        <v>59</v>
      </c>
      <c r="D964" s="18">
        <f>IFERROR(__xludf.DUMMYFUNCTION("""COMPUTED_VALUE"""),15030.0)</f>
        <v>15030</v>
      </c>
      <c r="E964" s="18">
        <f>IFERROR(__xludf.DUMMYFUNCTION("""COMPUTED_VALUE"""),13956.0)</f>
        <v>13956</v>
      </c>
      <c r="G964" s="18">
        <f t="shared" si="1"/>
        <v>22</v>
      </c>
    </row>
    <row r="965">
      <c r="A965" s="20">
        <f>IFERROR(__xludf.DUMMYFUNCTION("""COMPUTED_VALUE"""),43981.0)</f>
        <v>43981</v>
      </c>
      <c r="B965" s="18" t="str">
        <f>IFERROR(__xludf.DUMMYFUNCTION("""COMPUTED_VALUE"""),"Нижний Новгород")</f>
        <v>Нижний Новгород</v>
      </c>
      <c r="C965" s="18">
        <f>IFERROR(__xludf.DUMMYFUNCTION("""COMPUTED_VALUE"""),20.0)</f>
        <v>20</v>
      </c>
      <c r="D965" s="18">
        <f>IFERROR(__xludf.DUMMYFUNCTION("""COMPUTED_VALUE"""),2451.0)</f>
        <v>2451</v>
      </c>
      <c r="E965" s="18">
        <f>IFERROR(__xludf.DUMMYFUNCTION("""COMPUTED_VALUE"""),2178.0)</f>
        <v>2178</v>
      </c>
      <c r="G965" s="18">
        <f t="shared" si="1"/>
        <v>22</v>
      </c>
    </row>
    <row r="966">
      <c r="A966" s="20">
        <f>IFERROR(__xludf.DUMMYFUNCTION("""COMPUTED_VALUE"""),43981.0)</f>
        <v>43981</v>
      </c>
      <c r="B966" s="18" t="str">
        <f>IFERROR(__xludf.DUMMYFUNCTION("""COMPUTED_VALUE"""),"Новосибирск")</f>
        <v>Новосибирск</v>
      </c>
      <c r="C966" s="18">
        <f>IFERROR(__xludf.DUMMYFUNCTION("""COMPUTED_VALUE"""),18.0)</f>
        <v>18</v>
      </c>
      <c r="D966" s="18">
        <f>IFERROR(__xludf.DUMMYFUNCTION("""COMPUTED_VALUE"""),1216.0)</f>
        <v>1216</v>
      </c>
      <c r="E966" s="18">
        <f>IFERROR(__xludf.DUMMYFUNCTION("""COMPUTED_VALUE"""),1101.0)</f>
        <v>1101</v>
      </c>
      <c r="G966" s="18">
        <f t="shared" si="1"/>
        <v>22</v>
      </c>
    </row>
    <row r="967">
      <c r="A967" s="20">
        <f>IFERROR(__xludf.DUMMYFUNCTION("""COMPUTED_VALUE"""),43981.0)</f>
        <v>43981</v>
      </c>
      <c r="B967" s="18" t="str">
        <f>IFERROR(__xludf.DUMMYFUNCTION("""COMPUTED_VALUE"""),"Пермь")</f>
        <v>Пермь</v>
      </c>
      <c r="C967" s="18">
        <f>IFERROR(__xludf.DUMMYFUNCTION("""COMPUTED_VALUE"""),17.0)</f>
        <v>17</v>
      </c>
      <c r="D967" s="18">
        <f>IFERROR(__xludf.DUMMYFUNCTION("""COMPUTED_VALUE"""),1697.0)</f>
        <v>1697</v>
      </c>
      <c r="E967" s="18">
        <f>IFERROR(__xludf.DUMMYFUNCTION("""COMPUTED_VALUE"""),1499.0)</f>
        <v>1499</v>
      </c>
      <c r="G967" s="18">
        <f t="shared" si="1"/>
        <v>22</v>
      </c>
    </row>
    <row r="968">
      <c r="A968" s="20">
        <f>IFERROR(__xludf.DUMMYFUNCTION("""COMPUTED_VALUE"""),43981.0)</f>
        <v>43981</v>
      </c>
      <c r="B968" s="18" t="str">
        <f>IFERROR(__xludf.DUMMYFUNCTION("""COMPUTED_VALUE"""),"Ростов-на-Дону")</f>
        <v>Ростов-на-Дону</v>
      </c>
      <c r="C968" s="18">
        <f>IFERROR(__xludf.DUMMYFUNCTION("""COMPUTED_VALUE"""),16.0)</f>
        <v>16</v>
      </c>
      <c r="D968" s="18">
        <f>IFERROR(__xludf.DUMMYFUNCTION("""COMPUTED_VALUE"""),1048.0)</f>
        <v>1048</v>
      </c>
      <c r="E968" s="18">
        <f>IFERROR(__xludf.DUMMYFUNCTION("""COMPUTED_VALUE"""),918.0)</f>
        <v>918</v>
      </c>
      <c r="G968" s="18">
        <f t="shared" si="1"/>
        <v>22</v>
      </c>
    </row>
    <row r="969">
      <c r="A969" s="20">
        <f>IFERROR(__xludf.DUMMYFUNCTION("""COMPUTED_VALUE"""),43981.0)</f>
        <v>43981</v>
      </c>
      <c r="B969" s="18" t="str">
        <f>IFERROR(__xludf.DUMMYFUNCTION("""COMPUTED_VALUE"""),"Самара")</f>
        <v>Самара</v>
      </c>
      <c r="C969" s="18">
        <f>IFERROR(__xludf.DUMMYFUNCTION("""COMPUTED_VALUE"""),15.0)</f>
        <v>15</v>
      </c>
      <c r="D969" s="18">
        <f>IFERROR(__xludf.DUMMYFUNCTION("""COMPUTED_VALUE"""),490.0)</f>
        <v>490</v>
      </c>
      <c r="E969" s="18">
        <f>IFERROR(__xludf.DUMMYFUNCTION("""COMPUTED_VALUE"""),409.0)</f>
        <v>409</v>
      </c>
      <c r="G969" s="18">
        <f t="shared" si="1"/>
        <v>22</v>
      </c>
    </row>
    <row r="970">
      <c r="A970" s="20">
        <f>IFERROR(__xludf.DUMMYFUNCTION("""COMPUTED_VALUE"""),43981.0)</f>
        <v>43981</v>
      </c>
      <c r="B970" s="18" t="str">
        <f>IFERROR(__xludf.DUMMYFUNCTION("""COMPUTED_VALUE"""),"Санкт-Петербург Север")</f>
        <v>Санкт-Петербург Север</v>
      </c>
      <c r="C970" s="18">
        <f>IFERROR(__xludf.DUMMYFUNCTION("""COMPUTED_VALUE"""),124.0)</f>
        <v>124</v>
      </c>
      <c r="D970" s="18">
        <f>IFERROR(__xludf.DUMMYFUNCTION("""COMPUTED_VALUE"""),24325.0)</f>
        <v>24325</v>
      </c>
      <c r="E970" s="18">
        <f>IFERROR(__xludf.DUMMYFUNCTION("""COMPUTED_VALUE"""),22469.0)</f>
        <v>22469</v>
      </c>
      <c r="G970" s="18">
        <f t="shared" si="1"/>
        <v>22</v>
      </c>
    </row>
    <row r="971">
      <c r="A971" s="20">
        <f>IFERROR(__xludf.DUMMYFUNCTION("""COMPUTED_VALUE"""),43981.0)</f>
        <v>43981</v>
      </c>
      <c r="B971" s="18" t="str">
        <f>IFERROR(__xludf.DUMMYFUNCTION("""COMPUTED_VALUE"""),"Санкт-Петербург Юг")</f>
        <v>Санкт-Петербург Юг</v>
      </c>
      <c r="C971" s="18">
        <f>IFERROR(__xludf.DUMMYFUNCTION("""COMPUTED_VALUE"""),129.0)</f>
        <v>129</v>
      </c>
      <c r="D971" s="18">
        <f>IFERROR(__xludf.DUMMYFUNCTION("""COMPUTED_VALUE"""),20243.0)</f>
        <v>20243</v>
      </c>
      <c r="E971" s="18">
        <f>IFERROR(__xludf.DUMMYFUNCTION("""COMPUTED_VALUE"""),18711.0)</f>
        <v>18711</v>
      </c>
      <c r="G971" s="18">
        <f t="shared" si="1"/>
        <v>22</v>
      </c>
    </row>
    <row r="972">
      <c r="A972" s="20">
        <f>IFERROR(__xludf.DUMMYFUNCTION("""COMPUTED_VALUE"""),43981.0)</f>
        <v>43981</v>
      </c>
      <c r="B972" s="18" t="str">
        <f>IFERROR(__xludf.DUMMYFUNCTION("""COMPUTED_VALUE"""),"Тольятти")</f>
        <v>Тольятти</v>
      </c>
      <c r="C972" s="18">
        <f>IFERROR(__xludf.DUMMYFUNCTION("""COMPUTED_VALUE"""),10.0)</f>
        <v>10</v>
      </c>
      <c r="D972" s="18">
        <f>IFERROR(__xludf.DUMMYFUNCTION("""COMPUTED_VALUE"""),865.0)</f>
        <v>865</v>
      </c>
      <c r="E972" s="18">
        <f>IFERROR(__xludf.DUMMYFUNCTION("""COMPUTED_VALUE"""),763.0)</f>
        <v>763</v>
      </c>
      <c r="G972" s="18">
        <f t="shared" si="1"/>
        <v>22</v>
      </c>
    </row>
    <row r="973">
      <c r="A973" s="20">
        <f>IFERROR(__xludf.DUMMYFUNCTION("""COMPUTED_VALUE"""),43981.0)</f>
        <v>43981</v>
      </c>
      <c r="B973" s="18" t="str">
        <f>IFERROR(__xludf.DUMMYFUNCTION("""COMPUTED_VALUE"""),"Тюмень")</f>
        <v>Тюмень</v>
      </c>
      <c r="C973" s="18">
        <f>IFERROR(__xludf.DUMMYFUNCTION("""COMPUTED_VALUE"""),7.0)</f>
        <v>7</v>
      </c>
      <c r="D973" s="18">
        <f>IFERROR(__xludf.DUMMYFUNCTION("""COMPUTED_VALUE"""),532.0)</f>
        <v>532</v>
      </c>
      <c r="E973" s="18">
        <f>IFERROR(__xludf.DUMMYFUNCTION("""COMPUTED_VALUE"""),449.0)</f>
        <v>449</v>
      </c>
      <c r="G973" s="18">
        <f t="shared" si="1"/>
        <v>22</v>
      </c>
    </row>
    <row r="974">
      <c r="A974" s="20">
        <f>IFERROR(__xludf.DUMMYFUNCTION("""COMPUTED_VALUE"""),43982.0)</f>
        <v>43982</v>
      </c>
      <c r="B974" s="18" t="str">
        <f>IFERROR(__xludf.DUMMYFUNCTION("""COMPUTED_VALUE"""),"Волгоград")</f>
        <v>Волгоград</v>
      </c>
      <c r="C974" s="18">
        <f>IFERROR(__xludf.DUMMYFUNCTION("""COMPUTED_VALUE"""),37.0)</f>
        <v>37</v>
      </c>
      <c r="D974" s="18">
        <f>IFERROR(__xludf.DUMMYFUNCTION("""COMPUTED_VALUE"""),5215.0)</f>
        <v>5215</v>
      </c>
      <c r="E974" s="18">
        <f>IFERROR(__xludf.DUMMYFUNCTION("""COMPUTED_VALUE"""),4848.0)</f>
        <v>4848</v>
      </c>
      <c r="G974" s="18">
        <f t="shared" si="1"/>
        <v>22</v>
      </c>
    </row>
    <row r="975">
      <c r="A975" s="20">
        <f>IFERROR(__xludf.DUMMYFUNCTION("""COMPUTED_VALUE"""),43982.0)</f>
        <v>43982</v>
      </c>
      <c r="B975" s="18" t="str">
        <f>IFERROR(__xludf.DUMMYFUNCTION("""COMPUTED_VALUE"""),"Екатеринбург")</f>
        <v>Екатеринбург</v>
      </c>
      <c r="C975" s="18">
        <f>IFERROR(__xludf.DUMMYFUNCTION("""COMPUTED_VALUE"""),31.0)</f>
        <v>31</v>
      </c>
      <c r="D975" s="18">
        <f>IFERROR(__xludf.DUMMYFUNCTION("""COMPUTED_VALUE"""),5760.0)</f>
        <v>5760</v>
      </c>
      <c r="E975" s="18">
        <f>IFERROR(__xludf.DUMMYFUNCTION("""COMPUTED_VALUE"""),5367.0)</f>
        <v>5367</v>
      </c>
      <c r="G975" s="18">
        <f t="shared" si="1"/>
        <v>22</v>
      </c>
    </row>
    <row r="976">
      <c r="A976" s="20">
        <f>IFERROR(__xludf.DUMMYFUNCTION("""COMPUTED_VALUE"""),43982.0)</f>
        <v>43982</v>
      </c>
      <c r="B976" s="18" t="str">
        <f>IFERROR(__xludf.DUMMYFUNCTION("""COMPUTED_VALUE"""),"Казань")</f>
        <v>Казань</v>
      </c>
      <c r="C976" s="18">
        <f>IFERROR(__xludf.DUMMYFUNCTION("""COMPUTED_VALUE"""),23.0)</f>
        <v>23</v>
      </c>
      <c r="D976" s="18">
        <f>IFERROR(__xludf.DUMMYFUNCTION("""COMPUTED_VALUE"""),2522.0)</f>
        <v>2522</v>
      </c>
      <c r="E976" s="18">
        <f>IFERROR(__xludf.DUMMYFUNCTION("""COMPUTED_VALUE"""),2295.0)</f>
        <v>2295</v>
      </c>
      <c r="G976" s="18">
        <f t="shared" si="1"/>
        <v>22</v>
      </c>
    </row>
    <row r="977">
      <c r="A977" s="20">
        <f>IFERROR(__xludf.DUMMYFUNCTION("""COMPUTED_VALUE"""),43982.0)</f>
        <v>43982</v>
      </c>
      <c r="B977" s="18" t="str">
        <f>IFERROR(__xludf.DUMMYFUNCTION("""COMPUTED_VALUE"""),"Кемерово")</f>
        <v>Кемерово</v>
      </c>
      <c r="C977" s="18">
        <f>IFERROR(__xludf.DUMMYFUNCTION("""COMPUTED_VALUE"""),21.0)</f>
        <v>21</v>
      </c>
      <c r="D977" s="18">
        <f>IFERROR(__xludf.DUMMYFUNCTION("""COMPUTED_VALUE"""),2271.0)</f>
        <v>2271</v>
      </c>
      <c r="E977" s="18">
        <f>IFERROR(__xludf.DUMMYFUNCTION("""COMPUTED_VALUE"""),2085.0)</f>
        <v>2085</v>
      </c>
      <c r="G977" s="18">
        <f t="shared" si="1"/>
        <v>22</v>
      </c>
    </row>
    <row r="978">
      <c r="A978" s="20">
        <f>IFERROR(__xludf.DUMMYFUNCTION("""COMPUTED_VALUE"""),43982.0)</f>
        <v>43982</v>
      </c>
      <c r="B978" s="18" t="str">
        <f>IFERROR(__xludf.DUMMYFUNCTION("""COMPUTED_VALUE"""),"Краснодар")</f>
        <v>Краснодар</v>
      </c>
      <c r="C978" s="18">
        <f>IFERROR(__xludf.DUMMYFUNCTION("""COMPUTED_VALUE"""),21.0)</f>
        <v>21</v>
      </c>
      <c r="D978" s="18">
        <f>IFERROR(__xludf.DUMMYFUNCTION("""COMPUTED_VALUE"""),2056.0)</f>
        <v>2056</v>
      </c>
      <c r="E978" s="18">
        <f>IFERROR(__xludf.DUMMYFUNCTION("""COMPUTED_VALUE"""),1879.0)</f>
        <v>1879</v>
      </c>
      <c r="G978" s="18">
        <f t="shared" si="1"/>
        <v>22</v>
      </c>
    </row>
    <row r="979">
      <c r="A979" s="20">
        <f>IFERROR(__xludf.DUMMYFUNCTION("""COMPUTED_VALUE"""),43982.0)</f>
        <v>43982</v>
      </c>
      <c r="B979" s="18" t="str">
        <f>IFERROR(__xludf.DUMMYFUNCTION("""COMPUTED_VALUE"""),"Москва Восток")</f>
        <v>Москва Восток</v>
      </c>
      <c r="C979" s="18">
        <f>IFERROR(__xludf.DUMMYFUNCTION("""COMPUTED_VALUE"""),54.0)</f>
        <v>54</v>
      </c>
      <c r="D979" s="18">
        <f>IFERROR(__xludf.DUMMYFUNCTION("""COMPUTED_VALUE"""),13106.0)</f>
        <v>13106</v>
      </c>
      <c r="E979" s="18">
        <f>IFERROR(__xludf.DUMMYFUNCTION("""COMPUTED_VALUE"""),12164.0)</f>
        <v>12164</v>
      </c>
      <c r="G979" s="18">
        <f t="shared" si="1"/>
        <v>22</v>
      </c>
    </row>
    <row r="980">
      <c r="A980" s="20">
        <f>IFERROR(__xludf.DUMMYFUNCTION("""COMPUTED_VALUE"""),43982.0)</f>
        <v>43982</v>
      </c>
      <c r="B980" s="18" t="str">
        <f>IFERROR(__xludf.DUMMYFUNCTION("""COMPUTED_VALUE"""),"Москва Запад")</f>
        <v>Москва Запад</v>
      </c>
      <c r="C980" s="18">
        <f>IFERROR(__xludf.DUMMYFUNCTION("""COMPUTED_VALUE"""),59.0)</f>
        <v>59</v>
      </c>
      <c r="D980" s="18">
        <f>IFERROR(__xludf.DUMMYFUNCTION("""COMPUTED_VALUE"""),13684.0)</f>
        <v>13684</v>
      </c>
      <c r="E980" s="18">
        <f>IFERROR(__xludf.DUMMYFUNCTION("""COMPUTED_VALUE"""),12690.0)</f>
        <v>12690</v>
      </c>
      <c r="G980" s="18">
        <f t="shared" si="1"/>
        <v>22</v>
      </c>
    </row>
    <row r="981">
      <c r="A981" s="20">
        <f>IFERROR(__xludf.DUMMYFUNCTION("""COMPUTED_VALUE"""),43982.0)</f>
        <v>43982</v>
      </c>
      <c r="B981" s="18" t="str">
        <f>IFERROR(__xludf.DUMMYFUNCTION("""COMPUTED_VALUE"""),"Нижний Новгород")</f>
        <v>Нижний Новгород</v>
      </c>
      <c r="C981" s="18">
        <f>IFERROR(__xludf.DUMMYFUNCTION("""COMPUTED_VALUE"""),20.0)</f>
        <v>20</v>
      </c>
      <c r="D981" s="18">
        <f>IFERROR(__xludf.DUMMYFUNCTION("""COMPUTED_VALUE"""),2060.0)</f>
        <v>2060</v>
      </c>
      <c r="E981" s="18">
        <f>IFERROR(__xludf.DUMMYFUNCTION("""COMPUTED_VALUE"""),1826.0)</f>
        <v>1826</v>
      </c>
      <c r="G981" s="18">
        <f t="shared" si="1"/>
        <v>22</v>
      </c>
    </row>
    <row r="982">
      <c r="A982" s="20">
        <f>IFERROR(__xludf.DUMMYFUNCTION("""COMPUTED_VALUE"""),43982.0)</f>
        <v>43982</v>
      </c>
      <c r="B982" s="18" t="str">
        <f>IFERROR(__xludf.DUMMYFUNCTION("""COMPUTED_VALUE"""),"Новосибирск")</f>
        <v>Новосибирск</v>
      </c>
      <c r="C982" s="18">
        <f>IFERROR(__xludf.DUMMYFUNCTION("""COMPUTED_VALUE"""),18.0)</f>
        <v>18</v>
      </c>
      <c r="D982" s="18">
        <f>IFERROR(__xludf.DUMMYFUNCTION("""COMPUTED_VALUE"""),1029.0)</f>
        <v>1029</v>
      </c>
      <c r="E982" s="18">
        <f>IFERROR(__xludf.DUMMYFUNCTION("""COMPUTED_VALUE"""),925.0)</f>
        <v>925</v>
      </c>
      <c r="G982" s="18">
        <f t="shared" si="1"/>
        <v>22</v>
      </c>
    </row>
    <row r="983">
      <c r="A983" s="20">
        <f>IFERROR(__xludf.DUMMYFUNCTION("""COMPUTED_VALUE"""),43982.0)</f>
        <v>43982</v>
      </c>
      <c r="B983" s="18" t="str">
        <f>IFERROR(__xludf.DUMMYFUNCTION("""COMPUTED_VALUE"""),"Пермь")</f>
        <v>Пермь</v>
      </c>
      <c r="C983" s="18">
        <f>IFERROR(__xludf.DUMMYFUNCTION("""COMPUTED_VALUE"""),17.0)</f>
        <v>17</v>
      </c>
      <c r="D983" s="18">
        <f>IFERROR(__xludf.DUMMYFUNCTION("""COMPUTED_VALUE"""),1186.0)</f>
        <v>1186</v>
      </c>
      <c r="E983" s="18">
        <f>IFERROR(__xludf.DUMMYFUNCTION("""COMPUTED_VALUE"""),1054.0)</f>
        <v>1054</v>
      </c>
      <c r="G983" s="18">
        <f t="shared" si="1"/>
        <v>22</v>
      </c>
    </row>
    <row r="984">
      <c r="A984" s="20">
        <f>IFERROR(__xludf.DUMMYFUNCTION("""COMPUTED_VALUE"""),43982.0)</f>
        <v>43982</v>
      </c>
      <c r="B984" s="18" t="str">
        <f>IFERROR(__xludf.DUMMYFUNCTION("""COMPUTED_VALUE"""),"Ростов-на-Дону")</f>
        <v>Ростов-на-Дону</v>
      </c>
      <c r="C984" s="18">
        <f>IFERROR(__xludf.DUMMYFUNCTION("""COMPUTED_VALUE"""),16.0)</f>
        <v>16</v>
      </c>
      <c r="D984" s="18">
        <f>IFERROR(__xludf.DUMMYFUNCTION("""COMPUTED_VALUE"""),917.0)</f>
        <v>917</v>
      </c>
      <c r="E984" s="18">
        <f>IFERROR(__xludf.DUMMYFUNCTION("""COMPUTED_VALUE"""),802.0)</f>
        <v>802</v>
      </c>
      <c r="G984" s="18">
        <f t="shared" si="1"/>
        <v>22</v>
      </c>
    </row>
    <row r="985">
      <c r="A985" s="20">
        <f>IFERROR(__xludf.DUMMYFUNCTION("""COMPUTED_VALUE"""),43982.0)</f>
        <v>43982</v>
      </c>
      <c r="B985" s="18" t="str">
        <f>IFERROR(__xludf.DUMMYFUNCTION("""COMPUTED_VALUE"""),"Самара")</f>
        <v>Самара</v>
      </c>
      <c r="C985" s="18">
        <f>IFERROR(__xludf.DUMMYFUNCTION("""COMPUTED_VALUE"""),15.0)</f>
        <v>15</v>
      </c>
      <c r="D985" s="18">
        <f>IFERROR(__xludf.DUMMYFUNCTION("""COMPUTED_VALUE"""),441.0)</f>
        <v>441</v>
      </c>
      <c r="E985" s="18">
        <f>IFERROR(__xludf.DUMMYFUNCTION("""COMPUTED_VALUE"""),368.0)</f>
        <v>368</v>
      </c>
      <c r="G985" s="18">
        <f t="shared" si="1"/>
        <v>22</v>
      </c>
    </row>
    <row r="986">
      <c r="A986" s="20">
        <f>IFERROR(__xludf.DUMMYFUNCTION("""COMPUTED_VALUE"""),43982.0)</f>
        <v>43982</v>
      </c>
      <c r="B986" s="18" t="str">
        <f>IFERROR(__xludf.DUMMYFUNCTION("""COMPUTED_VALUE"""),"Санкт-Петербург Север")</f>
        <v>Санкт-Петербург Север</v>
      </c>
      <c r="C986" s="18">
        <f>IFERROR(__xludf.DUMMYFUNCTION("""COMPUTED_VALUE"""),124.0)</f>
        <v>124</v>
      </c>
      <c r="D986" s="18">
        <f>IFERROR(__xludf.DUMMYFUNCTION("""COMPUTED_VALUE"""),21392.0)</f>
        <v>21392</v>
      </c>
      <c r="E986" s="18">
        <f>IFERROR(__xludf.DUMMYFUNCTION("""COMPUTED_VALUE"""),19869.0)</f>
        <v>19869</v>
      </c>
      <c r="G986" s="18">
        <f t="shared" si="1"/>
        <v>22</v>
      </c>
    </row>
    <row r="987">
      <c r="A987" s="20">
        <f>IFERROR(__xludf.DUMMYFUNCTION("""COMPUTED_VALUE"""),43982.0)</f>
        <v>43982</v>
      </c>
      <c r="B987" s="18" t="str">
        <f>IFERROR(__xludf.DUMMYFUNCTION("""COMPUTED_VALUE"""),"Санкт-Петербург Юг")</f>
        <v>Санкт-Петербург Юг</v>
      </c>
      <c r="C987" s="18">
        <f>IFERROR(__xludf.DUMMYFUNCTION("""COMPUTED_VALUE"""),129.0)</f>
        <v>129</v>
      </c>
      <c r="D987" s="18">
        <f>IFERROR(__xludf.DUMMYFUNCTION("""COMPUTED_VALUE"""),17235.0)</f>
        <v>17235</v>
      </c>
      <c r="E987" s="18">
        <f>IFERROR(__xludf.DUMMYFUNCTION("""COMPUTED_VALUE"""),16052.0)</f>
        <v>16052</v>
      </c>
      <c r="G987" s="18">
        <f t="shared" si="1"/>
        <v>22</v>
      </c>
    </row>
    <row r="988">
      <c r="A988" s="20">
        <f>IFERROR(__xludf.DUMMYFUNCTION("""COMPUTED_VALUE"""),43982.0)</f>
        <v>43982</v>
      </c>
      <c r="B988" s="18" t="str">
        <f>IFERROR(__xludf.DUMMYFUNCTION("""COMPUTED_VALUE"""),"Тольятти")</f>
        <v>Тольятти</v>
      </c>
      <c r="C988" s="18">
        <f>IFERROR(__xludf.DUMMYFUNCTION("""COMPUTED_VALUE"""),10.0)</f>
        <v>10</v>
      </c>
      <c r="D988" s="18">
        <f>IFERROR(__xludf.DUMMYFUNCTION("""COMPUTED_VALUE"""),749.0)</f>
        <v>749</v>
      </c>
      <c r="E988" s="18">
        <f>IFERROR(__xludf.DUMMYFUNCTION("""COMPUTED_VALUE"""),655.0)</f>
        <v>655</v>
      </c>
      <c r="G988" s="18">
        <f t="shared" si="1"/>
        <v>22</v>
      </c>
    </row>
    <row r="989">
      <c r="A989" s="20">
        <f>IFERROR(__xludf.DUMMYFUNCTION("""COMPUTED_VALUE"""),43982.0)</f>
        <v>43982</v>
      </c>
      <c r="B989" s="18" t="str">
        <f>IFERROR(__xludf.DUMMYFUNCTION("""COMPUTED_VALUE"""),"Томск")</f>
        <v>Томск</v>
      </c>
      <c r="C989" s="18">
        <f>IFERROR(__xludf.DUMMYFUNCTION("""COMPUTED_VALUE"""),9.0)</f>
        <v>9</v>
      </c>
      <c r="D989" s="18">
        <f>IFERROR(__xludf.DUMMYFUNCTION("""COMPUTED_VALUE"""),345.0)</f>
        <v>345</v>
      </c>
      <c r="E989" s="18">
        <f>IFERROR(__xludf.DUMMYFUNCTION("""COMPUTED_VALUE"""),255.0)</f>
        <v>255</v>
      </c>
      <c r="G989" s="18">
        <f t="shared" si="1"/>
        <v>22</v>
      </c>
    </row>
    <row r="990">
      <c r="A990" s="20">
        <f>IFERROR(__xludf.DUMMYFUNCTION("""COMPUTED_VALUE"""),43982.0)</f>
        <v>43982</v>
      </c>
      <c r="B990" s="18" t="str">
        <f>IFERROR(__xludf.DUMMYFUNCTION("""COMPUTED_VALUE"""),"Тюмень")</f>
        <v>Тюмень</v>
      </c>
      <c r="C990" s="18">
        <f>IFERROR(__xludf.DUMMYFUNCTION("""COMPUTED_VALUE"""),7.0)</f>
        <v>7</v>
      </c>
      <c r="D990" s="18">
        <f>IFERROR(__xludf.DUMMYFUNCTION("""COMPUTED_VALUE"""),530.0)</f>
        <v>530</v>
      </c>
      <c r="E990" s="18">
        <f>IFERROR(__xludf.DUMMYFUNCTION("""COMPUTED_VALUE"""),447.0)</f>
        <v>447</v>
      </c>
      <c r="G990" s="18">
        <f t="shared" si="1"/>
        <v>22</v>
      </c>
    </row>
    <row r="991">
      <c r="A991" s="20">
        <f>IFERROR(__xludf.DUMMYFUNCTION("""COMPUTED_VALUE"""),43982.0)</f>
        <v>43982</v>
      </c>
      <c r="B991" s="18" t="str">
        <f>IFERROR(__xludf.DUMMYFUNCTION("""COMPUTED_VALUE"""),"Уфа")</f>
        <v>Уфа</v>
      </c>
      <c r="C991" s="18">
        <f>IFERROR(__xludf.DUMMYFUNCTION("""COMPUTED_VALUE"""),6.0)</f>
        <v>6</v>
      </c>
      <c r="D991" s="18">
        <f>IFERROR(__xludf.DUMMYFUNCTION("""COMPUTED_VALUE"""),261.0)</f>
        <v>261</v>
      </c>
      <c r="E991" s="18">
        <f>IFERROR(__xludf.DUMMYFUNCTION("""COMPUTED_VALUE"""),188.0)</f>
        <v>188</v>
      </c>
      <c r="G991" s="18">
        <f t="shared" si="1"/>
        <v>22</v>
      </c>
    </row>
    <row r="992">
      <c r="A992" s="20">
        <f>IFERROR(__xludf.DUMMYFUNCTION("""COMPUTED_VALUE"""),43983.0)</f>
        <v>43983</v>
      </c>
      <c r="B992" s="18" t="str">
        <f>IFERROR(__xludf.DUMMYFUNCTION("""COMPUTED_VALUE"""),"Волгоград")</f>
        <v>Волгоград</v>
      </c>
      <c r="C992" s="18">
        <f>IFERROR(__xludf.DUMMYFUNCTION("""COMPUTED_VALUE"""),37.0)</f>
        <v>37</v>
      </c>
      <c r="D992" s="18">
        <f>IFERROR(__xludf.DUMMYFUNCTION("""COMPUTED_VALUE"""),4722.0)</f>
        <v>4722</v>
      </c>
      <c r="E992" s="18">
        <f>IFERROR(__xludf.DUMMYFUNCTION("""COMPUTED_VALUE"""),4352.0)</f>
        <v>4352</v>
      </c>
      <c r="G992" s="18">
        <f t="shared" si="1"/>
        <v>23</v>
      </c>
    </row>
    <row r="993">
      <c r="A993" s="20">
        <f>IFERROR(__xludf.DUMMYFUNCTION("""COMPUTED_VALUE"""),43983.0)</f>
        <v>43983</v>
      </c>
      <c r="B993" s="18" t="str">
        <f>IFERROR(__xludf.DUMMYFUNCTION("""COMPUTED_VALUE"""),"Екатеринбург")</f>
        <v>Екатеринбург</v>
      </c>
      <c r="C993" s="18">
        <f>IFERROR(__xludf.DUMMYFUNCTION("""COMPUTED_VALUE"""),31.0)</f>
        <v>31</v>
      </c>
      <c r="D993" s="18">
        <f>IFERROR(__xludf.DUMMYFUNCTION("""COMPUTED_VALUE"""),5468.0)</f>
        <v>5468</v>
      </c>
      <c r="E993" s="18">
        <f>IFERROR(__xludf.DUMMYFUNCTION("""COMPUTED_VALUE"""),5081.0)</f>
        <v>5081</v>
      </c>
      <c r="G993" s="18">
        <f t="shared" si="1"/>
        <v>23</v>
      </c>
    </row>
    <row r="994">
      <c r="A994" s="20">
        <f>IFERROR(__xludf.DUMMYFUNCTION("""COMPUTED_VALUE"""),43983.0)</f>
        <v>43983</v>
      </c>
      <c r="B994" s="18" t="str">
        <f>IFERROR(__xludf.DUMMYFUNCTION("""COMPUTED_VALUE"""),"Казань")</f>
        <v>Казань</v>
      </c>
      <c r="C994" s="18">
        <f>IFERROR(__xludf.DUMMYFUNCTION("""COMPUTED_VALUE"""),23.0)</f>
        <v>23</v>
      </c>
      <c r="D994" s="18">
        <f>IFERROR(__xludf.DUMMYFUNCTION("""COMPUTED_VALUE"""),2531.0)</f>
        <v>2531</v>
      </c>
      <c r="E994" s="18">
        <f>IFERROR(__xludf.DUMMYFUNCTION("""COMPUTED_VALUE"""),2296.0)</f>
        <v>2296</v>
      </c>
      <c r="G994" s="18">
        <f t="shared" si="1"/>
        <v>23</v>
      </c>
    </row>
    <row r="995">
      <c r="A995" s="20">
        <f>IFERROR(__xludf.DUMMYFUNCTION("""COMPUTED_VALUE"""),43983.0)</f>
        <v>43983</v>
      </c>
      <c r="B995" s="18" t="str">
        <f>IFERROR(__xludf.DUMMYFUNCTION("""COMPUTED_VALUE"""),"Кемерово")</f>
        <v>Кемерово</v>
      </c>
      <c r="C995" s="18">
        <f>IFERROR(__xludf.DUMMYFUNCTION("""COMPUTED_VALUE"""),21.0)</f>
        <v>21</v>
      </c>
      <c r="D995" s="18">
        <f>IFERROR(__xludf.DUMMYFUNCTION("""COMPUTED_VALUE"""),2025.0)</f>
        <v>2025</v>
      </c>
      <c r="E995" s="18">
        <f>IFERROR(__xludf.DUMMYFUNCTION("""COMPUTED_VALUE"""),1849.0)</f>
        <v>1849</v>
      </c>
      <c r="G995" s="18">
        <f t="shared" si="1"/>
        <v>23</v>
      </c>
    </row>
    <row r="996">
      <c r="A996" s="20">
        <f>IFERROR(__xludf.DUMMYFUNCTION("""COMPUTED_VALUE"""),43983.0)</f>
        <v>43983</v>
      </c>
      <c r="B996" s="18" t="str">
        <f>IFERROR(__xludf.DUMMYFUNCTION("""COMPUTED_VALUE"""),"Краснодар")</f>
        <v>Краснодар</v>
      </c>
      <c r="C996" s="18">
        <f>IFERROR(__xludf.DUMMYFUNCTION("""COMPUTED_VALUE"""),21.0)</f>
        <v>21</v>
      </c>
      <c r="D996" s="18">
        <f>IFERROR(__xludf.DUMMYFUNCTION("""COMPUTED_VALUE"""),1879.0)</f>
        <v>1879</v>
      </c>
      <c r="E996" s="18">
        <f>IFERROR(__xludf.DUMMYFUNCTION("""COMPUTED_VALUE"""),1720.0)</f>
        <v>1720</v>
      </c>
      <c r="G996" s="18">
        <f t="shared" si="1"/>
        <v>23</v>
      </c>
    </row>
    <row r="997">
      <c r="A997" s="20">
        <f>IFERROR(__xludf.DUMMYFUNCTION("""COMPUTED_VALUE"""),43983.0)</f>
        <v>43983</v>
      </c>
      <c r="B997" s="18" t="str">
        <f>IFERROR(__xludf.DUMMYFUNCTION("""COMPUTED_VALUE"""),"Москва Восток")</f>
        <v>Москва Восток</v>
      </c>
      <c r="C997" s="18">
        <f>IFERROR(__xludf.DUMMYFUNCTION("""COMPUTED_VALUE"""),54.0)</f>
        <v>54</v>
      </c>
      <c r="D997" s="18">
        <f>IFERROR(__xludf.DUMMYFUNCTION("""COMPUTED_VALUE"""),11864.0)</f>
        <v>11864</v>
      </c>
      <c r="E997" s="18">
        <f>IFERROR(__xludf.DUMMYFUNCTION("""COMPUTED_VALUE"""),11071.0)</f>
        <v>11071</v>
      </c>
      <c r="G997" s="18">
        <f t="shared" si="1"/>
        <v>23</v>
      </c>
    </row>
    <row r="998">
      <c r="A998" s="20">
        <f>IFERROR(__xludf.DUMMYFUNCTION("""COMPUTED_VALUE"""),43983.0)</f>
        <v>43983</v>
      </c>
      <c r="B998" s="18" t="str">
        <f>IFERROR(__xludf.DUMMYFUNCTION("""COMPUTED_VALUE"""),"Москва Запад")</f>
        <v>Москва Запад</v>
      </c>
      <c r="C998" s="18">
        <f>IFERROR(__xludf.DUMMYFUNCTION("""COMPUTED_VALUE"""),59.0)</f>
        <v>59</v>
      </c>
      <c r="D998" s="18">
        <f>IFERROR(__xludf.DUMMYFUNCTION("""COMPUTED_VALUE"""),12299.0)</f>
        <v>12299</v>
      </c>
      <c r="E998" s="18">
        <f>IFERROR(__xludf.DUMMYFUNCTION("""COMPUTED_VALUE"""),11448.0)</f>
        <v>11448</v>
      </c>
      <c r="G998" s="18">
        <f t="shared" si="1"/>
        <v>23</v>
      </c>
    </row>
    <row r="999">
      <c r="A999" s="20">
        <f>IFERROR(__xludf.DUMMYFUNCTION("""COMPUTED_VALUE"""),43983.0)</f>
        <v>43983</v>
      </c>
      <c r="B999" s="18" t="str">
        <f>IFERROR(__xludf.DUMMYFUNCTION("""COMPUTED_VALUE"""),"Нижний Новгород")</f>
        <v>Нижний Новгород</v>
      </c>
      <c r="C999" s="18">
        <f>IFERROR(__xludf.DUMMYFUNCTION("""COMPUTED_VALUE"""),20.0)</f>
        <v>20</v>
      </c>
      <c r="D999" s="18">
        <f>IFERROR(__xludf.DUMMYFUNCTION("""COMPUTED_VALUE"""),2136.0)</f>
        <v>2136</v>
      </c>
      <c r="E999" s="18">
        <f>IFERROR(__xludf.DUMMYFUNCTION("""COMPUTED_VALUE"""),1899.0)</f>
        <v>1899</v>
      </c>
      <c r="G999" s="18">
        <f t="shared" si="1"/>
        <v>23</v>
      </c>
    </row>
    <row r="1000">
      <c r="A1000" s="20">
        <f>IFERROR(__xludf.DUMMYFUNCTION("""COMPUTED_VALUE"""),43983.0)</f>
        <v>43983</v>
      </c>
      <c r="B1000" s="18" t="str">
        <f>IFERROR(__xludf.DUMMYFUNCTION("""COMPUTED_VALUE"""),"Новосибирск")</f>
        <v>Новосибирск</v>
      </c>
      <c r="C1000" s="18">
        <f>IFERROR(__xludf.DUMMYFUNCTION("""COMPUTED_VALUE"""),18.0)</f>
        <v>18</v>
      </c>
      <c r="D1000" s="18">
        <f>IFERROR(__xludf.DUMMYFUNCTION("""COMPUTED_VALUE"""),923.0)</f>
        <v>923</v>
      </c>
      <c r="E1000" s="18">
        <f>IFERROR(__xludf.DUMMYFUNCTION("""COMPUTED_VALUE"""),824.0)</f>
        <v>824</v>
      </c>
      <c r="G1000" s="18">
        <f t="shared" si="1"/>
        <v>23</v>
      </c>
    </row>
    <row r="1001">
      <c r="A1001" s="20">
        <f>IFERROR(__xludf.DUMMYFUNCTION("""COMPUTED_VALUE"""),43983.0)</f>
        <v>43983</v>
      </c>
      <c r="B1001" s="18" t="str">
        <f>IFERROR(__xludf.DUMMYFUNCTION("""COMPUTED_VALUE"""),"Пермь")</f>
        <v>Пермь</v>
      </c>
      <c r="C1001" s="18">
        <f>IFERROR(__xludf.DUMMYFUNCTION("""COMPUTED_VALUE"""),17.0)</f>
        <v>17</v>
      </c>
      <c r="D1001" s="18">
        <f>IFERROR(__xludf.DUMMYFUNCTION("""COMPUTED_VALUE"""),1185.0)</f>
        <v>1185</v>
      </c>
      <c r="E1001" s="18">
        <f>IFERROR(__xludf.DUMMYFUNCTION("""COMPUTED_VALUE"""),1042.0)</f>
        <v>1042</v>
      </c>
      <c r="G1001" s="18">
        <f t="shared" si="1"/>
        <v>23</v>
      </c>
    </row>
    <row r="1002">
      <c r="A1002" s="20">
        <f>IFERROR(__xludf.DUMMYFUNCTION("""COMPUTED_VALUE"""),43983.0)</f>
        <v>43983</v>
      </c>
      <c r="B1002" s="18" t="str">
        <f>IFERROR(__xludf.DUMMYFUNCTION("""COMPUTED_VALUE"""),"Ростов-на-Дону")</f>
        <v>Ростов-на-Дону</v>
      </c>
      <c r="C1002" s="18">
        <f>IFERROR(__xludf.DUMMYFUNCTION("""COMPUTED_VALUE"""),16.0)</f>
        <v>16</v>
      </c>
      <c r="D1002" s="18">
        <f>IFERROR(__xludf.DUMMYFUNCTION("""COMPUTED_VALUE"""),1019.0)</f>
        <v>1019</v>
      </c>
      <c r="E1002" s="18">
        <f>IFERROR(__xludf.DUMMYFUNCTION("""COMPUTED_VALUE"""),895.0)</f>
        <v>895</v>
      </c>
      <c r="G1002" s="18">
        <f t="shared" si="1"/>
        <v>23</v>
      </c>
    </row>
    <row r="1003">
      <c r="A1003" s="20">
        <f>IFERROR(__xludf.DUMMYFUNCTION("""COMPUTED_VALUE"""),43983.0)</f>
        <v>43983</v>
      </c>
      <c r="B1003" s="18" t="str">
        <f>IFERROR(__xludf.DUMMYFUNCTION("""COMPUTED_VALUE"""),"Самара")</f>
        <v>Самара</v>
      </c>
      <c r="C1003" s="18">
        <f>IFERROR(__xludf.DUMMYFUNCTION("""COMPUTED_VALUE"""),15.0)</f>
        <v>15</v>
      </c>
      <c r="D1003" s="18">
        <f>IFERROR(__xludf.DUMMYFUNCTION("""COMPUTED_VALUE"""),453.0)</f>
        <v>453</v>
      </c>
      <c r="E1003" s="18">
        <f>IFERROR(__xludf.DUMMYFUNCTION("""COMPUTED_VALUE"""),370.0)</f>
        <v>370</v>
      </c>
      <c r="G1003" s="18">
        <f t="shared" si="1"/>
        <v>23</v>
      </c>
    </row>
    <row r="1004">
      <c r="A1004" s="20">
        <f>IFERROR(__xludf.DUMMYFUNCTION("""COMPUTED_VALUE"""),43983.0)</f>
        <v>43983</v>
      </c>
      <c r="B1004" s="18" t="str">
        <f>IFERROR(__xludf.DUMMYFUNCTION("""COMPUTED_VALUE"""),"Санкт-Петербург Север")</f>
        <v>Санкт-Петербург Север</v>
      </c>
      <c r="C1004" s="18">
        <f>IFERROR(__xludf.DUMMYFUNCTION("""COMPUTED_VALUE"""),123.0)</f>
        <v>123</v>
      </c>
      <c r="D1004" s="18">
        <f>IFERROR(__xludf.DUMMYFUNCTION("""COMPUTED_VALUE"""),20325.0)</f>
        <v>20325</v>
      </c>
      <c r="E1004" s="18">
        <f>IFERROR(__xludf.DUMMYFUNCTION("""COMPUTED_VALUE"""),18935.0)</f>
        <v>18935</v>
      </c>
      <c r="G1004" s="18">
        <f t="shared" si="1"/>
        <v>23</v>
      </c>
    </row>
    <row r="1005">
      <c r="A1005" s="20">
        <f>IFERROR(__xludf.DUMMYFUNCTION("""COMPUTED_VALUE"""),43983.0)</f>
        <v>43983</v>
      </c>
      <c r="B1005" s="18" t="str">
        <f>IFERROR(__xludf.DUMMYFUNCTION("""COMPUTED_VALUE"""),"Санкт-Петербург Юг")</f>
        <v>Санкт-Петербург Юг</v>
      </c>
      <c r="C1005" s="18">
        <f>IFERROR(__xludf.DUMMYFUNCTION("""COMPUTED_VALUE"""),128.0)</f>
        <v>128</v>
      </c>
      <c r="D1005" s="18">
        <f>IFERROR(__xludf.DUMMYFUNCTION("""COMPUTED_VALUE"""),16285.0)</f>
        <v>16285</v>
      </c>
      <c r="E1005" s="18">
        <f>IFERROR(__xludf.DUMMYFUNCTION("""COMPUTED_VALUE"""),15130.0)</f>
        <v>15130</v>
      </c>
      <c r="G1005" s="18">
        <f t="shared" si="1"/>
        <v>23</v>
      </c>
    </row>
    <row r="1006">
      <c r="A1006" s="20">
        <f>IFERROR(__xludf.DUMMYFUNCTION("""COMPUTED_VALUE"""),43983.0)</f>
        <v>43983</v>
      </c>
      <c r="B1006" s="18" t="str">
        <f>IFERROR(__xludf.DUMMYFUNCTION("""COMPUTED_VALUE"""),"Тольятти")</f>
        <v>Тольятти</v>
      </c>
      <c r="C1006" s="18">
        <f>IFERROR(__xludf.DUMMYFUNCTION("""COMPUTED_VALUE"""),10.0)</f>
        <v>10</v>
      </c>
      <c r="D1006" s="18">
        <f>IFERROR(__xludf.DUMMYFUNCTION("""COMPUTED_VALUE"""),719.0)</f>
        <v>719</v>
      </c>
      <c r="E1006" s="18">
        <f>IFERROR(__xludf.DUMMYFUNCTION("""COMPUTED_VALUE"""),627.0)</f>
        <v>627</v>
      </c>
      <c r="G1006" s="18">
        <f t="shared" si="1"/>
        <v>23</v>
      </c>
    </row>
    <row r="1007">
      <c r="A1007" s="20">
        <f>IFERROR(__xludf.DUMMYFUNCTION("""COMPUTED_VALUE"""),43983.0)</f>
        <v>43983</v>
      </c>
      <c r="B1007" s="18" t="str">
        <f>IFERROR(__xludf.DUMMYFUNCTION("""COMPUTED_VALUE"""),"Томск")</f>
        <v>Томск</v>
      </c>
      <c r="C1007" s="18">
        <f>IFERROR(__xludf.DUMMYFUNCTION("""COMPUTED_VALUE"""),9.0)</f>
        <v>9</v>
      </c>
      <c r="D1007" s="18">
        <f>IFERROR(__xludf.DUMMYFUNCTION("""COMPUTED_VALUE"""),294.0)</f>
        <v>294</v>
      </c>
      <c r="E1007" s="18">
        <f>IFERROR(__xludf.DUMMYFUNCTION("""COMPUTED_VALUE"""),224.0)</f>
        <v>224</v>
      </c>
      <c r="G1007" s="18">
        <f t="shared" si="1"/>
        <v>23</v>
      </c>
    </row>
    <row r="1008">
      <c r="A1008" s="20">
        <f>IFERROR(__xludf.DUMMYFUNCTION("""COMPUTED_VALUE"""),43983.0)</f>
        <v>43983</v>
      </c>
      <c r="B1008" s="18" t="str">
        <f>IFERROR(__xludf.DUMMYFUNCTION("""COMPUTED_VALUE"""),"Тюмень")</f>
        <v>Тюмень</v>
      </c>
      <c r="C1008" s="18">
        <f>IFERROR(__xludf.DUMMYFUNCTION("""COMPUTED_VALUE"""),7.0)</f>
        <v>7</v>
      </c>
      <c r="D1008" s="18">
        <f>IFERROR(__xludf.DUMMYFUNCTION("""COMPUTED_VALUE"""),500.0)</f>
        <v>500</v>
      </c>
      <c r="E1008" s="18">
        <f>IFERROR(__xludf.DUMMYFUNCTION("""COMPUTED_VALUE"""),418.0)</f>
        <v>418</v>
      </c>
      <c r="G1008" s="18">
        <f t="shared" si="1"/>
        <v>23</v>
      </c>
    </row>
    <row r="1009">
      <c r="A1009" s="20">
        <f>IFERROR(__xludf.DUMMYFUNCTION("""COMPUTED_VALUE"""),43983.0)</f>
        <v>43983</v>
      </c>
      <c r="B1009" s="18" t="str">
        <f>IFERROR(__xludf.DUMMYFUNCTION("""COMPUTED_VALUE"""),"Уфа")</f>
        <v>Уфа</v>
      </c>
      <c r="C1009" s="18">
        <f>IFERROR(__xludf.DUMMYFUNCTION("""COMPUTED_VALUE"""),6.0)</f>
        <v>6</v>
      </c>
      <c r="D1009" s="18">
        <f>IFERROR(__xludf.DUMMYFUNCTION("""COMPUTED_VALUE"""),237.0)</f>
        <v>237</v>
      </c>
      <c r="E1009" s="18">
        <f>IFERROR(__xludf.DUMMYFUNCTION("""COMPUTED_VALUE"""),175.0)</f>
        <v>175</v>
      </c>
      <c r="G1009" s="18">
        <f t="shared" si="1"/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1</v>
      </c>
      <c r="B1" s="22">
        <v>43983.0</v>
      </c>
      <c r="C1" s="23" t="s">
        <v>34</v>
      </c>
    </row>
    <row r="2">
      <c r="A2" s="24" t="s">
        <v>15</v>
      </c>
      <c r="B2" s="24">
        <v>3.727816518135E7</v>
      </c>
      <c r="C2" s="25">
        <f t="shared" ref="C2:C19" si="1"> B2 / SUM($B$2:$B$19)
</f>
        <v>0.273868064</v>
      </c>
    </row>
    <row r="3">
      <c r="A3" s="24" t="s">
        <v>14</v>
      </c>
      <c r="B3" s="24">
        <v>2.77863775E7</v>
      </c>
      <c r="C3" s="25">
        <f t="shared" si="1"/>
        <v>0.2041356213</v>
      </c>
    </row>
    <row r="4">
      <c r="A4" s="24" t="s">
        <v>21</v>
      </c>
      <c r="B4" s="24">
        <v>1.94776715E7</v>
      </c>
      <c r="C4" s="25">
        <f t="shared" si="1"/>
        <v>0.1430948159</v>
      </c>
    </row>
    <row r="5">
      <c r="A5" s="24" t="s">
        <v>22</v>
      </c>
      <c r="B5" s="24">
        <v>1.89260585E7</v>
      </c>
      <c r="C5" s="25">
        <f t="shared" si="1"/>
        <v>0.1390423315</v>
      </c>
    </row>
    <row r="6">
      <c r="A6" s="24" t="s">
        <v>11</v>
      </c>
      <c r="B6" s="24">
        <v>6835389.5</v>
      </c>
      <c r="C6" s="25">
        <f t="shared" si="1"/>
        <v>0.05021692672</v>
      </c>
    </row>
    <row r="7">
      <c r="A7" s="24" t="s">
        <v>16</v>
      </c>
      <c r="B7" s="24">
        <v>5805012.0</v>
      </c>
      <c r="C7" s="25">
        <f t="shared" si="1"/>
        <v>0.0426471472</v>
      </c>
    </row>
    <row r="8">
      <c r="A8" s="24" t="s">
        <v>17</v>
      </c>
      <c r="B8" s="24">
        <v>3867782.0</v>
      </c>
      <c r="C8" s="25">
        <f t="shared" si="1"/>
        <v>0.02841507792</v>
      </c>
    </row>
    <row r="9">
      <c r="A9" s="24" t="s">
        <v>13</v>
      </c>
      <c r="B9" s="24">
        <v>3015648.0</v>
      </c>
      <c r="C9" s="25">
        <f t="shared" si="1"/>
        <v>0.02215478352</v>
      </c>
    </row>
    <row r="10">
      <c r="A10" s="24" t="s">
        <v>10</v>
      </c>
      <c r="B10" s="24">
        <v>2947060.5</v>
      </c>
      <c r="C10" s="25">
        <f t="shared" si="1"/>
        <v>0.02165089804</v>
      </c>
    </row>
    <row r="11">
      <c r="A11" s="24" t="s">
        <v>20</v>
      </c>
      <c r="B11" s="24">
        <v>2540846.5</v>
      </c>
      <c r="C11" s="25">
        <f t="shared" si="1"/>
        <v>0.01866660305</v>
      </c>
    </row>
    <row r="12">
      <c r="A12" s="24" t="s">
        <v>19</v>
      </c>
      <c r="B12" s="24">
        <v>1566651.5</v>
      </c>
      <c r="C12" s="25">
        <f t="shared" si="1"/>
        <v>0.01150957434</v>
      </c>
    </row>
    <row r="13">
      <c r="A13" s="24" t="s">
        <v>18</v>
      </c>
      <c r="B13" s="24">
        <v>1527793.5</v>
      </c>
      <c r="C13" s="25">
        <f t="shared" si="1"/>
        <v>0.01122409984</v>
      </c>
    </row>
    <row r="14">
      <c r="A14" s="24" t="s">
        <v>23</v>
      </c>
      <c r="B14" s="24">
        <v>1294142.0</v>
      </c>
      <c r="C14" s="25">
        <f t="shared" si="1"/>
        <v>0.009507553882</v>
      </c>
    </row>
    <row r="15">
      <c r="A15" s="24" t="s">
        <v>12</v>
      </c>
      <c r="B15" s="24">
        <v>1008461.0</v>
      </c>
      <c r="C15" s="25">
        <f t="shared" si="1"/>
        <v>0.007408767581</v>
      </c>
    </row>
    <row r="16">
      <c r="A16" s="24" t="s">
        <v>24</v>
      </c>
      <c r="B16" s="24">
        <v>802947.5</v>
      </c>
      <c r="C16" s="25">
        <f t="shared" si="1"/>
        <v>0.005898940472</v>
      </c>
    </row>
    <row r="17">
      <c r="A17" s="24" t="s">
        <v>9</v>
      </c>
      <c r="B17" s="24">
        <v>636798.0</v>
      </c>
      <c r="C17" s="25">
        <f t="shared" si="1"/>
        <v>0.004678305238</v>
      </c>
    </row>
    <row r="18">
      <c r="A18" s="24" t="s">
        <v>26</v>
      </c>
      <c r="B18" s="24">
        <v>411129.0</v>
      </c>
      <c r="C18" s="25">
        <f t="shared" si="1"/>
        <v>0.003020403572</v>
      </c>
    </row>
    <row r="19">
      <c r="A19" s="24" t="s">
        <v>25</v>
      </c>
      <c r="B19" s="24">
        <v>389307.0</v>
      </c>
      <c r="C19" s="25">
        <f t="shared" si="1"/>
        <v>0.002860085894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1</v>
      </c>
      <c r="B1" s="26">
        <v>43983.0</v>
      </c>
      <c r="C1" s="23" t="s">
        <v>34</v>
      </c>
    </row>
    <row r="2">
      <c r="A2" s="24" t="s">
        <v>15</v>
      </c>
      <c r="B2" s="24">
        <v>349822.5</v>
      </c>
      <c r="C2" s="25">
        <f t="shared" ref="C2:C19" si="1"> B2/ SUM($B$2:$B$19)
</f>
        <v>0.2580679786</v>
      </c>
    </row>
    <row r="3">
      <c r="A3" s="24" t="s">
        <v>14</v>
      </c>
      <c r="B3" s="24">
        <v>273054.5</v>
      </c>
      <c r="C3" s="25">
        <f t="shared" si="1"/>
        <v>0.2014353647</v>
      </c>
    </row>
    <row r="4">
      <c r="A4" s="24" t="s">
        <v>21</v>
      </c>
      <c r="B4" s="24">
        <v>188835.5</v>
      </c>
      <c r="C4" s="25">
        <f t="shared" si="1"/>
        <v>0.1393060646</v>
      </c>
    </row>
    <row r="5">
      <c r="A5" s="24" t="s">
        <v>22</v>
      </c>
      <c r="B5" s="24">
        <v>183282.0</v>
      </c>
      <c r="C5" s="25">
        <f t="shared" si="1"/>
        <v>0.1352091854</v>
      </c>
    </row>
    <row r="6">
      <c r="A6" s="24" t="s">
        <v>11</v>
      </c>
      <c r="B6" s="24">
        <v>77300.5</v>
      </c>
      <c r="C6" s="25">
        <f t="shared" si="1"/>
        <v>0.05702544513</v>
      </c>
    </row>
    <row r="7">
      <c r="A7" s="24" t="s">
        <v>16</v>
      </c>
      <c r="B7" s="24">
        <v>64777.0</v>
      </c>
      <c r="C7" s="25">
        <f t="shared" si="1"/>
        <v>0.04778671884</v>
      </c>
    </row>
    <row r="8">
      <c r="A8" s="24" t="s">
        <v>17</v>
      </c>
      <c r="B8" s="24">
        <v>40551.5</v>
      </c>
      <c r="C8" s="25">
        <f t="shared" si="1"/>
        <v>0.029915296</v>
      </c>
    </row>
    <row r="9">
      <c r="A9" s="24" t="s">
        <v>13</v>
      </c>
      <c r="B9" s="24">
        <v>32190.5</v>
      </c>
      <c r="C9" s="25">
        <f t="shared" si="1"/>
        <v>0.0237472926</v>
      </c>
    </row>
    <row r="10">
      <c r="A10" s="24" t="s">
        <v>10</v>
      </c>
      <c r="B10" s="24">
        <v>31968.0</v>
      </c>
      <c r="C10" s="25">
        <f t="shared" si="1"/>
        <v>0.02358315186</v>
      </c>
    </row>
    <row r="11">
      <c r="A11" s="24" t="s">
        <v>20</v>
      </c>
      <c r="B11" s="24">
        <v>27981.0</v>
      </c>
      <c r="C11" s="25">
        <f t="shared" si="1"/>
        <v>0.02064189728</v>
      </c>
    </row>
    <row r="12">
      <c r="A12" s="24" t="s">
        <v>18</v>
      </c>
      <c r="B12" s="24">
        <v>16704.5</v>
      </c>
      <c r="C12" s="25">
        <f t="shared" si="1"/>
        <v>0.01232309685</v>
      </c>
    </row>
    <row r="13">
      <c r="A13" s="24" t="s">
        <v>19</v>
      </c>
      <c r="B13" s="24">
        <v>16492.0</v>
      </c>
      <c r="C13" s="25">
        <f t="shared" si="1"/>
        <v>0.01216633322</v>
      </c>
    </row>
    <row r="14">
      <c r="A14" s="24" t="s">
        <v>23</v>
      </c>
      <c r="B14" s="24">
        <v>14256.0</v>
      </c>
      <c r="C14" s="25">
        <f t="shared" si="1"/>
        <v>0.01051681096</v>
      </c>
    </row>
    <row r="15">
      <c r="A15" s="24" t="s">
        <v>12</v>
      </c>
      <c r="B15" s="24">
        <v>11426.5</v>
      </c>
      <c r="C15" s="25">
        <f t="shared" si="1"/>
        <v>0.008429457104</v>
      </c>
    </row>
    <row r="16">
      <c r="A16" s="24" t="s">
        <v>24</v>
      </c>
      <c r="B16" s="24">
        <v>9481.0</v>
      </c>
      <c r="C16" s="25">
        <f t="shared" si="1"/>
        <v>0.006994239951</v>
      </c>
    </row>
    <row r="17">
      <c r="A17" s="24" t="s">
        <v>9</v>
      </c>
      <c r="B17" s="24">
        <v>7831.5</v>
      </c>
      <c r="C17" s="25">
        <f t="shared" si="1"/>
        <v>0.005777385315</v>
      </c>
    </row>
    <row r="18">
      <c r="A18" s="24" t="s">
        <v>25</v>
      </c>
      <c r="B18" s="24">
        <v>5175.0</v>
      </c>
      <c r="C18" s="25">
        <f t="shared" si="1"/>
        <v>0.003817655495</v>
      </c>
    </row>
    <row r="19">
      <c r="A19" s="24" t="s">
        <v>26</v>
      </c>
      <c r="B19" s="24">
        <v>4414.5</v>
      </c>
      <c r="C19" s="25">
        <f t="shared" si="1"/>
        <v>0.003256626122</v>
      </c>
    </row>
    <row r="20">
      <c r="C2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0">
        <v>43983.0</v>
      </c>
    </row>
    <row r="2">
      <c r="A2" s="24" t="s">
        <v>1</v>
      </c>
      <c r="B2" s="27" t="s">
        <v>3</v>
      </c>
      <c r="C2" s="27" t="s">
        <v>29</v>
      </c>
    </row>
    <row r="3">
      <c r="A3" s="24" t="s">
        <v>16</v>
      </c>
      <c r="B3" s="24">
        <v>5805012.0</v>
      </c>
      <c r="C3" s="25">
        <v>0.03541689294447744</v>
      </c>
    </row>
    <row r="4">
      <c r="A4" s="24" t="s">
        <v>11</v>
      </c>
      <c r="B4" s="24">
        <v>6835389.5</v>
      </c>
      <c r="C4" s="25">
        <v>0.03209409003850528</v>
      </c>
    </row>
    <row r="5">
      <c r="A5" s="24" t="s">
        <v>17</v>
      </c>
      <c r="B5" s="24">
        <v>3867782.0</v>
      </c>
      <c r="C5" s="25">
        <v>0.08692865751598221</v>
      </c>
    </row>
    <row r="6">
      <c r="A6" s="24" t="s">
        <v>10</v>
      </c>
      <c r="B6" s="24">
        <v>2947060.5</v>
      </c>
      <c r="C6" s="25">
        <v>0.1303079935447559</v>
      </c>
    </row>
    <row r="7">
      <c r="A7" s="24" t="s">
        <v>20</v>
      </c>
      <c r="B7" s="24">
        <v>2540846.5</v>
      </c>
      <c r="C7" s="25">
        <v>0.05284373899111472</v>
      </c>
    </row>
    <row r="8">
      <c r="A8" s="24" t="s">
        <v>22</v>
      </c>
      <c r="B8" s="24">
        <v>1.89260585E7</v>
      </c>
      <c r="C8" s="25">
        <v>0.02454413527689685</v>
      </c>
    </row>
    <row r="9">
      <c r="A9" s="24" t="s">
        <v>21</v>
      </c>
      <c r="B9" s="24">
        <v>1.94776715E7</v>
      </c>
      <c r="C9" s="25">
        <v>0.024016170627729195</v>
      </c>
    </row>
    <row r="10">
      <c r="A10" s="24" t="s">
        <v>13</v>
      </c>
      <c r="B10" s="24">
        <v>3015648.0</v>
      </c>
      <c r="C10" s="25">
        <v>0.07281513311225726</v>
      </c>
    </row>
    <row r="11">
      <c r="A11" s="24" t="s">
        <v>23</v>
      </c>
      <c r="B11" s="24">
        <v>1294142.0</v>
      </c>
      <c r="C11" s="25">
        <v>0.10002040822760283</v>
      </c>
    </row>
    <row r="12">
      <c r="A12" s="24" t="s">
        <v>18</v>
      </c>
      <c r="B12" s="24">
        <v>1527793.5</v>
      </c>
      <c r="C12" s="25">
        <v>0.2229448700778934</v>
      </c>
    </row>
    <row r="13">
      <c r="A13" s="24" t="s">
        <v>19</v>
      </c>
      <c r="B13" s="24">
        <v>1566651.5</v>
      </c>
      <c r="C13" s="25">
        <v>0.12444036306290072</v>
      </c>
    </row>
    <row r="14">
      <c r="A14" s="24" t="s">
        <v>9</v>
      </c>
      <c r="B14" s="24">
        <v>636798.0</v>
      </c>
      <c r="C14" s="25">
        <v>0.2991212326646709</v>
      </c>
    </row>
    <row r="15">
      <c r="A15" s="24" t="s">
        <v>15</v>
      </c>
      <c r="B15" s="24">
        <v>3.727816518135E7</v>
      </c>
      <c r="C15" s="25">
        <v>0.019991942148320577</v>
      </c>
    </row>
    <row r="16">
      <c r="A16" s="24" t="s">
        <v>14</v>
      </c>
      <c r="B16" s="24">
        <v>2.77863775E7</v>
      </c>
      <c r="C16" s="25">
        <v>0.03143325519296039</v>
      </c>
    </row>
    <row r="17">
      <c r="A17" s="24" t="s">
        <v>12</v>
      </c>
      <c r="B17" s="24">
        <v>1008461.0</v>
      </c>
      <c r="C17" s="25">
        <v>0.14403274395781704</v>
      </c>
    </row>
    <row r="18">
      <c r="A18" s="24" t="s">
        <v>25</v>
      </c>
      <c r="B18" s="24">
        <v>389307.0</v>
      </c>
      <c r="C18" s="25">
        <v>0.36397937458684887</v>
      </c>
    </row>
    <row r="19">
      <c r="A19" s="24" t="s">
        <v>24</v>
      </c>
      <c r="B19" s="24">
        <v>802947.5</v>
      </c>
      <c r="C19" s="25">
        <v>0.10164027349980001</v>
      </c>
    </row>
    <row r="20">
      <c r="A20" s="24" t="s">
        <v>26</v>
      </c>
      <c r="B20" s="24">
        <v>411129.0</v>
      </c>
      <c r="C20" s="25">
        <v>0.08802496482324758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2021-09-13T10:17:58Z</dcterms:created>
  <dc:creator>User</dc:creator>
</cp:coreProperties>
</file>