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oolfwp\Desktop\Programacion\Proyectos\Proyecto_Transporte\Modelamiento\"/>
    </mc:Choice>
  </mc:AlternateContent>
  <xr:revisionPtr revIDLastSave="0" documentId="13_ncr:1_{0865D668-EB70-40FD-9484-A63421409F1A}" xr6:coauthVersionLast="45" xr6:coauthVersionMax="45" xr10:uidLastSave="{00000000-0000-0000-0000-000000000000}"/>
  <bookViews>
    <workbookView xWindow="-108" yWindow="-108" windowWidth="23256" windowHeight="12576" xr2:uid="{62FADA92-7EC1-4AC9-9082-A929FFBB323A}"/>
  </bookViews>
  <sheets>
    <sheet name="MODELO ESTIMACION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3" i="1" l="1"/>
  <c r="AB4" i="1"/>
  <c r="AB5" i="1"/>
  <c r="AB6" i="1"/>
  <c r="AB7" i="1"/>
  <c r="AB8" i="1"/>
  <c r="AB9" i="1"/>
  <c r="AB2" i="1"/>
  <c r="AD9" i="1"/>
  <c r="AD8" i="1"/>
  <c r="AA8" i="1"/>
  <c r="AD7" i="1"/>
  <c r="AA7" i="1"/>
  <c r="AD6" i="1"/>
  <c r="AA6" i="1"/>
  <c r="AD5" i="1"/>
  <c r="AA5" i="1"/>
  <c r="AD4" i="1"/>
  <c r="AD3" i="1"/>
  <c r="AD2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5" i="1"/>
  <c r="R2" i="1"/>
  <c r="R4" i="1"/>
  <c r="R3" i="1"/>
  <c r="P10" i="1"/>
  <c r="P18" i="1"/>
  <c r="P26" i="1"/>
  <c r="P34" i="1"/>
  <c r="P42" i="1"/>
  <c r="Q6" i="1"/>
  <c r="Q14" i="1"/>
  <c r="Q22" i="1"/>
  <c r="Q30" i="1"/>
  <c r="Q38" i="1"/>
  <c r="Q46" i="1"/>
  <c r="O9" i="1"/>
  <c r="O17" i="1"/>
  <c r="O25" i="1"/>
  <c r="O33" i="1"/>
  <c r="O41" i="1"/>
  <c r="I3" i="1"/>
  <c r="O3" i="1" s="1"/>
  <c r="I4" i="1"/>
  <c r="Q4" i="1" s="1"/>
  <c r="I5" i="1"/>
  <c r="Q5" i="1" s="1"/>
  <c r="I6" i="1"/>
  <c r="P6" i="1" s="1"/>
  <c r="I7" i="1"/>
  <c r="P7" i="1" s="1"/>
  <c r="I8" i="1"/>
  <c r="Q8" i="1" s="1"/>
  <c r="I9" i="1"/>
  <c r="Q9" i="1" s="1"/>
  <c r="I10" i="1"/>
  <c r="O10" i="1" s="1"/>
  <c r="I11" i="1"/>
  <c r="P11" i="1" s="1"/>
  <c r="I12" i="1"/>
  <c r="Q12" i="1" s="1"/>
  <c r="I13" i="1"/>
  <c r="Q13" i="1" s="1"/>
  <c r="I14" i="1"/>
  <c r="P14" i="1" s="1"/>
  <c r="I15" i="1"/>
  <c r="P15" i="1" s="1"/>
  <c r="I16" i="1"/>
  <c r="Q16" i="1" s="1"/>
  <c r="I17" i="1"/>
  <c r="Q17" i="1" s="1"/>
  <c r="I18" i="1"/>
  <c r="O18" i="1" s="1"/>
  <c r="I19" i="1"/>
  <c r="P19" i="1" s="1"/>
  <c r="I20" i="1"/>
  <c r="Q20" i="1" s="1"/>
  <c r="I21" i="1"/>
  <c r="Q21" i="1" s="1"/>
  <c r="I22" i="1"/>
  <c r="P22" i="1" s="1"/>
  <c r="I23" i="1"/>
  <c r="P23" i="1" s="1"/>
  <c r="I24" i="1"/>
  <c r="Q24" i="1" s="1"/>
  <c r="I25" i="1"/>
  <c r="Q25" i="1" s="1"/>
  <c r="I26" i="1"/>
  <c r="O26" i="1" s="1"/>
  <c r="I27" i="1"/>
  <c r="P27" i="1" s="1"/>
  <c r="I28" i="1"/>
  <c r="Q28" i="1" s="1"/>
  <c r="I29" i="1"/>
  <c r="Q29" i="1" s="1"/>
  <c r="I30" i="1"/>
  <c r="P30" i="1" s="1"/>
  <c r="I31" i="1"/>
  <c r="P31" i="1" s="1"/>
  <c r="I32" i="1"/>
  <c r="Q32" i="1" s="1"/>
  <c r="I33" i="1"/>
  <c r="Q33" i="1" s="1"/>
  <c r="I34" i="1"/>
  <c r="O34" i="1" s="1"/>
  <c r="I35" i="1"/>
  <c r="P35" i="1" s="1"/>
  <c r="I36" i="1"/>
  <c r="Q36" i="1" s="1"/>
  <c r="I37" i="1"/>
  <c r="Q37" i="1" s="1"/>
  <c r="I38" i="1"/>
  <c r="P38" i="1" s="1"/>
  <c r="I39" i="1"/>
  <c r="P39" i="1" s="1"/>
  <c r="I40" i="1"/>
  <c r="Q40" i="1" s="1"/>
  <c r="I41" i="1"/>
  <c r="Q41" i="1" s="1"/>
  <c r="I42" i="1"/>
  <c r="O42" i="1" s="1"/>
  <c r="I43" i="1"/>
  <c r="P43" i="1" s="1"/>
  <c r="I44" i="1"/>
  <c r="Q44" i="1" s="1"/>
  <c r="I45" i="1"/>
  <c r="Q45" i="1" s="1"/>
  <c r="I46" i="1"/>
  <c r="P46" i="1" s="1"/>
  <c r="I47" i="1"/>
  <c r="P47" i="1" s="1"/>
  <c r="I2" i="1"/>
  <c r="P2" i="1" s="1"/>
  <c r="AA9" i="1" l="1"/>
  <c r="O46" i="1"/>
  <c r="O38" i="1"/>
  <c r="O30" i="1"/>
  <c r="O22" i="1"/>
  <c r="O14" i="1"/>
  <c r="O6" i="1"/>
  <c r="Q43" i="1"/>
  <c r="Q35" i="1"/>
  <c r="Q27" i="1"/>
  <c r="Q19" i="1"/>
  <c r="Q11" i="1"/>
  <c r="Q3" i="1"/>
  <c r="P41" i="1"/>
  <c r="P33" i="1"/>
  <c r="P25" i="1"/>
  <c r="P17" i="1"/>
  <c r="P9" i="1"/>
  <c r="O45" i="1"/>
  <c r="O37" i="1"/>
  <c r="O29" i="1"/>
  <c r="O21" i="1"/>
  <c r="O13" i="1"/>
  <c r="O5" i="1"/>
  <c r="Q42" i="1"/>
  <c r="Q34" i="1"/>
  <c r="Q26" i="1"/>
  <c r="Q18" i="1"/>
  <c r="Q10" i="1"/>
  <c r="Q47" i="1"/>
  <c r="Q39" i="1"/>
  <c r="Q31" i="1"/>
  <c r="Q23" i="1"/>
  <c r="Q15" i="1"/>
  <c r="Q7" i="1"/>
  <c r="P45" i="1"/>
  <c r="P37" i="1"/>
  <c r="P29" i="1"/>
  <c r="P21" i="1"/>
  <c r="P13" i="1"/>
  <c r="P5" i="1"/>
  <c r="Q2" i="1"/>
  <c r="P3" i="1"/>
  <c r="AA2" i="1" s="1"/>
  <c r="O2" i="1"/>
  <c r="O44" i="1"/>
  <c r="O40" i="1"/>
  <c r="O36" i="1"/>
  <c r="O32" i="1"/>
  <c r="O28" i="1"/>
  <c r="O24" i="1"/>
  <c r="O20" i="1"/>
  <c r="O16" i="1"/>
  <c r="O12" i="1"/>
  <c r="O8" i="1"/>
  <c r="O4" i="1"/>
  <c r="P4" i="1"/>
  <c r="P44" i="1"/>
  <c r="P40" i="1"/>
  <c r="P36" i="1"/>
  <c r="P32" i="1"/>
  <c r="P28" i="1"/>
  <c r="P24" i="1"/>
  <c r="AA4" i="1" s="1"/>
  <c r="P20" i="1"/>
  <c r="P16" i="1"/>
  <c r="P12" i="1"/>
  <c r="P8" i="1"/>
  <c r="O47" i="1"/>
  <c r="O43" i="1"/>
  <c r="O39" i="1"/>
  <c r="O35" i="1"/>
  <c r="O31" i="1"/>
  <c r="O27" i="1"/>
  <c r="O23" i="1"/>
  <c r="O19" i="1"/>
  <c r="O15" i="1"/>
  <c r="O11" i="1"/>
  <c r="O7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13" i="1"/>
  <c r="N8" i="1"/>
  <c r="N9" i="1"/>
  <c r="N10" i="1"/>
  <c r="N11" i="1"/>
  <c r="N12" i="1"/>
  <c r="N7" i="1"/>
  <c r="N4" i="1"/>
  <c r="N5" i="1"/>
  <c r="N6" i="1"/>
  <c r="N3" i="1"/>
  <c r="N2" i="1"/>
  <c r="M2" i="1"/>
  <c r="L2" i="1"/>
  <c r="M8" i="1"/>
  <c r="M9" i="1"/>
  <c r="M10" i="1"/>
  <c r="M11" i="1"/>
  <c r="M12" i="1"/>
  <c r="M7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13" i="1"/>
  <c r="M4" i="1"/>
  <c r="M5" i="1"/>
  <c r="M6" i="1"/>
  <c r="M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13" i="1"/>
  <c r="L8" i="1"/>
  <c r="L9" i="1"/>
  <c r="L10" i="1"/>
  <c r="L11" i="1"/>
  <c r="L12" i="1"/>
  <c r="L7" i="1"/>
  <c r="L4" i="1"/>
  <c r="L5" i="1"/>
  <c r="L6" i="1"/>
  <c r="L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13" i="1"/>
  <c r="K12" i="1"/>
  <c r="K11" i="1"/>
  <c r="K10" i="1"/>
  <c r="K9" i="1"/>
  <c r="K8" i="1"/>
  <c r="K7" i="1"/>
  <c r="K6" i="1"/>
  <c r="K5" i="1"/>
  <c r="K4" i="1"/>
  <c r="K3" i="1"/>
  <c r="K2" i="1"/>
  <c r="AA3" i="1" l="1"/>
  <c r="U5" i="1"/>
  <c r="U6" i="1"/>
  <c r="V5" i="1"/>
  <c r="V6" i="1" s="1"/>
  <c r="X5" i="1"/>
  <c r="X6" i="1" s="1"/>
  <c r="W5" i="1"/>
  <c r="W6" i="1" s="1"/>
</calcChain>
</file>

<file path=xl/sharedStrings.xml><?xml version="1.0" encoding="utf-8"?>
<sst xmlns="http://schemas.openxmlformats.org/spreadsheetml/2006/main" count="249" uniqueCount="148">
  <si>
    <t>TIPO APLICACIÓN</t>
  </si>
  <si>
    <t>Alcance</t>
  </si>
  <si>
    <t>CAPAS</t>
  </si>
  <si>
    <t>Tipo Elemento</t>
  </si>
  <si>
    <t>Elemento</t>
  </si>
  <si>
    <t>PROYECTO COOPETRANS</t>
  </si>
  <si>
    <t>Ref Requerimientos</t>
  </si>
  <si>
    <t>Esfuerzo HH x Und</t>
  </si>
  <si>
    <t>TOTAL HH</t>
  </si>
  <si>
    <t>PERFIL PRO</t>
  </si>
  <si>
    <t>WEB</t>
  </si>
  <si>
    <t>Usuario Final</t>
  </si>
  <si>
    <t>FRONT-END</t>
  </si>
  <si>
    <t>Presentacion</t>
  </si>
  <si>
    <t>Look and Feel (CSS, JS, HTML, WIDGETS)</t>
  </si>
  <si>
    <t>Ing Multimedia</t>
  </si>
  <si>
    <t>Interfaz de Usuario</t>
  </si>
  <si>
    <t>Parrilla de Opciones</t>
  </si>
  <si>
    <t>Ing Sistemas</t>
  </si>
  <si>
    <t>Captura de Informacion</t>
  </si>
  <si>
    <t>Bandejas de Gestion</t>
  </si>
  <si>
    <t>Lanzamiento de Procesos</t>
  </si>
  <si>
    <t>Consulta de Informacion</t>
  </si>
  <si>
    <t>Tecnologo de Sistemas</t>
  </si>
  <si>
    <t>Dialogo Transaccional</t>
  </si>
  <si>
    <t>Dialogo de Validacion</t>
  </si>
  <si>
    <t>Sistemas de Terceros</t>
  </si>
  <si>
    <t>INTEGRACION</t>
  </si>
  <si>
    <t>Notificaciones</t>
  </si>
  <si>
    <t>Mensajeria SMS</t>
  </si>
  <si>
    <t>Mensajeria Email</t>
  </si>
  <si>
    <t>Comunicación Telefonica</t>
  </si>
  <si>
    <t>Flujos de Informacion</t>
  </si>
  <si>
    <t>Enviar Archivos</t>
  </si>
  <si>
    <t>Recibir Archivos</t>
  </si>
  <si>
    <t>Integracion Dispositivos</t>
  </si>
  <si>
    <t>Usar Dispositivos de Usuario</t>
  </si>
  <si>
    <t>Transaccional</t>
  </si>
  <si>
    <t>Llamar una API</t>
  </si>
  <si>
    <t>Exponer una API</t>
  </si>
  <si>
    <t>Consumir un Servicio</t>
  </si>
  <si>
    <t>Exponer un Servicio</t>
  </si>
  <si>
    <t>Interfaz Estandar</t>
  </si>
  <si>
    <t>Logica de Negocio</t>
  </si>
  <si>
    <t>BACK-END</t>
  </si>
  <si>
    <t>Funcionalidades</t>
  </si>
  <si>
    <t>Programa o Algoritmo</t>
  </si>
  <si>
    <t>Funciones Recursivas</t>
  </si>
  <si>
    <t>Clases</t>
  </si>
  <si>
    <t>Rutinas de Scritps</t>
  </si>
  <si>
    <t>Mapeo de Informacion (Tablas)</t>
  </si>
  <si>
    <t>DML</t>
  </si>
  <si>
    <t>Procedimientos Almacenados</t>
  </si>
  <si>
    <t>DDL</t>
  </si>
  <si>
    <t>Funciones de Manipulacion de Datos</t>
  </si>
  <si>
    <t>Informacion</t>
  </si>
  <si>
    <t>PERSISTENCIA</t>
  </si>
  <si>
    <t>Bases de Datos</t>
  </si>
  <si>
    <t>Tablas</t>
  </si>
  <si>
    <t>Archivos</t>
  </si>
  <si>
    <t>Dominios de Objetos</t>
  </si>
  <si>
    <t>Roles</t>
  </si>
  <si>
    <t>Drivers</t>
  </si>
  <si>
    <t>Ejecucion de Procesos</t>
  </si>
  <si>
    <t>INFRAESTRUCTURA</t>
  </si>
  <si>
    <t>Servidores</t>
  </si>
  <si>
    <t>Servidor de Aplicaciones</t>
  </si>
  <si>
    <t>Servidor de Base de Datos</t>
  </si>
  <si>
    <t>Servidor de Proxy</t>
  </si>
  <si>
    <t>Servidor de Ejecucion de Procesos Batch</t>
  </si>
  <si>
    <t>Servicio</t>
  </si>
  <si>
    <t>Nube</t>
  </si>
  <si>
    <t>Comunicación TI</t>
  </si>
  <si>
    <t>NETWORKING</t>
  </si>
  <si>
    <t>Seguridad</t>
  </si>
  <si>
    <t>Firewall</t>
  </si>
  <si>
    <t>Certificados de Seguridad</t>
  </si>
  <si>
    <t>Protocolos de Comunicación</t>
  </si>
  <si>
    <t>Redes</t>
  </si>
  <si>
    <t>DSL de Internet</t>
  </si>
  <si>
    <t>Planeacion</t>
  </si>
  <si>
    <t>*DEFINICION</t>
  </si>
  <si>
    <t>Diseños</t>
  </si>
  <si>
    <t>Arquitectura</t>
  </si>
  <si>
    <t>Prototipos</t>
  </si>
  <si>
    <t>Modelo Entidad Relacion</t>
  </si>
  <si>
    <t>Plan de Implementacion</t>
  </si>
  <si>
    <t>Gestion y Planeacion del Proyecto</t>
  </si>
  <si>
    <t>COSTO X H(COL)</t>
  </si>
  <si>
    <t>COSTO X H (INDIA</t>
  </si>
  <si>
    <t>COSTO X H (EUR)</t>
  </si>
  <si>
    <t>COSTO Total Hora(COL)</t>
  </si>
  <si>
    <t>COSTO Total Hora (EUR)</t>
  </si>
  <si>
    <t>TOTAL PROYECTO</t>
  </si>
  <si>
    <t>COSTO Total Hora (INDIA</t>
  </si>
  <si>
    <t>COSTO X H(AFRICA Meridional)</t>
  </si>
  <si>
    <t>COSTO Total H(AFRICA Meridional)</t>
  </si>
  <si>
    <t>DIA HH CALENDARIO FABRICA CLASICA</t>
  </si>
  <si>
    <t>COSTO FABRICA CLASICA</t>
  </si>
  <si>
    <t>DIA HH CALENDARIO FABRICA CONTINIA</t>
  </si>
  <si>
    <t>COSTO FABRICA CONTINUA</t>
  </si>
  <si>
    <t>Cifra Universal</t>
  </si>
  <si>
    <t>25 Dias</t>
  </si>
  <si>
    <t>24 Dias</t>
  </si>
  <si>
    <t>20 Dias</t>
  </si>
  <si>
    <t>8 Horas</t>
  </si>
  <si>
    <t xml:space="preserve">7 Horas </t>
  </si>
  <si>
    <t xml:space="preserve">Costo Total FRONT-END </t>
  </si>
  <si>
    <t>Costo Total Integracion</t>
  </si>
  <si>
    <t xml:space="preserve">Costo Total BACK-END </t>
  </si>
  <si>
    <t>Costo Total Persistencia</t>
  </si>
  <si>
    <t>Costo TotalINFRAESTRUCTURA</t>
  </si>
  <si>
    <t>Costo total NETWORKING</t>
  </si>
  <si>
    <t>Costo Total*DEFINICION</t>
  </si>
  <si>
    <t>Costos Fabrica Clasica Colombia</t>
  </si>
  <si>
    <t>TOTAL</t>
  </si>
  <si>
    <t>Costos Fabrica Continua (COL, IND,AFRICA MERI)</t>
  </si>
  <si>
    <t>1,3,17,16</t>
  </si>
  <si>
    <t>1,2,4,8,9</t>
  </si>
  <si>
    <t>16,19,14</t>
  </si>
  <si>
    <t>1,2,17,35,14</t>
  </si>
  <si>
    <t>20,27,26</t>
  </si>
  <si>
    <t>3,6,15</t>
  </si>
  <si>
    <t>27,23,18</t>
  </si>
  <si>
    <t>8,7,16</t>
  </si>
  <si>
    <t>24,23,8</t>
  </si>
  <si>
    <t>1,3,4,18,24,23,40,39,38,15,17</t>
  </si>
  <si>
    <t>25,24,23,8</t>
  </si>
  <si>
    <t>2,4,8,10,11,12</t>
  </si>
  <si>
    <t>11,12,23,8,25</t>
  </si>
  <si>
    <t>1,2,3,4,5,6,7,8,9,10,11,12,13,14,15…,40</t>
  </si>
  <si>
    <t>1,2,3,7.8.12,16,20,21,24,25</t>
  </si>
  <si>
    <t>1,2,3,7.8</t>
  </si>
  <si>
    <t>1,.8.12,16,20,25</t>
  </si>
  <si>
    <t>3,7.8.12,,24,25</t>
  </si>
  <si>
    <t>1,2,3,7,16,20,21,24,25</t>
  </si>
  <si>
    <t>1,2,3,7.8.12,16,20</t>
  </si>
  <si>
    <t>1,8,17</t>
  </si>
  <si>
    <t>1,8,9</t>
  </si>
  <si>
    <t>3,32,31,30</t>
  </si>
  <si>
    <t>1,.8.12,16,20,25,31</t>
  </si>
  <si>
    <t>1,2,3,39,40</t>
  </si>
  <si>
    <t>29,30,31,32,33,34,35,36,37,38,39,40</t>
  </si>
  <si>
    <t>29,30,31,32,33,34,35,36,37</t>
  </si>
  <si>
    <t>1…40</t>
  </si>
  <si>
    <t>1..40</t>
  </si>
  <si>
    <t xml:space="preserve"> </t>
  </si>
  <si>
    <t>Diferencias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</si>
</sst>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2" formatCode="_-&quot;$&quot;* #,##0_-;\-&quot;$&quot;* #,##0_-;_-&quot;$&quot;* &quot;-&quot;_-;_-@_-"/>
    <numFmt numFmtId="170" formatCode="0.0"/>
  </numFmts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42" fontId="2" fillId="0" borderId="0" applyFont="0" applyFill="0" applyBorder="0" applyAlignment="0" applyProtection="0"/>
  </cellStyleXfs>
  <cellXfs count="20">
    <xf numFmtId="0" fontId="0" fillId="0" borderId="0" xfId="0"/>
    <xf numFmtId="0" fontId="1" fillId="2" borderId="0" xfId="1"/>
    <xf numFmtId="0" fontId="1" fillId="2" borderId="0" xfId="1" applyAlignment="1">
      <alignment wrapText="1"/>
    </xf>
    <xf numFmtId="0" fontId="1" fillId="3" borderId="0" xfId="2" applyAlignment="1">
      <alignment wrapText="1"/>
    </xf>
    <xf numFmtId="0" fontId="0" fillId="0" borderId="0" xfId="0" applyAlignment="1">
      <alignment wrapText="1"/>
    </xf>
    <xf numFmtId="0" fontId="0" fillId="0" borderId="0" xfId="0" quotePrefix="1" applyAlignment="1">
      <alignment wrapText="1"/>
    </xf>
    <xf numFmtId="42" fontId="0" fillId="0" borderId="0" xfId="3" applyFont="1"/>
    <xf numFmtId="42" fontId="0" fillId="0" borderId="0" xfId="0" applyNumberFormat="1"/>
    <xf numFmtId="0" fontId="1" fillId="4" borderId="0" xfId="0" applyFont="1" applyFill="1" applyAlignment="1">
      <alignment wrapText="1"/>
    </xf>
    <xf numFmtId="0" fontId="1" fillId="5" borderId="0" xfId="1" applyFill="1" applyAlignment="1">
      <alignment wrapText="1"/>
    </xf>
    <xf numFmtId="0" fontId="1" fillId="6" borderId="0" xfId="1" applyFill="1" applyAlignment="1">
      <alignment wrapText="1"/>
    </xf>
    <xf numFmtId="0" fontId="0" fillId="7" borderId="0" xfId="0" applyFill="1" applyAlignment="1">
      <alignment wrapText="1"/>
    </xf>
    <xf numFmtId="0" fontId="0" fillId="0" borderId="0" xfId="0" applyFont="1" applyAlignment="1"/>
    <xf numFmtId="170" fontId="0" fillId="0" borderId="0" xfId="0" applyNumberFormat="1"/>
    <xf numFmtId="0" fontId="1" fillId="5" borderId="0" xfId="3" applyNumberFormat="1" applyFont="1" applyFill="1" applyAlignment="1">
      <alignment wrapText="1"/>
    </xf>
    <xf numFmtId="0" fontId="0" fillId="7" borderId="0" xfId="0" applyFill="1" applyAlignment="1">
      <alignment horizontal="center" wrapText="1"/>
    </xf>
    <xf numFmtId="0" fontId="0" fillId="5" borderId="0" xfId="0" applyFill="1" applyAlignment="1">
      <alignment wrapText="1"/>
    </xf>
    <xf numFmtId="0" fontId="1" fillId="8" borderId="0" xfId="0" applyFont="1" applyFill="1" applyAlignment="1">
      <alignment horizontal="center" wrapText="1"/>
    </xf>
    <xf numFmtId="0" fontId="3" fillId="9" borderId="1" xfId="1" applyFont="1" applyFill="1" applyBorder="1" applyAlignment="1">
      <alignment wrapText="1"/>
    </xf>
    <xf numFmtId="42" fontId="0" fillId="9" borderId="1" xfId="0" applyNumberFormat="1" applyFill="1" applyBorder="1"/>
  </cellXfs>
  <cellStyles count="4">
    <cellStyle name="Énfasis1" xfId="1" builtinId="29"/>
    <cellStyle name="Énfasis2" xfId="2" builtinId="33"/>
    <cellStyle name="Moneda [0]" xfId="3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9CD18-48B0-4D53-ADD5-55E7744E5841}">
  <dimension ref="A1:AD51"/>
  <sheetViews>
    <sheetView tabSelected="1" topLeftCell="L1" zoomScale="85" zoomScaleNormal="85" workbookViewId="0">
      <selection activeCell="Z10" sqref="Z10"/>
    </sheetView>
  </sheetViews>
  <sheetFormatPr baseColWidth="10" defaultColWidth="11.44140625" defaultRowHeight="14.4" x14ac:dyDescent="0.3"/>
  <cols>
    <col min="1" max="1" width="16.5546875" bestFit="1" customWidth="1"/>
    <col min="2" max="2" width="19.6640625" bestFit="1" customWidth="1"/>
    <col min="3" max="4" width="17.88671875" bestFit="1" customWidth="1"/>
    <col min="5" max="5" width="36.33203125" style="4" bestFit="1" customWidth="1"/>
    <col min="6" max="6" width="12.44140625" style="4" customWidth="1"/>
    <col min="7" max="7" width="14.21875" style="4" customWidth="1"/>
    <col min="8" max="9" width="8.77734375" style="4" customWidth="1"/>
    <col min="10" max="10" width="11.44140625" style="4"/>
    <col min="13" max="13" width="16.109375" customWidth="1"/>
    <col min="14" max="14" width="16.77734375" customWidth="1"/>
    <col min="15" max="15" width="9.88671875" customWidth="1"/>
    <col min="16" max="16" width="16.44140625" style="6" customWidth="1"/>
    <col min="17" max="17" width="12.5546875" customWidth="1"/>
    <col min="18" max="19" width="12.44140625" bestFit="1" customWidth="1"/>
    <col min="21" max="24" width="12.6640625" bestFit="1" customWidth="1"/>
    <col min="27" max="27" width="12.6640625" bestFit="1" customWidth="1"/>
    <col min="30" max="30" width="12.6640625" bestFit="1" customWidth="1"/>
  </cols>
  <sheetData>
    <row r="1" spans="1:30" ht="72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9" t="s">
        <v>91</v>
      </c>
      <c r="L1" s="9" t="s">
        <v>94</v>
      </c>
      <c r="M1" s="9" t="s">
        <v>92</v>
      </c>
      <c r="N1" s="9" t="s">
        <v>96</v>
      </c>
      <c r="O1" s="10" t="s">
        <v>97</v>
      </c>
      <c r="P1" s="14" t="s">
        <v>98</v>
      </c>
      <c r="Q1" s="10" t="s">
        <v>99</v>
      </c>
      <c r="R1" s="9" t="s">
        <v>100</v>
      </c>
      <c r="T1" s="2" t="s">
        <v>9</v>
      </c>
      <c r="U1" s="2" t="s">
        <v>88</v>
      </c>
      <c r="V1" s="2" t="s">
        <v>89</v>
      </c>
      <c r="W1" s="2" t="s">
        <v>90</v>
      </c>
      <c r="X1" s="2" t="s">
        <v>95</v>
      </c>
      <c r="Z1" s="17" t="s">
        <v>114</v>
      </c>
      <c r="AA1" s="17"/>
      <c r="AB1" s="18" t="s">
        <v>147</v>
      </c>
      <c r="AC1" s="17" t="s">
        <v>116</v>
      </c>
      <c r="AD1" s="17"/>
    </row>
    <row r="2" spans="1:30" ht="28.8" x14ac:dyDescent="0.3">
      <c r="A2" t="s">
        <v>10</v>
      </c>
      <c r="B2" t="s">
        <v>11</v>
      </c>
      <c r="C2" t="s">
        <v>12</v>
      </c>
      <c r="D2" t="s">
        <v>13</v>
      </c>
      <c r="E2" s="4" t="s">
        <v>14</v>
      </c>
      <c r="F2" s="4">
        <v>4</v>
      </c>
      <c r="G2" s="4" t="s">
        <v>117</v>
      </c>
      <c r="H2" s="4">
        <v>8</v>
      </c>
      <c r="I2" s="4">
        <f>F2*H2</f>
        <v>32</v>
      </c>
      <c r="J2" s="4" t="s">
        <v>15</v>
      </c>
      <c r="K2" s="7">
        <f>U2*I2</f>
        <v>214784</v>
      </c>
      <c r="L2" s="6">
        <f>6532*I2</f>
        <v>209024</v>
      </c>
      <c r="M2" s="6">
        <f>29647*I2</f>
        <v>948704</v>
      </c>
      <c r="N2" s="6">
        <f>8443*I2</f>
        <v>270176</v>
      </c>
      <c r="O2" s="12">
        <f>I2/8</f>
        <v>4</v>
      </c>
      <c r="P2" s="6">
        <f>VLOOKUP(J2,$T$2:$X$4,2,FALSE)*I2</f>
        <v>214784</v>
      </c>
      <c r="Q2" s="13">
        <f>I2/24</f>
        <v>1.3333333333333333</v>
      </c>
      <c r="R2" s="6">
        <f>(VLOOKUP(J2,$T$2:$X$4,2,FALSE)*(I2/3))+(VLOOKUP(J2,$T$2:$X$4,3,FALSE)*(I2/3))+(VLOOKUP(J2,$T$2:$X$4,5,FALSE)*(I2/3))</f>
        <v>231327.99999999997</v>
      </c>
      <c r="T2" s="4" t="s">
        <v>15</v>
      </c>
      <c r="U2" s="6">
        <v>6712</v>
      </c>
      <c r="V2" s="6">
        <v>6532</v>
      </c>
      <c r="W2" s="6">
        <v>29647</v>
      </c>
      <c r="X2" s="6">
        <v>8443</v>
      </c>
      <c r="Z2" s="15" t="s">
        <v>107</v>
      </c>
      <c r="AA2" s="7">
        <f>SUM(P2:P9)</f>
        <v>2610590</v>
      </c>
      <c r="AB2" s="19">
        <f>AA2-AD2</f>
        <v>317994.66666666651</v>
      </c>
      <c r="AC2" s="15" t="s">
        <v>107</v>
      </c>
      <c r="AD2" s="7">
        <f>SUM(R2:R9)</f>
        <v>2292595.3333333335</v>
      </c>
    </row>
    <row r="3" spans="1:30" ht="28.8" x14ac:dyDescent="0.3">
      <c r="D3" t="s">
        <v>16</v>
      </c>
      <c r="E3" s="4" t="s">
        <v>17</v>
      </c>
      <c r="F3" s="4">
        <v>4</v>
      </c>
      <c r="G3" s="4" t="s">
        <v>118</v>
      </c>
      <c r="H3" s="4">
        <v>4</v>
      </c>
      <c r="I3" s="4">
        <f t="shared" ref="I3:I47" si="0">F3*H3</f>
        <v>16</v>
      </c>
      <c r="J3" s="4" t="s">
        <v>18</v>
      </c>
      <c r="K3" s="7">
        <f>U3*I3</f>
        <v>275472</v>
      </c>
      <c r="L3" s="6">
        <f>10965*I3</f>
        <v>175440</v>
      </c>
      <c r="M3" s="6">
        <f>56000*I3</f>
        <v>896000</v>
      </c>
      <c r="N3" s="6">
        <f>15949*I3</f>
        <v>255184</v>
      </c>
      <c r="O3" s="12">
        <f t="shared" ref="O3:O47" si="1">I3/8</f>
        <v>2</v>
      </c>
      <c r="P3" s="6">
        <f>VLOOKUP(J3,$T$2:$X$4,2,FALSE)*I3</f>
        <v>275472</v>
      </c>
      <c r="Q3" s="13">
        <f t="shared" ref="Q3:Q47" si="2">I3/24</f>
        <v>0.66666666666666663</v>
      </c>
      <c r="R3" s="6">
        <f>(VLOOKUP(J3,$T$2:$X$4,2,FALSE)*(I3/3))+(VLOOKUP(J3,$T$2:$X$4,3,FALSE)*(I3/3))+(VLOOKUP(J3,$T$2:$X$4,5,FALSE)*(I3/3))</f>
        <v>235365.33333333331</v>
      </c>
      <c r="T3" s="4" t="s">
        <v>18</v>
      </c>
      <c r="U3" s="6">
        <v>17217</v>
      </c>
      <c r="V3" s="6">
        <v>10965</v>
      </c>
      <c r="W3" s="6">
        <v>56000</v>
      </c>
      <c r="X3" s="6">
        <v>15949</v>
      </c>
      <c r="Z3" s="16" t="s">
        <v>108</v>
      </c>
      <c r="AA3" s="7">
        <f>SUM(P10:P20)</f>
        <v>1226211</v>
      </c>
      <c r="AB3" s="19">
        <f t="shared" ref="AB3:AB9" si="3">AA3-AD3</f>
        <v>169606.66666666698</v>
      </c>
      <c r="AC3" s="16" t="s">
        <v>108</v>
      </c>
      <c r="AD3" s="7">
        <f>SUM(R10:R20)</f>
        <v>1056604.333333333</v>
      </c>
    </row>
    <row r="4" spans="1:30" ht="28.8" x14ac:dyDescent="0.3">
      <c r="D4" t="s">
        <v>16</v>
      </c>
      <c r="E4" s="4" t="s">
        <v>19</v>
      </c>
      <c r="F4" s="4">
        <v>12</v>
      </c>
      <c r="G4" s="4" t="s">
        <v>120</v>
      </c>
      <c r="H4" s="4">
        <v>6</v>
      </c>
      <c r="I4" s="4">
        <f t="shared" si="0"/>
        <v>72</v>
      </c>
      <c r="J4" s="4" t="s">
        <v>18</v>
      </c>
      <c r="K4" s="7">
        <f>U3*I4</f>
        <v>1239624</v>
      </c>
      <c r="L4" s="6">
        <f t="shared" ref="L4:L6" si="4">10965*I4</f>
        <v>789480</v>
      </c>
      <c r="M4" s="6">
        <f t="shared" ref="M4:M6" si="5">56000*I4</f>
        <v>4032000</v>
      </c>
      <c r="N4" s="6">
        <f t="shared" ref="N4:N6" si="6">15949*I4</f>
        <v>1148328</v>
      </c>
      <c r="O4" s="12">
        <f t="shared" si="1"/>
        <v>9</v>
      </c>
      <c r="P4" s="6">
        <f>VLOOKUP(J4,$T$2:$X$4,2,FALSE)*I4</f>
        <v>1239624</v>
      </c>
      <c r="Q4" s="13">
        <f t="shared" si="2"/>
        <v>3</v>
      </c>
      <c r="R4" s="6">
        <f>(VLOOKUP(J4,$T$2:$X$4,2,FALSE)*(I4/3))+(VLOOKUP(J4,$T$2:$X$4,3,FALSE)*(I4/3))+(VLOOKUP(J4,$T$2:$X$4,5,FALSE)*(I4/3))</f>
        <v>1059144</v>
      </c>
      <c r="T4" s="4" t="s">
        <v>23</v>
      </c>
      <c r="U4" s="6">
        <v>7077</v>
      </c>
      <c r="V4" s="6">
        <v>5834</v>
      </c>
      <c r="W4" s="6">
        <v>4736</v>
      </c>
      <c r="X4" s="6">
        <v>6567</v>
      </c>
      <c r="Z4" s="16" t="s">
        <v>109</v>
      </c>
      <c r="AA4" s="7">
        <f>SUM(P21:P27)</f>
        <v>6490809</v>
      </c>
      <c r="AB4" s="19">
        <f t="shared" si="3"/>
        <v>945013.33333333395</v>
      </c>
      <c r="AC4" s="16" t="s">
        <v>109</v>
      </c>
      <c r="AD4" s="7">
        <f>SUM(R21:R27)</f>
        <v>5545795.666666666</v>
      </c>
    </row>
    <row r="5" spans="1:30" ht="28.8" x14ac:dyDescent="0.3">
      <c r="D5" t="s">
        <v>16</v>
      </c>
      <c r="E5" s="4" t="s">
        <v>20</v>
      </c>
      <c r="F5" s="4">
        <v>8</v>
      </c>
      <c r="G5" s="4" t="s">
        <v>119</v>
      </c>
      <c r="H5" s="4">
        <v>4</v>
      </c>
      <c r="I5" s="4">
        <f t="shared" si="0"/>
        <v>32</v>
      </c>
      <c r="J5" s="4" t="s">
        <v>18</v>
      </c>
      <c r="K5" s="7">
        <f>U3*I5</f>
        <v>550944</v>
      </c>
      <c r="L5" s="6">
        <f t="shared" si="4"/>
        <v>350880</v>
      </c>
      <c r="M5" s="6">
        <f t="shared" si="5"/>
        <v>1792000</v>
      </c>
      <c r="N5" s="6">
        <f t="shared" si="6"/>
        <v>510368</v>
      </c>
      <c r="O5" s="12">
        <f t="shared" si="1"/>
        <v>4</v>
      </c>
      <c r="P5" s="6">
        <f>VLOOKUP(J5,$T$2:$X$4,2,FALSE)*I5</f>
        <v>550944</v>
      </c>
      <c r="Q5" s="13">
        <f t="shared" si="2"/>
        <v>1.3333333333333333</v>
      </c>
      <c r="R5" s="6">
        <f>(VLOOKUP(J5,$T$2:$X$4,2,FALSE)*(I5/3))+(VLOOKUP(J5,$T$2:$X$4,3,FALSE)*(I5/3))+(VLOOKUP(J5,$T$2:$X$4,5,FALSE)*(I5/3))</f>
        <v>470730.66666666663</v>
      </c>
      <c r="T5" s="8" t="s">
        <v>93</v>
      </c>
      <c r="U5" s="6">
        <f>SUM(K2:K47)</f>
        <v>14666294</v>
      </c>
      <c r="V5" s="6">
        <f>SUM(L2:L47)</f>
        <v>9481762</v>
      </c>
      <c r="W5" s="6">
        <f>SUM(M2:M47)</f>
        <v>47002976</v>
      </c>
      <c r="X5" s="6">
        <f>SUM(N2:N47)</f>
        <v>13657942</v>
      </c>
      <c r="Z5" s="16" t="s">
        <v>110</v>
      </c>
      <c r="AA5" s="7">
        <f>SUM(P28:P33)</f>
        <v>2754720</v>
      </c>
      <c r="AB5" s="19">
        <f t="shared" si="3"/>
        <v>401066.66666666698</v>
      </c>
      <c r="AC5" s="16" t="s">
        <v>110</v>
      </c>
      <c r="AD5" s="7">
        <f>SUM(R28:R33)</f>
        <v>2353653.333333333</v>
      </c>
    </row>
    <row r="6" spans="1:30" ht="43.2" x14ac:dyDescent="0.3">
      <c r="D6" t="s">
        <v>16</v>
      </c>
      <c r="E6" s="4" t="s">
        <v>21</v>
      </c>
      <c r="F6" s="4">
        <v>2</v>
      </c>
      <c r="G6" s="4" t="s">
        <v>121</v>
      </c>
      <c r="H6" s="4">
        <v>3</v>
      </c>
      <c r="I6" s="4">
        <f t="shared" si="0"/>
        <v>6</v>
      </c>
      <c r="J6" s="4" t="s">
        <v>18</v>
      </c>
      <c r="K6" s="7">
        <f>U3*I6</f>
        <v>103302</v>
      </c>
      <c r="L6" s="6">
        <f t="shared" si="4"/>
        <v>65790</v>
      </c>
      <c r="M6" s="6">
        <f t="shared" si="5"/>
        <v>336000</v>
      </c>
      <c r="N6" s="6">
        <f t="shared" si="6"/>
        <v>95694</v>
      </c>
      <c r="O6" s="12">
        <f t="shared" si="1"/>
        <v>0.75</v>
      </c>
      <c r="P6" s="6">
        <f>VLOOKUP(J6,$T$2:$X$4,2,FALSE)*I6</f>
        <v>103302</v>
      </c>
      <c r="Q6" s="13">
        <f t="shared" si="2"/>
        <v>0.25</v>
      </c>
      <c r="R6" s="6">
        <f t="shared" ref="R6:R47" si="7">(VLOOKUP(J6,$T$2:$X$4,2,FALSE)*(I6/3))+(VLOOKUP(J6,$T$2:$X$4,3,FALSE)*(I6/3))+(VLOOKUP(J6,$T$2:$X$4,5,FALSE)*(I6/3))</f>
        <v>88262</v>
      </c>
      <c r="T6" s="11" t="s">
        <v>101</v>
      </c>
      <c r="U6" s="7">
        <f>U5*1.68</f>
        <v>24639373.919999998</v>
      </c>
      <c r="V6" s="7">
        <f>V5*1.68</f>
        <v>15929360.16</v>
      </c>
      <c r="W6" s="7">
        <f>W5*1.68</f>
        <v>78964999.679999992</v>
      </c>
      <c r="X6" s="7">
        <f>X5*1.68</f>
        <v>22945342.559999999</v>
      </c>
      <c r="Z6" s="16" t="s">
        <v>111</v>
      </c>
      <c r="AA6" s="7">
        <f>SUM(P34:P38)</f>
        <v>378774</v>
      </c>
      <c r="AB6" s="19">
        <f t="shared" si="3"/>
        <v>55146.666666666686</v>
      </c>
      <c r="AC6" s="16" t="s">
        <v>111</v>
      </c>
      <c r="AD6" s="7">
        <f>SUM(R34:R38)</f>
        <v>323627.33333333331</v>
      </c>
    </row>
    <row r="7" spans="1:30" ht="43.2" x14ac:dyDescent="0.3">
      <c r="D7" t="s">
        <v>16</v>
      </c>
      <c r="E7" s="4" t="s">
        <v>22</v>
      </c>
      <c r="F7" s="4">
        <v>4</v>
      </c>
      <c r="G7" s="4" t="s">
        <v>122</v>
      </c>
      <c r="H7" s="4">
        <v>4</v>
      </c>
      <c r="I7" s="4">
        <f t="shared" si="0"/>
        <v>16</v>
      </c>
      <c r="J7" s="4" t="s">
        <v>23</v>
      </c>
      <c r="K7" s="7">
        <f>U4*I7</f>
        <v>113232</v>
      </c>
      <c r="L7" s="6">
        <f>5834*I7</f>
        <v>93344</v>
      </c>
      <c r="M7" s="6">
        <f>4736*I7</f>
        <v>75776</v>
      </c>
      <c r="N7" s="6">
        <f>6567*I7</f>
        <v>105072</v>
      </c>
      <c r="O7" s="12">
        <f t="shared" si="1"/>
        <v>2</v>
      </c>
      <c r="P7" s="6">
        <f>VLOOKUP(J7,$T$2:$X$4,2,FALSE)*I7</f>
        <v>113232</v>
      </c>
      <c r="Q7" s="13">
        <f t="shared" si="2"/>
        <v>0.66666666666666663</v>
      </c>
      <c r="R7" s="6">
        <f t="shared" si="7"/>
        <v>103882.66666666666</v>
      </c>
      <c r="U7" t="s">
        <v>102</v>
      </c>
      <c r="V7" t="s">
        <v>102</v>
      </c>
      <c r="W7" t="s">
        <v>104</v>
      </c>
      <c r="X7" t="s">
        <v>103</v>
      </c>
      <c r="Z7" s="16" t="s">
        <v>112</v>
      </c>
      <c r="AA7" s="7">
        <f>SUM(P39:P42)</f>
        <v>120519</v>
      </c>
      <c r="AB7" s="19">
        <f t="shared" si="3"/>
        <v>17546.666666666672</v>
      </c>
      <c r="AC7" s="16" t="s">
        <v>112</v>
      </c>
      <c r="AD7" s="7">
        <f>SUM(R39:R42)</f>
        <v>102972.33333333333</v>
      </c>
    </row>
    <row r="8" spans="1:30" ht="43.2" x14ac:dyDescent="0.3">
      <c r="D8" t="s">
        <v>16</v>
      </c>
      <c r="E8" s="4" t="s">
        <v>24</v>
      </c>
      <c r="F8" s="4">
        <v>4</v>
      </c>
      <c r="G8" s="4" t="s">
        <v>123</v>
      </c>
      <c r="H8" s="4">
        <v>2</v>
      </c>
      <c r="I8" s="4">
        <f t="shared" si="0"/>
        <v>8</v>
      </c>
      <c r="J8" s="4" t="s">
        <v>23</v>
      </c>
      <c r="K8" s="7">
        <f>U4*I8</f>
        <v>56616</v>
      </c>
      <c r="L8" s="6">
        <f t="shared" ref="L8:L12" si="8">5834*I8</f>
        <v>46672</v>
      </c>
      <c r="M8" s="6">
        <f t="shared" ref="M8:M12" si="9">4736*I8</f>
        <v>37888</v>
      </c>
      <c r="N8" s="6">
        <f t="shared" ref="N8:N12" si="10">6567*I8</f>
        <v>52536</v>
      </c>
      <c r="O8" s="12">
        <f t="shared" si="1"/>
        <v>1</v>
      </c>
      <c r="P8" s="6">
        <f>VLOOKUP(J8,$T$2:$X$4,2,FALSE)*I8</f>
        <v>56616</v>
      </c>
      <c r="Q8" s="13">
        <f t="shared" si="2"/>
        <v>0.33333333333333331</v>
      </c>
      <c r="R8" s="6">
        <f t="shared" si="7"/>
        <v>51941.333333333328</v>
      </c>
      <c r="U8" t="s">
        <v>105</v>
      </c>
      <c r="V8" t="s">
        <v>105</v>
      </c>
      <c r="W8" t="s">
        <v>106</v>
      </c>
      <c r="X8" t="s">
        <v>105</v>
      </c>
      <c r="Z8" s="16" t="s">
        <v>113</v>
      </c>
      <c r="AA8" s="7">
        <f>SUM(P43:P47)</f>
        <v>1084671</v>
      </c>
      <c r="AB8" s="19">
        <f t="shared" si="3"/>
        <v>157920</v>
      </c>
      <c r="AC8" s="16" t="s">
        <v>113</v>
      </c>
      <c r="AD8" s="7">
        <f>SUM(R43:R47)</f>
        <v>926751</v>
      </c>
    </row>
    <row r="9" spans="1:30" ht="28.8" x14ac:dyDescent="0.3">
      <c r="D9" t="s">
        <v>16</v>
      </c>
      <c r="E9" s="4" t="s">
        <v>25</v>
      </c>
      <c r="F9" s="4">
        <v>4</v>
      </c>
      <c r="G9" s="4" t="s">
        <v>124</v>
      </c>
      <c r="H9" s="4">
        <v>2</v>
      </c>
      <c r="I9" s="4">
        <f t="shared" si="0"/>
        <v>8</v>
      </c>
      <c r="J9" s="4" t="s">
        <v>23</v>
      </c>
      <c r="K9" s="7">
        <f>U4*I9</f>
        <v>56616</v>
      </c>
      <c r="L9" s="6">
        <f t="shared" si="8"/>
        <v>46672</v>
      </c>
      <c r="M9" s="6">
        <f t="shared" si="9"/>
        <v>37888</v>
      </c>
      <c r="N9" s="6">
        <f t="shared" si="10"/>
        <v>52536</v>
      </c>
      <c r="O9" s="12">
        <f t="shared" si="1"/>
        <v>1</v>
      </c>
      <c r="P9" s="6">
        <f>VLOOKUP(J9,$T$2:$X$4,2,FALSE)*I9</f>
        <v>56616</v>
      </c>
      <c r="Q9" s="13">
        <f t="shared" si="2"/>
        <v>0.33333333333333331</v>
      </c>
      <c r="R9" s="6">
        <f t="shared" si="7"/>
        <v>51941.333333333328</v>
      </c>
      <c r="Z9" s="16" t="s">
        <v>115</v>
      </c>
      <c r="AA9" s="7">
        <f>SUM(AA2:AA8)</f>
        <v>14666294</v>
      </c>
      <c r="AB9" s="19">
        <f t="shared" si="3"/>
        <v>2064294.6666666679</v>
      </c>
      <c r="AC9" s="16" t="s">
        <v>115</v>
      </c>
      <c r="AD9" s="7">
        <f>SUM(AD2:AD8)</f>
        <v>12601999.333333332</v>
      </c>
    </row>
    <row r="10" spans="1:30" ht="57.6" customHeight="1" x14ac:dyDescent="0.3">
      <c r="B10" t="s">
        <v>26</v>
      </c>
      <c r="C10" t="s">
        <v>27</v>
      </c>
      <c r="D10" t="s">
        <v>28</v>
      </c>
      <c r="E10" s="4" t="s">
        <v>29</v>
      </c>
      <c r="F10" s="4">
        <v>2</v>
      </c>
      <c r="G10" s="4">
        <v>38</v>
      </c>
      <c r="H10" s="4">
        <v>3</v>
      </c>
      <c r="I10" s="4">
        <f t="shared" si="0"/>
        <v>6</v>
      </c>
      <c r="J10" s="4" t="s">
        <v>23</v>
      </c>
      <c r="K10" s="7">
        <f>U4*I10</f>
        <v>42462</v>
      </c>
      <c r="L10" s="6">
        <f t="shared" si="8"/>
        <v>35004</v>
      </c>
      <c r="M10" s="6">
        <f t="shared" si="9"/>
        <v>28416</v>
      </c>
      <c r="N10" s="6">
        <f t="shared" si="10"/>
        <v>39402</v>
      </c>
      <c r="O10" s="12">
        <f t="shared" si="1"/>
        <v>0.75</v>
      </c>
      <c r="P10" s="6">
        <f>VLOOKUP(J10,$T$2:$X$4,2,FALSE)*I10</f>
        <v>42462</v>
      </c>
      <c r="Q10" s="13">
        <f t="shared" si="2"/>
        <v>0.25</v>
      </c>
      <c r="R10" s="6">
        <f t="shared" si="7"/>
        <v>38956</v>
      </c>
    </row>
    <row r="11" spans="1:30" ht="28.8" x14ac:dyDescent="0.3">
      <c r="D11" t="s">
        <v>28</v>
      </c>
      <c r="E11" s="4" t="s">
        <v>30</v>
      </c>
      <c r="F11" s="4">
        <v>2</v>
      </c>
      <c r="G11" s="4" t="s">
        <v>125</v>
      </c>
      <c r="H11" s="4">
        <v>3</v>
      </c>
      <c r="I11" s="4">
        <f t="shared" si="0"/>
        <v>6</v>
      </c>
      <c r="J11" s="4" t="s">
        <v>23</v>
      </c>
      <c r="K11" s="7">
        <f>U4*I11</f>
        <v>42462</v>
      </c>
      <c r="L11" s="6">
        <f t="shared" si="8"/>
        <v>35004</v>
      </c>
      <c r="M11" s="6">
        <f t="shared" si="9"/>
        <v>28416</v>
      </c>
      <c r="N11" s="6">
        <f t="shared" si="10"/>
        <v>39402</v>
      </c>
      <c r="O11" s="12">
        <f t="shared" si="1"/>
        <v>0.75</v>
      </c>
      <c r="P11" s="6">
        <f>VLOOKUP(J11,$T$2:$X$4,2,FALSE)*I11</f>
        <v>42462</v>
      </c>
      <c r="Q11" s="13">
        <f t="shared" si="2"/>
        <v>0.25</v>
      </c>
      <c r="R11" s="6">
        <f t="shared" si="7"/>
        <v>38956</v>
      </c>
    </row>
    <row r="12" spans="1:30" ht="28.8" x14ac:dyDescent="0.3">
      <c r="D12" t="s">
        <v>28</v>
      </c>
      <c r="E12" s="4" t="s">
        <v>31</v>
      </c>
      <c r="F12" s="4">
        <v>4</v>
      </c>
      <c r="G12" s="4">
        <v>39</v>
      </c>
      <c r="H12" s="4">
        <v>2</v>
      </c>
      <c r="I12" s="4">
        <f t="shared" si="0"/>
        <v>8</v>
      </c>
      <c r="J12" s="4" t="s">
        <v>23</v>
      </c>
      <c r="K12" s="7">
        <f>U4*I12</f>
        <v>56616</v>
      </c>
      <c r="L12" s="6">
        <f t="shared" si="8"/>
        <v>46672</v>
      </c>
      <c r="M12" s="6">
        <f t="shared" si="9"/>
        <v>37888</v>
      </c>
      <c r="N12" s="6">
        <f t="shared" si="10"/>
        <v>52536</v>
      </c>
      <c r="O12" s="12">
        <f t="shared" si="1"/>
        <v>1</v>
      </c>
      <c r="P12" s="6">
        <f>VLOOKUP(J12,$T$2:$X$4,2,FALSE)*I12</f>
        <v>56616</v>
      </c>
      <c r="Q12" s="13">
        <f t="shared" si="2"/>
        <v>0.33333333333333331</v>
      </c>
      <c r="R12" s="6">
        <f t="shared" si="7"/>
        <v>51941.333333333328</v>
      </c>
    </row>
    <row r="13" spans="1:30" x14ac:dyDescent="0.3">
      <c r="D13" t="s">
        <v>32</v>
      </c>
      <c r="E13" s="4" t="s">
        <v>33</v>
      </c>
      <c r="F13" s="4">
        <v>2</v>
      </c>
      <c r="G13" s="4">
        <v>40</v>
      </c>
      <c r="H13" s="4">
        <v>6</v>
      </c>
      <c r="I13" s="4">
        <f t="shared" si="0"/>
        <v>12</v>
      </c>
      <c r="J13" s="4" t="s">
        <v>18</v>
      </c>
      <c r="K13" s="6">
        <f>17217*I13</f>
        <v>206604</v>
      </c>
      <c r="L13" s="6">
        <f>10965*I13</f>
        <v>131580</v>
      </c>
      <c r="M13" s="6">
        <f>56000*I13</f>
        <v>672000</v>
      </c>
      <c r="N13" s="6">
        <f>15949*I13</f>
        <v>191388</v>
      </c>
      <c r="O13" s="12">
        <f t="shared" si="1"/>
        <v>1.5</v>
      </c>
      <c r="P13" s="6">
        <f>VLOOKUP(J13,$T$2:$X$4,2,FALSE)*I13</f>
        <v>206604</v>
      </c>
      <c r="Q13" s="13">
        <f t="shared" si="2"/>
        <v>0.5</v>
      </c>
      <c r="R13" s="6">
        <f t="shared" si="7"/>
        <v>176524</v>
      </c>
    </row>
    <row r="14" spans="1:30" x14ac:dyDescent="0.3">
      <c r="D14" t="s">
        <v>32</v>
      </c>
      <c r="E14" s="4" t="s">
        <v>34</v>
      </c>
      <c r="F14" s="4">
        <v>2</v>
      </c>
      <c r="G14" s="4">
        <v>40</v>
      </c>
      <c r="H14" s="4">
        <v>5</v>
      </c>
      <c r="I14" s="4">
        <f t="shared" si="0"/>
        <v>10</v>
      </c>
      <c r="J14" s="4" t="s">
        <v>18</v>
      </c>
      <c r="K14" s="6">
        <f t="shared" ref="K14:K47" si="11">17217*I14</f>
        <v>172170</v>
      </c>
      <c r="L14" s="6">
        <f t="shared" ref="L14:L47" si="12">10965*I14</f>
        <v>109650</v>
      </c>
      <c r="M14" s="6">
        <f t="shared" ref="M14:M47" si="13">56000*I14</f>
        <v>560000</v>
      </c>
      <c r="N14" s="6">
        <f t="shared" ref="N14:N47" si="14">15949*I14</f>
        <v>159490</v>
      </c>
      <c r="O14" s="12">
        <f t="shared" si="1"/>
        <v>1.25</v>
      </c>
      <c r="P14" s="6">
        <f>VLOOKUP(J14,$T$2:$X$4,2,FALSE)*I14</f>
        <v>172170</v>
      </c>
      <c r="Q14" s="13">
        <f t="shared" si="2"/>
        <v>0.41666666666666669</v>
      </c>
      <c r="R14" s="6">
        <f t="shared" si="7"/>
        <v>147103.33333333334</v>
      </c>
    </row>
    <row r="15" spans="1:30" ht="28.8" x14ac:dyDescent="0.3">
      <c r="D15" t="s">
        <v>35</v>
      </c>
      <c r="E15" s="4" t="s">
        <v>36</v>
      </c>
      <c r="F15" s="4">
        <v>4</v>
      </c>
      <c r="G15" s="4" t="s">
        <v>126</v>
      </c>
      <c r="H15" s="4">
        <v>2</v>
      </c>
      <c r="I15" s="4">
        <f t="shared" si="0"/>
        <v>8</v>
      </c>
      <c r="J15" s="4" t="s">
        <v>18</v>
      </c>
      <c r="K15" s="6">
        <f t="shared" si="11"/>
        <v>137736</v>
      </c>
      <c r="L15" s="6">
        <f t="shared" si="12"/>
        <v>87720</v>
      </c>
      <c r="M15" s="6">
        <f t="shared" si="13"/>
        <v>448000</v>
      </c>
      <c r="N15" s="6">
        <f t="shared" si="14"/>
        <v>127592</v>
      </c>
      <c r="O15" s="12">
        <f t="shared" si="1"/>
        <v>1</v>
      </c>
      <c r="P15" s="6">
        <f>VLOOKUP(J15,$T$2:$X$4,2,FALSE)*I15</f>
        <v>137736</v>
      </c>
      <c r="Q15" s="13">
        <f t="shared" si="2"/>
        <v>0.33333333333333331</v>
      </c>
      <c r="R15" s="6">
        <f t="shared" si="7"/>
        <v>117682.66666666666</v>
      </c>
    </row>
    <row r="16" spans="1:30" x14ac:dyDescent="0.3">
      <c r="D16" t="s">
        <v>37</v>
      </c>
      <c r="E16" s="4" t="s">
        <v>38</v>
      </c>
      <c r="F16" s="4">
        <v>4</v>
      </c>
      <c r="G16" s="4" t="s">
        <v>127</v>
      </c>
      <c r="H16" s="4">
        <v>2</v>
      </c>
      <c r="I16" s="4">
        <f t="shared" si="0"/>
        <v>8</v>
      </c>
      <c r="J16" s="4" t="s">
        <v>18</v>
      </c>
      <c r="K16" s="6">
        <f t="shared" si="11"/>
        <v>137736</v>
      </c>
      <c r="L16" s="6">
        <f t="shared" si="12"/>
        <v>87720</v>
      </c>
      <c r="M16" s="6">
        <f t="shared" si="13"/>
        <v>448000</v>
      </c>
      <c r="N16" s="6">
        <f t="shared" si="14"/>
        <v>127592</v>
      </c>
      <c r="O16" s="12">
        <f t="shared" si="1"/>
        <v>1</v>
      </c>
      <c r="P16" s="6">
        <f>VLOOKUP(J16,$T$2:$X$4,2,FALSE)*I16</f>
        <v>137736</v>
      </c>
      <c r="Q16" s="13">
        <f t="shared" si="2"/>
        <v>0.33333333333333331</v>
      </c>
      <c r="R16" s="6">
        <f t="shared" si="7"/>
        <v>117682.66666666666</v>
      </c>
    </row>
    <row r="17" spans="2:18" x14ac:dyDescent="0.3">
      <c r="D17" t="s">
        <v>37</v>
      </c>
      <c r="E17" s="4" t="s">
        <v>39</v>
      </c>
      <c r="F17" s="4">
        <v>4</v>
      </c>
      <c r="G17" s="4" t="s">
        <v>127</v>
      </c>
      <c r="H17" s="4">
        <v>2</v>
      </c>
      <c r="I17" s="4">
        <f t="shared" si="0"/>
        <v>8</v>
      </c>
      <c r="J17" s="4" t="s">
        <v>18</v>
      </c>
      <c r="K17" s="6">
        <f t="shared" si="11"/>
        <v>137736</v>
      </c>
      <c r="L17" s="6">
        <f t="shared" si="12"/>
        <v>87720</v>
      </c>
      <c r="M17" s="6">
        <f t="shared" si="13"/>
        <v>448000</v>
      </c>
      <c r="N17" s="6">
        <f t="shared" si="14"/>
        <v>127592</v>
      </c>
      <c r="O17" s="12">
        <f t="shared" si="1"/>
        <v>1</v>
      </c>
      <c r="P17" s="6">
        <f>VLOOKUP(J17,$T$2:$X$4,2,FALSE)*I17</f>
        <v>137736</v>
      </c>
      <c r="Q17" s="13">
        <f t="shared" si="2"/>
        <v>0.33333333333333331</v>
      </c>
      <c r="R17" s="6">
        <f t="shared" si="7"/>
        <v>117682.66666666666</v>
      </c>
    </row>
    <row r="18" spans="2:18" x14ac:dyDescent="0.3">
      <c r="D18" t="s">
        <v>37</v>
      </c>
      <c r="E18" s="4" t="s">
        <v>40</v>
      </c>
      <c r="F18" s="5">
        <v>1</v>
      </c>
      <c r="G18" s="4" t="s">
        <v>128</v>
      </c>
      <c r="H18" s="4">
        <v>3</v>
      </c>
      <c r="I18" s="4">
        <f t="shared" si="0"/>
        <v>3</v>
      </c>
      <c r="J18" s="4" t="s">
        <v>18</v>
      </c>
      <c r="K18" s="6">
        <f t="shared" si="11"/>
        <v>51651</v>
      </c>
      <c r="L18" s="6">
        <f t="shared" si="12"/>
        <v>32895</v>
      </c>
      <c r="M18" s="6">
        <f t="shared" si="13"/>
        <v>168000</v>
      </c>
      <c r="N18" s="6">
        <f t="shared" si="14"/>
        <v>47847</v>
      </c>
      <c r="O18" s="12">
        <f t="shared" si="1"/>
        <v>0.375</v>
      </c>
      <c r="P18" s="6">
        <f>VLOOKUP(J18,$T$2:$X$4,2,FALSE)*I18</f>
        <v>51651</v>
      </c>
      <c r="Q18" s="13">
        <f t="shared" si="2"/>
        <v>0.125</v>
      </c>
      <c r="R18" s="6">
        <f t="shared" si="7"/>
        <v>44131</v>
      </c>
    </row>
    <row r="19" spans="2:18" x14ac:dyDescent="0.3">
      <c r="D19" t="s">
        <v>37</v>
      </c>
      <c r="E19" s="4" t="s">
        <v>41</v>
      </c>
      <c r="F19" s="5">
        <v>1</v>
      </c>
      <c r="G19" s="4">
        <v>24.23</v>
      </c>
      <c r="H19" s="4">
        <v>2</v>
      </c>
      <c r="I19" s="4">
        <f t="shared" si="0"/>
        <v>2</v>
      </c>
      <c r="J19" s="4" t="s">
        <v>18</v>
      </c>
      <c r="K19" s="6">
        <f t="shared" si="11"/>
        <v>34434</v>
      </c>
      <c r="L19" s="6">
        <f t="shared" si="12"/>
        <v>21930</v>
      </c>
      <c r="M19" s="6">
        <f t="shared" si="13"/>
        <v>112000</v>
      </c>
      <c r="N19" s="6">
        <f t="shared" si="14"/>
        <v>31898</v>
      </c>
      <c r="O19" s="12">
        <f t="shared" si="1"/>
        <v>0.25</v>
      </c>
      <c r="P19" s="6">
        <f>VLOOKUP(J19,$T$2:$X$4,2,FALSE)*I19</f>
        <v>34434</v>
      </c>
      <c r="Q19" s="13">
        <f t="shared" si="2"/>
        <v>8.3333333333333329E-2</v>
      </c>
      <c r="R19" s="6">
        <f t="shared" si="7"/>
        <v>29420.666666666664</v>
      </c>
    </row>
    <row r="20" spans="2:18" x14ac:dyDescent="0.3">
      <c r="D20" t="s">
        <v>37</v>
      </c>
      <c r="E20" s="4" t="s">
        <v>42</v>
      </c>
      <c r="F20" s="5">
        <v>4</v>
      </c>
      <c r="G20" s="4" t="s">
        <v>129</v>
      </c>
      <c r="H20" s="4">
        <v>3</v>
      </c>
      <c r="I20" s="4">
        <f t="shared" si="0"/>
        <v>12</v>
      </c>
      <c r="J20" s="4" t="s">
        <v>18</v>
      </c>
      <c r="K20" s="6">
        <f t="shared" si="11"/>
        <v>206604</v>
      </c>
      <c r="L20" s="6">
        <f t="shared" si="12"/>
        <v>131580</v>
      </c>
      <c r="M20" s="6">
        <f t="shared" si="13"/>
        <v>672000</v>
      </c>
      <c r="N20" s="6">
        <f t="shared" si="14"/>
        <v>191388</v>
      </c>
      <c r="O20" s="12">
        <f t="shared" si="1"/>
        <v>1.5</v>
      </c>
      <c r="P20" s="6">
        <f>VLOOKUP(J20,$T$2:$X$4,2,FALSE)*I20</f>
        <v>206604</v>
      </c>
      <c r="Q20" s="13">
        <f t="shared" si="2"/>
        <v>0.5</v>
      </c>
      <c r="R20" s="6">
        <f t="shared" si="7"/>
        <v>176524</v>
      </c>
    </row>
    <row r="21" spans="2:18" ht="43.2" x14ac:dyDescent="0.3">
      <c r="B21" t="s">
        <v>43</v>
      </c>
      <c r="C21" t="s">
        <v>44</v>
      </c>
      <c r="D21" t="s">
        <v>45</v>
      </c>
      <c r="E21" s="4" t="s">
        <v>46</v>
      </c>
      <c r="F21" s="5">
        <v>4</v>
      </c>
      <c r="G21" s="4" t="s">
        <v>130</v>
      </c>
      <c r="H21" s="4">
        <v>3</v>
      </c>
      <c r="I21" s="4">
        <f t="shared" si="0"/>
        <v>12</v>
      </c>
      <c r="J21" s="4" t="s">
        <v>18</v>
      </c>
      <c r="K21" s="6">
        <f t="shared" si="11"/>
        <v>206604</v>
      </c>
      <c r="L21" s="6">
        <f t="shared" si="12"/>
        <v>131580</v>
      </c>
      <c r="M21" s="6">
        <f t="shared" si="13"/>
        <v>672000</v>
      </c>
      <c r="N21" s="6">
        <f t="shared" si="14"/>
        <v>191388</v>
      </c>
      <c r="O21" s="12">
        <f t="shared" si="1"/>
        <v>1.5</v>
      </c>
      <c r="P21" s="6">
        <f>VLOOKUP(J21,$T$2:$X$4,2,FALSE)*I21</f>
        <v>206604</v>
      </c>
      <c r="Q21" s="13">
        <f t="shared" si="2"/>
        <v>0.5</v>
      </c>
      <c r="R21" s="6">
        <f t="shared" si="7"/>
        <v>176524</v>
      </c>
    </row>
    <row r="22" spans="2:18" ht="43.2" x14ac:dyDescent="0.3">
      <c r="D22" t="s">
        <v>45</v>
      </c>
      <c r="E22" s="4" t="s">
        <v>47</v>
      </c>
      <c r="F22" s="5">
        <v>6</v>
      </c>
      <c r="G22" s="4" t="s">
        <v>130</v>
      </c>
      <c r="H22" s="4">
        <v>2</v>
      </c>
      <c r="I22" s="4">
        <f t="shared" si="0"/>
        <v>12</v>
      </c>
      <c r="J22" s="4" t="s">
        <v>18</v>
      </c>
      <c r="K22" s="6">
        <f t="shared" si="11"/>
        <v>206604</v>
      </c>
      <c r="L22" s="6">
        <f t="shared" si="12"/>
        <v>131580</v>
      </c>
      <c r="M22" s="6">
        <f t="shared" si="13"/>
        <v>672000</v>
      </c>
      <c r="N22" s="6">
        <f t="shared" si="14"/>
        <v>191388</v>
      </c>
      <c r="O22" s="12">
        <f t="shared" si="1"/>
        <v>1.5</v>
      </c>
      <c r="P22" s="6">
        <f>VLOOKUP(J22,$T$2:$X$4,2,FALSE)*I22</f>
        <v>206604</v>
      </c>
      <c r="Q22" s="13">
        <f t="shared" si="2"/>
        <v>0.5</v>
      </c>
      <c r="R22" s="6">
        <f t="shared" si="7"/>
        <v>176524</v>
      </c>
    </row>
    <row r="23" spans="2:18" ht="43.2" x14ac:dyDescent="0.3">
      <c r="D23" t="s">
        <v>45</v>
      </c>
      <c r="E23" s="4" t="s">
        <v>48</v>
      </c>
      <c r="F23" s="5">
        <v>42</v>
      </c>
      <c r="G23" s="4" t="s">
        <v>130</v>
      </c>
      <c r="H23" s="4">
        <v>2</v>
      </c>
      <c r="I23" s="4">
        <f t="shared" si="0"/>
        <v>84</v>
      </c>
      <c r="J23" s="4" t="s">
        <v>18</v>
      </c>
      <c r="K23" s="6">
        <f t="shared" si="11"/>
        <v>1446228</v>
      </c>
      <c r="L23" s="6">
        <f t="shared" si="12"/>
        <v>921060</v>
      </c>
      <c r="M23" s="6">
        <f t="shared" si="13"/>
        <v>4704000</v>
      </c>
      <c r="N23" s="6">
        <f t="shared" si="14"/>
        <v>1339716</v>
      </c>
      <c r="O23" s="12">
        <f t="shared" si="1"/>
        <v>10.5</v>
      </c>
      <c r="P23" s="6">
        <f>VLOOKUP(J23,$T$2:$X$4,2,FALSE)*I23</f>
        <v>1446228</v>
      </c>
      <c r="Q23" s="13">
        <f t="shared" si="2"/>
        <v>3.5</v>
      </c>
      <c r="R23" s="6">
        <f t="shared" si="7"/>
        <v>1235668</v>
      </c>
    </row>
    <row r="24" spans="2:18" ht="43.2" x14ac:dyDescent="0.3">
      <c r="D24" t="s">
        <v>45</v>
      </c>
      <c r="E24" s="4" t="s">
        <v>49</v>
      </c>
      <c r="F24" s="5">
        <v>26</v>
      </c>
      <c r="G24" s="4" t="s">
        <v>130</v>
      </c>
      <c r="H24" s="4">
        <v>1</v>
      </c>
      <c r="I24" s="4">
        <f t="shared" si="0"/>
        <v>26</v>
      </c>
      <c r="J24" s="4" t="s">
        <v>18</v>
      </c>
      <c r="K24" s="6">
        <f t="shared" si="11"/>
        <v>447642</v>
      </c>
      <c r="L24" s="6">
        <f t="shared" si="12"/>
        <v>285090</v>
      </c>
      <c r="M24" s="6">
        <f t="shared" si="13"/>
        <v>1456000</v>
      </c>
      <c r="N24" s="6">
        <f t="shared" si="14"/>
        <v>414674</v>
      </c>
      <c r="O24" s="12">
        <f t="shared" si="1"/>
        <v>3.25</v>
      </c>
      <c r="P24" s="6">
        <f>VLOOKUP(J24,$T$2:$X$4,2,FALSE)*I24</f>
        <v>447642</v>
      </c>
      <c r="Q24" s="13">
        <f t="shared" si="2"/>
        <v>1.0833333333333333</v>
      </c>
      <c r="R24" s="6">
        <f t="shared" si="7"/>
        <v>382468.66666666663</v>
      </c>
    </row>
    <row r="25" spans="2:18" ht="28.8" x14ac:dyDescent="0.3">
      <c r="D25" t="s">
        <v>45</v>
      </c>
      <c r="E25" s="4" t="s">
        <v>50</v>
      </c>
      <c r="F25" s="5">
        <v>29</v>
      </c>
      <c r="G25" s="4" t="s">
        <v>131</v>
      </c>
      <c r="H25" s="4">
        <v>3</v>
      </c>
      <c r="I25" s="4">
        <f t="shared" si="0"/>
        <v>87</v>
      </c>
      <c r="J25" s="4" t="s">
        <v>18</v>
      </c>
      <c r="K25" s="6">
        <f t="shared" si="11"/>
        <v>1497879</v>
      </c>
      <c r="L25" s="6">
        <f t="shared" si="12"/>
        <v>953955</v>
      </c>
      <c r="M25" s="6">
        <f t="shared" si="13"/>
        <v>4872000</v>
      </c>
      <c r="N25" s="6">
        <f t="shared" si="14"/>
        <v>1387563</v>
      </c>
      <c r="O25" s="12">
        <f t="shared" si="1"/>
        <v>10.875</v>
      </c>
      <c r="P25" s="6">
        <f>VLOOKUP(J25,$T$2:$X$4,2,FALSE)*I25</f>
        <v>1497879</v>
      </c>
      <c r="Q25" s="13">
        <f t="shared" si="2"/>
        <v>3.625</v>
      </c>
      <c r="R25" s="6">
        <f t="shared" si="7"/>
        <v>1279799</v>
      </c>
    </row>
    <row r="26" spans="2:18" ht="28.8" x14ac:dyDescent="0.3">
      <c r="D26" t="s">
        <v>51</v>
      </c>
      <c r="E26" s="4" t="s">
        <v>52</v>
      </c>
      <c r="F26" s="5">
        <v>27</v>
      </c>
      <c r="G26" s="4" t="s">
        <v>136</v>
      </c>
      <c r="H26" s="4">
        <v>4</v>
      </c>
      <c r="I26" s="4">
        <f t="shared" si="0"/>
        <v>108</v>
      </c>
      <c r="J26" s="4" t="s">
        <v>18</v>
      </c>
      <c r="K26" s="6">
        <f t="shared" si="11"/>
        <v>1859436</v>
      </c>
      <c r="L26" s="6">
        <f t="shared" si="12"/>
        <v>1184220</v>
      </c>
      <c r="M26" s="6">
        <f t="shared" si="13"/>
        <v>6048000</v>
      </c>
      <c r="N26" s="6">
        <f t="shared" si="14"/>
        <v>1722492</v>
      </c>
      <c r="O26" s="12">
        <f t="shared" si="1"/>
        <v>13.5</v>
      </c>
      <c r="P26" s="6">
        <f>VLOOKUP(J26,$T$2:$X$4,2,FALSE)*I26</f>
        <v>1859436</v>
      </c>
      <c r="Q26" s="13">
        <f t="shared" si="2"/>
        <v>4.5</v>
      </c>
      <c r="R26" s="6">
        <f t="shared" si="7"/>
        <v>1588716</v>
      </c>
    </row>
    <row r="27" spans="2:18" ht="28.8" x14ac:dyDescent="0.3">
      <c r="D27" t="s">
        <v>51</v>
      </c>
      <c r="E27" s="4" t="s">
        <v>54</v>
      </c>
      <c r="F27" s="5">
        <v>16</v>
      </c>
      <c r="G27" s="4" t="s">
        <v>135</v>
      </c>
      <c r="H27" s="4">
        <v>3</v>
      </c>
      <c r="I27" s="4">
        <f t="shared" si="0"/>
        <v>48</v>
      </c>
      <c r="J27" s="4" t="s">
        <v>18</v>
      </c>
      <c r="K27" s="6">
        <f t="shared" si="11"/>
        <v>826416</v>
      </c>
      <c r="L27" s="6">
        <f t="shared" si="12"/>
        <v>526320</v>
      </c>
      <c r="M27" s="6">
        <f t="shared" si="13"/>
        <v>2688000</v>
      </c>
      <c r="N27" s="6">
        <f t="shared" si="14"/>
        <v>765552</v>
      </c>
      <c r="O27" s="12">
        <f t="shared" si="1"/>
        <v>6</v>
      </c>
      <c r="P27" s="6">
        <f>VLOOKUP(J27,$T$2:$X$4,2,FALSE)*I27</f>
        <v>826416</v>
      </c>
      <c r="Q27" s="13">
        <f t="shared" si="2"/>
        <v>2</v>
      </c>
      <c r="R27" s="6">
        <f t="shared" si="7"/>
        <v>706096</v>
      </c>
    </row>
    <row r="28" spans="2:18" x14ac:dyDescent="0.3">
      <c r="B28" t="s">
        <v>55</v>
      </c>
      <c r="C28" t="s">
        <v>56</v>
      </c>
      <c r="D28" t="s">
        <v>53</v>
      </c>
      <c r="E28" s="4" t="s">
        <v>57</v>
      </c>
      <c r="F28" s="4">
        <v>1</v>
      </c>
      <c r="G28" s="4" t="s">
        <v>134</v>
      </c>
      <c r="H28" s="4">
        <v>8</v>
      </c>
      <c r="I28" s="4">
        <f t="shared" si="0"/>
        <v>8</v>
      </c>
      <c r="J28" s="4" t="s">
        <v>18</v>
      </c>
      <c r="K28" s="6">
        <f t="shared" si="11"/>
        <v>137736</v>
      </c>
      <c r="L28" s="6">
        <f t="shared" si="12"/>
        <v>87720</v>
      </c>
      <c r="M28" s="6">
        <f t="shared" si="13"/>
        <v>448000</v>
      </c>
      <c r="N28" s="6">
        <f t="shared" si="14"/>
        <v>127592</v>
      </c>
      <c r="O28" s="12">
        <f t="shared" si="1"/>
        <v>1</v>
      </c>
      <c r="P28" s="6">
        <f>VLOOKUP(J28,$T$2:$X$4,2,FALSE)*I28</f>
        <v>137736</v>
      </c>
      <c r="Q28" s="13">
        <f t="shared" si="2"/>
        <v>0.33333333333333331</v>
      </c>
      <c r="R28" s="6">
        <f t="shared" si="7"/>
        <v>117682.66666666666</v>
      </c>
    </row>
    <row r="29" spans="2:18" x14ac:dyDescent="0.3">
      <c r="D29" t="s">
        <v>53</v>
      </c>
      <c r="E29" s="4" t="s">
        <v>58</v>
      </c>
      <c r="F29" s="5">
        <v>14</v>
      </c>
      <c r="G29" s="4" t="s">
        <v>133</v>
      </c>
      <c r="H29" s="4">
        <v>6</v>
      </c>
      <c r="I29" s="4">
        <f t="shared" si="0"/>
        <v>84</v>
      </c>
      <c r="J29" s="4" t="s">
        <v>18</v>
      </c>
      <c r="K29" s="6">
        <f t="shared" si="11"/>
        <v>1446228</v>
      </c>
      <c r="L29" s="6">
        <f t="shared" si="12"/>
        <v>921060</v>
      </c>
      <c r="M29" s="6">
        <f t="shared" si="13"/>
        <v>4704000</v>
      </c>
      <c r="N29" s="6">
        <f t="shared" si="14"/>
        <v>1339716</v>
      </c>
      <c r="O29" s="12">
        <f t="shared" si="1"/>
        <v>10.5</v>
      </c>
      <c r="P29" s="6">
        <f>VLOOKUP(J29,$T$2:$X$4,2,FALSE)*I29</f>
        <v>1446228</v>
      </c>
      <c r="Q29" s="13">
        <f t="shared" si="2"/>
        <v>3.5</v>
      </c>
      <c r="R29" s="6">
        <f t="shared" si="7"/>
        <v>1235668</v>
      </c>
    </row>
    <row r="30" spans="2:18" x14ac:dyDescent="0.3">
      <c r="D30" t="s">
        <v>53</v>
      </c>
      <c r="E30" s="4" t="s">
        <v>59</v>
      </c>
      <c r="F30" s="5">
        <v>20</v>
      </c>
      <c r="G30" s="4" t="s">
        <v>132</v>
      </c>
      <c r="H30" s="4">
        <v>2</v>
      </c>
      <c r="I30" s="4">
        <f t="shared" si="0"/>
        <v>40</v>
      </c>
      <c r="J30" s="4" t="s">
        <v>18</v>
      </c>
      <c r="K30" s="6">
        <f t="shared" si="11"/>
        <v>688680</v>
      </c>
      <c r="L30" s="6">
        <f t="shared" si="12"/>
        <v>438600</v>
      </c>
      <c r="M30" s="6">
        <f t="shared" si="13"/>
        <v>2240000</v>
      </c>
      <c r="N30" s="6">
        <f t="shared" si="14"/>
        <v>637960</v>
      </c>
      <c r="O30" s="12">
        <f t="shared" si="1"/>
        <v>5</v>
      </c>
      <c r="P30" s="6">
        <f>VLOOKUP(J30,$T$2:$X$4,2,FALSE)*I30</f>
        <v>688680</v>
      </c>
      <c r="Q30" s="13">
        <f t="shared" si="2"/>
        <v>1.6666666666666667</v>
      </c>
      <c r="R30" s="6">
        <f t="shared" si="7"/>
        <v>588413.33333333337</v>
      </c>
    </row>
    <row r="31" spans="2:18" x14ac:dyDescent="0.3">
      <c r="D31" t="s">
        <v>53</v>
      </c>
      <c r="E31" s="4" t="s">
        <v>60</v>
      </c>
      <c r="F31" s="5">
        <v>20</v>
      </c>
      <c r="G31" s="4" t="s">
        <v>139</v>
      </c>
      <c r="H31" s="4">
        <v>1</v>
      </c>
      <c r="I31" s="4">
        <f t="shared" si="0"/>
        <v>20</v>
      </c>
      <c r="J31" s="4" t="s">
        <v>18</v>
      </c>
      <c r="K31" s="6">
        <f t="shared" si="11"/>
        <v>344340</v>
      </c>
      <c r="L31" s="6">
        <f t="shared" si="12"/>
        <v>219300</v>
      </c>
      <c r="M31" s="6">
        <f t="shared" si="13"/>
        <v>1120000</v>
      </c>
      <c r="N31" s="6">
        <f t="shared" si="14"/>
        <v>318980</v>
      </c>
      <c r="O31" s="12">
        <f t="shared" si="1"/>
        <v>2.5</v>
      </c>
      <c r="P31" s="6">
        <f>VLOOKUP(J31,$T$2:$X$4,2,FALSE)*I31</f>
        <v>344340</v>
      </c>
      <c r="Q31" s="13">
        <f t="shared" si="2"/>
        <v>0.83333333333333337</v>
      </c>
      <c r="R31" s="6">
        <f t="shared" si="7"/>
        <v>294206.66666666669</v>
      </c>
    </row>
    <row r="32" spans="2:18" x14ac:dyDescent="0.3">
      <c r="D32" t="s">
        <v>53</v>
      </c>
      <c r="E32" s="4" t="s">
        <v>61</v>
      </c>
      <c r="F32" s="5">
        <v>3</v>
      </c>
      <c r="G32" s="4" t="s">
        <v>138</v>
      </c>
      <c r="H32" s="4">
        <v>1</v>
      </c>
      <c r="I32" s="4">
        <f t="shared" si="0"/>
        <v>3</v>
      </c>
      <c r="J32" s="4" t="s">
        <v>18</v>
      </c>
      <c r="K32" s="6">
        <f t="shared" si="11"/>
        <v>51651</v>
      </c>
      <c r="L32" s="6">
        <f t="shared" si="12"/>
        <v>32895</v>
      </c>
      <c r="M32" s="6">
        <f t="shared" si="13"/>
        <v>168000</v>
      </c>
      <c r="N32" s="6">
        <f t="shared" si="14"/>
        <v>47847</v>
      </c>
      <c r="O32" s="12">
        <f t="shared" si="1"/>
        <v>0.375</v>
      </c>
      <c r="P32" s="6">
        <f>VLOOKUP(J32,$T$2:$X$4,2,FALSE)*I32</f>
        <v>51651</v>
      </c>
      <c r="Q32" s="13">
        <f t="shared" si="2"/>
        <v>0.125</v>
      </c>
      <c r="R32" s="6">
        <f t="shared" si="7"/>
        <v>44131</v>
      </c>
    </row>
    <row r="33" spans="2:18" x14ac:dyDescent="0.3">
      <c r="D33" t="s">
        <v>53</v>
      </c>
      <c r="E33" s="4" t="s">
        <v>62</v>
      </c>
      <c r="F33" s="5">
        <v>5</v>
      </c>
      <c r="G33" s="4" t="s">
        <v>137</v>
      </c>
      <c r="H33" s="4">
        <v>1</v>
      </c>
      <c r="I33" s="4">
        <f t="shared" si="0"/>
        <v>5</v>
      </c>
      <c r="J33" s="4" t="s">
        <v>18</v>
      </c>
      <c r="K33" s="6">
        <f t="shared" si="11"/>
        <v>86085</v>
      </c>
      <c r="L33" s="6">
        <f t="shared" si="12"/>
        <v>54825</v>
      </c>
      <c r="M33" s="6">
        <f t="shared" si="13"/>
        <v>280000</v>
      </c>
      <c r="N33" s="6">
        <f t="shared" si="14"/>
        <v>79745</v>
      </c>
      <c r="O33" s="12">
        <f t="shared" si="1"/>
        <v>0.625</v>
      </c>
      <c r="P33" s="6">
        <f>VLOOKUP(J33,$T$2:$X$4,2,FALSE)*I33</f>
        <v>86085</v>
      </c>
      <c r="Q33" s="13">
        <f t="shared" si="2"/>
        <v>0.20833333333333334</v>
      </c>
      <c r="R33" s="6">
        <f t="shared" si="7"/>
        <v>73551.666666666672</v>
      </c>
    </row>
    <row r="34" spans="2:18" ht="28.8" x14ac:dyDescent="0.3">
      <c r="B34" t="s">
        <v>63</v>
      </c>
      <c r="C34" t="s">
        <v>64</v>
      </c>
      <c r="D34" t="s">
        <v>65</v>
      </c>
      <c r="E34" s="4" t="s">
        <v>66</v>
      </c>
      <c r="F34" s="4">
        <v>1</v>
      </c>
      <c r="G34" s="4" t="s">
        <v>136</v>
      </c>
      <c r="H34" s="4">
        <v>2</v>
      </c>
      <c r="I34" s="4">
        <f t="shared" si="0"/>
        <v>2</v>
      </c>
      <c r="J34" s="4" t="s">
        <v>18</v>
      </c>
      <c r="K34" s="6">
        <f t="shared" si="11"/>
        <v>34434</v>
      </c>
      <c r="L34" s="6">
        <f t="shared" si="12"/>
        <v>21930</v>
      </c>
      <c r="M34" s="6">
        <f t="shared" si="13"/>
        <v>112000</v>
      </c>
      <c r="N34" s="6">
        <f t="shared" si="14"/>
        <v>31898</v>
      </c>
      <c r="O34" s="12">
        <f t="shared" si="1"/>
        <v>0.25</v>
      </c>
      <c r="P34" s="6">
        <f>VLOOKUP(J34,$T$2:$X$4,2,FALSE)*I34</f>
        <v>34434</v>
      </c>
      <c r="Q34" s="13">
        <f t="shared" si="2"/>
        <v>8.3333333333333329E-2</v>
      </c>
      <c r="R34" s="6">
        <f t="shared" si="7"/>
        <v>29420.666666666664</v>
      </c>
    </row>
    <row r="35" spans="2:18" ht="28.8" x14ac:dyDescent="0.3">
      <c r="D35" t="s">
        <v>65</v>
      </c>
      <c r="E35" s="4" t="s">
        <v>67</v>
      </c>
      <c r="F35" s="4">
        <v>1</v>
      </c>
      <c r="G35" s="4" t="s">
        <v>135</v>
      </c>
      <c r="H35" s="4">
        <v>3</v>
      </c>
      <c r="I35" s="4">
        <f t="shared" si="0"/>
        <v>3</v>
      </c>
      <c r="J35" s="4" t="s">
        <v>18</v>
      </c>
      <c r="K35" s="6">
        <f t="shared" si="11"/>
        <v>51651</v>
      </c>
      <c r="L35" s="6">
        <f t="shared" si="12"/>
        <v>32895</v>
      </c>
      <c r="M35" s="6">
        <f t="shared" si="13"/>
        <v>168000</v>
      </c>
      <c r="N35" s="6">
        <f t="shared" si="14"/>
        <v>47847</v>
      </c>
      <c r="O35" s="12">
        <f t="shared" si="1"/>
        <v>0.375</v>
      </c>
      <c r="P35" s="6">
        <f>VLOOKUP(J35,$T$2:$X$4,2,FALSE)*I35</f>
        <v>51651</v>
      </c>
      <c r="Q35" s="13">
        <f t="shared" si="2"/>
        <v>0.125</v>
      </c>
      <c r="R35" s="6">
        <f t="shared" si="7"/>
        <v>44131</v>
      </c>
    </row>
    <row r="36" spans="2:18" ht="28.8" x14ac:dyDescent="0.3">
      <c r="D36" t="s">
        <v>65</v>
      </c>
      <c r="E36" s="4" t="s">
        <v>68</v>
      </c>
      <c r="F36" s="5">
        <v>4</v>
      </c>
      <c r="G36" s="4" t="s">
        <v>140</v>
      </c>
      <c r="H36" s="4">
        <v>2</v>
      </c>
      <c r="I36" s="4">
        <f t="shared" si="0"/>
        <v>8</v>
      </c>
      <c r="J36" s="4" t="s">
        <v>18</v>
      </c>
      <c r="K36" s="6">
        <f t="shared" si="11"/>
        <v>137736</v>
      </c>
      <c r="L36" s="6">
        <f t="shared" si="12"/>
        <v>87720</v>
      </c>
      <c r="M36" s="6">
        <f t="shared" si="13"/>
        <v>448000</v>
      </c>
      <c r="N36" s="6">
        <f t="shared" si="14"/>
        <v>127592</v>
      </c>
      <c r="O36" s="12">
        <f t="shared" si="1"/>
        <v>1</v>
      </c>
      <c r="P36" s="6">
        <f>VLOOKUP(J36,$T$2:$X$4,2,FALSE)*I36</f>
        <v>137736</v>
      </c>
      <c r="Q36" s="13">
        <f t="shared" si="2"/>
        <v>0.33333333333333331</v>
      </c>
      <c r="R36" s="6">
        <f t="shared" si="7"/>
        <v>117682.66666666666</v>
      </c>
    </row>
    <row r="37" spans="2:18" x14ac:dyDescent="0.3">
      <c r="D37" t="s">
        <v>65</v>
      </c>
      <c r="E37" s="4" t="s">
        <v>69</v>
      </c>
      <c r="F37" s="5">
        <v>4</v>
      </c>
      <c r="H37" s="4">
        <v>2</v>
      </c>
      <c r="I37" s="4">
        <f t="shared" si="0"/>
        <v>8</v>
      </c>
      <c r="J37" s="4" t="s">
        <v>18</v>
      </c>
      <c r="K37" s="6">
        <f t="shared" si="11"/>
        <v>137736</v>
      </c>
      <c r="L37" s="6">
        <f t="shared" si="12"/>
        <v>87720</v>
      </c>
      <c r="M37" s="6">
        <f t="shared" si="13"/>
        <v>448000</v>
      </c>
      <c r="N37" s="6">
        <f t="shared" si="14"/>
        <v>127592</v>
      </c>
      <c r="O37" s="12">
        <f t="shared" si="1"/>
        <v>1</v>
      </c>
      <c r="P37" s="6">
        <f>VLOOKUP(J37,$T$2:$X$4,2,FALSE)*I37</f>
        <v>137736</v>
      </c>
      <c r="Q37" s="13">
        <f t="shared" si="2"/>
        <v>0.33333333333333331</v>
      </c>
      <c r="R37" s="6">
        <f t="shared" si="7"/>
        <v>117682.66666666666</v>
      </c>
    </row>
    <row r="38" spans="2:18" x14ac:dyDescent="0.3">
      <c r="D38" t="s">
        <v>70</v>
      </c>
      <c r="E38" s="4" t="s">
        <v>71</v>
      </c>
      <c r="F38" s="4">
        <v>1</v>
      </c>
      <c r="G38" s="4" t="s">
        <v>141</v>
      </c>
      <c r="H38" s="4">
        <v>1</v>
      </c>
      <c r="I38" s="4">
        <f t="shared" si="0"/>
        <v>1</v>
      </c>
      <c r="J38" s="4" t="s">
        <v>18</v>
      </c>
      <c r="K38" s="6">
        <f t="shared" si="11"/>
        <v>17217</v>
      </c>
      <c r="L38" s="6">
        <f t="shared" si="12"/>
        <v>10965</v>
      </c>
      <c r="M38" s="6">
        <f t="shared" si="13"/>
        <v>56000</v>
      </c>
      <c r="N38" s="6">
        <f t="shared" si="14"/>
        <v>15949</v>
      </c>
      <c r="O38" s="12">
        <f t="shared" si="1"/>
        <v>0.125</v>
      </c>
      <c r="P38" s="6">
        <f>VLOOKUP(J38,$T$2:$X$4,2,FALSE)*I38</f>
        <v>17217</v>
      </c>
      <c r="Q38" s="13">
        <f t="shared" si="2"/>
        <v>4.1666666666666664E-2</v>
      </c>
      <c r="R38" s="6">
        <f t="shared" si="7"/>
        <v>14710.333333333332</v>
      </c>
    </row>
    <row r="39" spans="2:18" ht="43.2" x14ac:dyDescent="0.3">
      <c r="B39" t="s">
        <v>72</v>
      </c>
      <c r="C39" t="s">
        <v>73</v>
      </c>
      <c r="D39" t="s">
        <v>74</v>
      </c>
      <c r="E39" s="4" t="s">
        <v>75</v>
      </c>
      <c r="F39" s="4">
        <v>1</v>
      </c>
      <c r="G39" s="4" t="s">
        <v>142</v>
      </c>
      <c r="H39" s="4">
        <v>1</v>
      </c>
      <c r="I39" s="4">
        <f t="shared" si="0"/>
        <v>1</v>
      </c>
      <c r="J39" s="4" t="s">
        <v>18</v>
      </c>
      <c r="K39" s="6">
        <f t="shared" si="11"/>
        <v>17217</v>
      </c>
      <c r="L39" s="6">
        <f t="shared" si="12"/>
        <v>10965</v>
      </c>
      <c r="M39" s="6">
        <f t="shared" si="13"/>
        <v>56000</v>
      </c>
      <c r="N39" s="6">
        <f t="shared" si="14"/>
        <v>15949</v>
      </c>
      <c r="O39" s="12">
        <f t="shared" si="1"/>
        <v>0.125</v>
      </c>
      <c r="P39" s="6">
        <f>VLOOKUP(J39,$T$2:$X$4,2,FALSE)*I39</f>
        <v>17217</v>
      </c>
      <c r="Q39" s="13">
        <f t="shared" si="2"/>
        <v>4.1666666666666664E-2</v>
      </c>
      <c r="R39" s="6">
        <f t="shared" si="7"/>
        <v>14710.333333333332</v>
      </c>
    </row>
    <row r="40" spans="2:18" ht="28.8" x14ac:dyDescent="0.3">
      <c r="D40" t="s">
        <v>74</v>
      </c>
      <c r="E40" s="4" t="s">
        <v>76</v>
      </c>
      <c r="F40" s="4">
        <v>1</v>
      </c>
      <c r="G40" s="4" t="s">
        <v>143</v>
      </c>
      <c r="H40" s="4">
        <v>1</v>
      </c>
      <c r="I40" s="4">
        <f t="shared" si="0"/>
        <v>1</v>
      </c>
      <c r="J40" s="4" t="s">
        <v>18</v>
      </c>
      <c r="K40" s="6">
        <f t="shared" si="11"/>
        <v>17217</v>
      </c>
      <c r="L40" s="6">
        <f t="shared" si="12"/>
        <v>10965</v>
      </c>
      <c r="M40" s="6">
        <f t="shared" si="13"/>
        <v>56000</v>
      </c>
      <c r="N40" s="6">
        <f t="shared" si="14"/>
        <v>15949</v>
      </c>
      <c r="O40" s="12">
        <f t="shared" si="1"/>
        <v>0.125</v>
      </c>
      <c r="P40" s="6">
        <f>VLOOKUP(J40,$T$2:$X$4,2,FALSE)*I40</f>
        <v>17217</v>
      </c>
      <c r="Q40" s="13">
        <f t="shared" si="2"/>
        <v>4.1666666666666664E-2</v>
      </c>
      <c r="R40" s="6">
        <f t="shared" si="7"/>
        <v>14710.333333333332</v>
      </c>
    </row>
    <row r="41" spans="2:18" ht="28.8" x14ac:dyDescent="0.3">
      <c r="D41" t="s">
        <v>74</v>
      </c>
      <c r="E41" s="4" t="s">
        <v>77</v>
      </c>
      <c r="F41" s="4">
        <v>1</v>
      </c>
      <c r="G41" s="4" t="s">
        <v>143</v>
      </c>
      <c r="H41" s="4">
        <v>2</v>
      </c>
      <c r="I41" s="4">
        <f t="shared" si="0"/>
        <v>2</v>
      </c>
      <c r="J41" s="4" t="s">
        <v>18</v>
      </c>
      <c r="K41" s="6">
        <f t="shared" si="11"/>
        <v>34434</v>
      </c>
      <c r="L41" s="6">
        <f t="shared" si="12"/>
        <v>21930</v>
      </c>
      <c r="M41" s="6">
        <f t="shared" si="13"/>
        <v>112000</v>
      </c>
      <c r="N41" s="6">
        <f t="shared" si="14"/>
        <v>31898</v>
      </c>
      <c r="O41" s="12">
        <f t="shared" si="1"/>
        <v>0.25</v>
      </c>
      <c r="P41" s="6">
        <f>VLOOKUP(J41,$T$2:$X$4,2,FALSE)*I41</f>
        <v>34434</v>
      </c>
      <c r="Q41" s="13">
        <f t="shared" si="2"/>
        <v>8.3333333333333329E-2</v>
      </c>
      <c r="R41" s="6">
        <f t="shared" si="7"/>
        <v>29420.666666666664</v>
      </c>
    </row>
    <row r="42" spans="2:18" ht="28.8" x14ac:dyDescent="0.3">
      <c r="D42" t="s">
        <v>78</v>
      </c>
      <c r="E42" s="4" t="s">
        <v>79</v>
      </c>
      <c r="F42" s="4">
        <v>1</v>
      </c>
      <c r="G42" s="4" t="s">
        <v>143</v>
      </c>
      <c r="H42" s="4">
        <v>3</v>
      </c>
      <c r="I42" s="4">
        <f t="shared" si="0"/>
        <v>3</v>
      </c>
      <c r="J42" s="4" t="s">
        <v>18</v>
      </c>
      <c r="K42" s="6">
        <f t="shared" si="11"/>
        <v>51651</v>
      </c>
      <c r="L42" s="6">
        <f t="shared" si="12"/>
        <v>32895</v>
      </c>
      <c r="M42" s="6">
        <f t="shared" si="13"/>
        <v>168000</v>
      </c>
      <c r="N42" s="6">
        <f t="shared" si="14"/>
        <v>47847</v>
      </c>
      <c r="O42" s="12">
        <f t="shared" si="1"/>
        <v>0.375</v>
      </c>
      <c r="P42" s="6">
        <f>VLOOKUP(J42,$T$2:$X$4,2,FALSE)*I42</f>
        <v>51651</v>
      </c>
      <c r="Q42" s="13">
        <f t="shared" si="2"/>
        <v>0.125</v>
      </c>
      <c r="R42" s="6">
        <f t="shared" si="7"/>
        <v>44131</v>
      </c>
    </row>
    <row r="43" spans="2:18" x14ac:dyDescent="0.3">
      <c r="B43" t="s">
        <v>80</v>
      </c>
      <c r="C43" t="s">
        <v>81</v>
      </c>
      <c r="D43" t="s">
        <v>82</v>
      </c>
      <c r="E43" s="4" t="s">
        <v>83</v>
      </c>
      <c r="F43" s="4">
        <v>1</v>
      </c>
      <c r="G43" s="4" t="s">
        <v>144</v>
      </c>
      <c r="H43" s="4">
        <v>5</v>
      </c>
      <c r="I43" s="4">
        <f t="shared" si="0"/>
        <v>5</v>
      </c>
      <c r="J43" s="4" t="s">
        <v>18</v>
      </c>
      <c r="K43" s="6">
        <f t="shared" si="11"/>
        <v>86085</v>
      </c>
      <c r="L43" s="6">
        <f t="shared" si="12"/>
        <v>54825</v>
      </c>
      <c r="M43" s="6">
        <f t="shared" si="13"/>
        <v>280000</v>
      </c>
      <c r="N43" s="6">
        <f t="shared" si="14"/>
        <v>79745</v>
      </c>
      <c r="O43" s="12">
        <f t="shared" si="1"/>
        <v>0.625</v>
      </c>
      <c r="P43" s="6">
        <f>VLOOKUP(J43,$T$2:$X$4,2,FALSE)*I43</f>
        <v>86085</v>
      </c>
      <c r="Q43" s="13">
        <f t="shared" si="2"/>
        <v>0.20833333333333334</v>
      </c>
      <c r="R43" s="6">
        <f t="shared" si="7"/>
        <v>73551.666666666672</v>
      </c>
    </row>
    <row r="44" spans="2:18" x14ac:dyDescent="0.3">
      <c r="D44" t="s">
        <v>82</v>
      </c>
      <c r="E44" s="4" t="s">
        <v>84</v>
      </c>
      <c r="F44" s="4">
        <v>4</v>
      </c>
      <c r="G44" s="4" t="s">
        <v>145</v>
      </c>
      <c r="H44" s="4">
        <v>4</v>
      </c>
      <c r="I44" s="4">
        <f t="shared" si="0"/>
        <v>16</v>
      </c>
      <c r="J44" s="4" t="s">
        <v>18</v>
      </c>
      <c r="K44" s="6">
        <f t="shared" si="11"/>
        <v>275472</v>
      </c>
      <c r="L44" s="6">
        <f t="shared" si="12"/>
        <v>175440</v>
      </c>
      <c r="M44" s="6">
        <f t="shared" si="13"/>
        <v>896000</v>
      </c>
      <c r="N44" s="6">
        <f t="shared" si="14"/>
        <v>255184</v>
      </c>
      <c r="O44" s="12">
        <f t="shared" si="1"/>
        <v>2</v>
      </c>
      <c r="P44" s="6">
        <f>VLOOKUP(J44,$T$2:$X$4,2,FALSE)*I44</f>
        <v>275472</v>
      </c>
      <c r="Q44" s="13">
        <f t="shared" si="2"/>
        <v>0.66666666666666663</v>
      </c>
      <c r="R44" s="6">
        <f t="shared" si="7"/>
        <v>235365.33333333331</v>
      </c>
    </row>
    <row r="45" spans="2:18" x14ac:dyDescent="0.3">
      <c r="D45" t="s">
        <v>82</v>
      </c>
      <c r="E45" s="4" t="s">
        <v>85</v>
      </c>
      <c r="F45" s="4">
        <v>1</v>
      </c>
      <c r="G45" s="4" t="s">
        <v>144</v>
      </c>
      <c r="H45" s="4">
        <v>6</v>
      </c>
      <c r="I45" s="4">
        <f t="shared" si="0"/>
        <v>6</v>
      </c>
      <c r="J45" s="4" t="s">
        <v>18</v>
      </c>
      <c r="K45" s="6">
        <f t="shared" si="11"/>
        <v>103302</v>
      </c>
      <c r="L45" s="6">
        <f t="shared" si="12"/>
        <v>65790</v>
      </c>
      <c r="M45" s="6">
        <f t="shared" si="13"/>
        <v>336000</v>
      </c>
      <c r="N45" s="6">
        <f t="shared" si="14"/>
        <v>95694</v>
      </c>
      <c r="O45" s="12">
        <f t="shared" si="1"/>
        <v>0.75</v>
      </c>
      <c r="P45" s="6">
        <f>VLOOKUP(J45,$T$2:$X$4,2,FALSE)*I45</f>
        <v>103302</v>
      </c>
      <c r="Q45" s="13">
        <f t="shared" si="2"/>
        <v>0.25</v>
      </c>
      <c r="R45" s="6">
        <f t="shared" si="7"/>
        <v>88262</v>
      </c>
    </row>
    <row r="46" spans="2:18" x14ac:dyDescent="0.3">
      <c r="D46" t="s">
        <v>80</v>
      </c>
      <c r="E46" s="4" t="s">
        <v>86</v>
      </c>
      <c r="F46" s="4">
        <v>4</v>
      </c>
      <c r="G46" s="4" t="s">
        <v>145</v>
      </c>
      <c r="H46" s="4">
        <v>5</v>
      </c>
      <c r="I46" s="4">
        <f t="shared" si="0"/>
        <v>20</v>
      </c>
      <c r="J46" s="4" t="s">
        <v>18</v>
      </c>
      <c r="K46" s="6">
        <f t="shared" si="11"/>
        <v>344340</v>
      </c>
      <c r="L46" s="6">
        <f t="shared" si="12"/>
        <v>219300</v>
      </c>
      <c r="M46" s="6">
        <f t="shared" si="13"/>
        <v>1120000</v>
      </c>
      <c r="N46" s="6">
        <f t="shared" si="14"/>
        <v>318980</v>
      </c>
      <c r="O46" s="12">
        <f t="shared" si="1"/>
        <v>2.5</v>
      </c>
      <c r="P46" s="6">
        <f>VLOOKUP(J46,$T$2:$X$4,2,FALSE)*I46</f>
        <v>344340</v>
      </c>
      <c r="Q46" s="13">
        <f t="shared" si="2"/>
        <v>0.83333333333333337</v>
      </c>
      <c r="R46" s="6">
        <f t="shared" si="7"/>
        <v>294206.66666666669</v>
      </c>
    </row>
    <row r="47" spans="2:18" x14ac:dyDescent="0.3">
      <c r="D47" t="s">
        <v>80</v>
      </c>
      <c r="E47" s="4" t="s">
        <v>87</v>
      </c>
      <c r="F47" s="4">
        <v>4</v>
      </c>
      <c r="G47" s="4" t="s">
        <v>145</v>
      </c>
      <c r="H47" s="4">
        <v>4</v>
      </c>
      <c r="I47" s="4">
        <f t="shared" si="0"/>
        <v>16</v>
      </c>
      <c r="J47" s="4" t="s">
        <v>18</v>
      </c>
      <c r="K47" s="6">
        <f t="shared" si="11"/>
        <v>275472</v>
      </c>
      <c r="L47" s="6">
        <f t="shared" si="12"/>
        <v>175440</v>
      </c>
      <c r="M47" s="6">
        <f t="shared" si="13"/>
        <v>896000</v>
      </c>
      <c r="N47" s="6">
        <f t="shared" si="14"/>
        <v>255184</v>
      </c>
      <c r="O47" s="12">
        <f t="shared" si="1"/>
        <v>2</v>
      </c>
      <c r="P47" s="6">
        <f>VLOOKUP(J47,$T$2:$X$4,2,FALSE)*I47</f>
        <v>275472</v>
      </c>
      <c r="Q47" s="13">
        <f t="shared" si="2"/>
        <v>0.66666666666666663</v>
      </c>
      <c r="R47" s="6">
        <f t="shared" si="7"/>
        <v>235365.33333333331</v>
      </c>
    </row>
    <row r="51" spans="8:8" x14ac:dyDescent="0.3">
      <c r="H51" s="4" t="s">
        <v>146</v>
      </c>
    </row>
  </sheetData>
  <mergeCells count="2">
    <mergeCell ref="Z1:AA1"/>
    <mergeCell ref="AC1:AD1"/>
  </mergeCells>
  <conditionalFormatting sqref="U5:W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5:X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:N4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MODELO ESTIMACION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Harold Adrian Bolaños Rodriguez</dc:creator>
  <cp:keywords/>
  <dc:description/>
  <cp:lastModifiedBy>Woolfwp</cp:lastModifiedBy>
  <cp:revision/>
  <dcterms:created xsi:type="dcterms:W3CDTF">2020-11-04T23:31:45Z</dcterms:created>
  <dcterms:modified xsi:type="dcterms:W3CDTF">2020-11-13T22:34:57Z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042375f9-4924-4114-9684-067777532923</vt:lpwstr>
  </property>
</Properties>
</file>