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5" windowWidth="29040" windowHeight="15840"/>
  </bookViews>
  <sheets>
    <sheet name="Phases" sheetId="3" r:id="rId1"/>
    <sheet name="Target" sheetId="2" r:id="rId2"/>
    <sheet name="Backlog" sheetId="5" r:id="rId3"/>
    <sheet name="Development" sheetId="4" r:id="rId4"/>
  </sheets>
  <definedNames>
    <definedName name="sprint1_done">Target!$H$46</definedName>
    <definedName name="sprint1_hours">Target!#REF!</definedName>
    <definedName name="sprint1_interval">Target!$N$2</definedName>
    <definedName name="sprint1_start">Target!$O$2</definedName>
    <definedName name="sprint1_target">Target!$I$46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D10" i="3"/>
  <c r="B43" i="2" l="1"/>
  <c r="C46" i="2"/>
  <c r="D45" i="2" l="1"/>
  <c r="D46" i="2" s="1"/>
  <c r="E45" i="2"/>
  <c r="E46" i="2" s="1"/>
  <c r="G45" i="2"/>
  <c r="G46" i="2" s="1"/>
  <c r="F45" i="2"/>
  <c r="F46" i="2" s="1"/>
  <c r="I46" i="2" l="1"/>
  <c r="Y2" i="2" l="1"/>
  <c r="X3" i="2"/>
  <c r="X4" i="2" s="1"/>
  <c r="Y4" i="2" s="1"/>
  <c r="M6" i="2"/>
  <c r="M7" i="2" s="1"/>
  <c r="P2" i="2"/>
  <c r="Q2" i="2" s="1"/>
  <c r="N5" i="2"/>
  <c r="O3" i="2"/>
  <c r="A46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Y3" i="2"/>
  <c r="X5" i="2"/>
  <c r="Y5" i="2" s="1"/>
  <c r="X6" i="2"/>
  <c r="Y6" i="2" s="1"/>
  <c r="N6" i="2"/>
  <c r="S6" i="2"/>
  <c r="R2" i="2"/>
  <c r="N7" i="2"/>
  <c r="M8" i="2"/>
  <c r="H46" i="2"/>
  <c r="Q17" i="2" s="1"/>
  <c r="J46" i="2" l="1"/>
  <c r="B40" i="2"/>
  <c r="B41" i="2" s="1"/>
  <c r="B42" i="2" s="1"/>
  <c r="B38" i="2"/>
  <c r="B39" i="2" s="1"/>
  <c r="S2" i="2"/>
  <c r="T2" i="2" s="1"/>
  <c r="O5" i="2"/>
  <c r="P5" i="2"/>
  <c r="S7" i="2"/>
  <c r="K46" i="2"/>
  <c r="R6" i="2"/>
  <c r="R7" i="2" s="1"/>
  <c r="R8" i="2" s="1"/>
  <c r="R9" i="2" s="1"/>
  <c r="R10" i="2" s="1"/>
  <c r="M9" i="2"/>
  <c r="N8" i="2"/>
  <c r="S8" i="2"/>
  <c r="P6" i="2" l="1"/>
  <c r="S9" i="2"/>
  <c r="M10" i="2"/>
  <c r="N9" i="2"/>
  <c r="P7" i="2" l="1"/>
  <c r="N10" i="2"/>
  <c r="S10" i="2"/>
  <c r="M11" i="2"/>
  <c r="P8" i="2" l="1"/>
  <c r="N11" i="2"/>
  <c r="M12" i="2"/>
  <c r="S11" i="2"/>
  <c r="P9" i="2" l="1"/>
  <c r="M13" i="2"/>
  <c r="N12" i="2"/>
  <c r="S12" i="2"/>
  <c r="R11" i="2" l="1"/>
  <c r="P10" i="2"/>
  <c r="M14" i="2"/>
  <c r="S13" i="2"/>
  <c r="N13" i="2"/>
  <c r="P11" i="2" l="1"/>
  <c r="R12" i="2"/>
  <c r="N14" i="2"/>
  <c r="M15" i="2"/>
  <c r="S14" i="2"/>
  <c r="R13" i="2" l="1"/>
  <c r="P12" i="2"/>
  <c r="N15" i="2"/>
  <c r="M16" i="2"/>
  <c r="S15" i="2"/>
  <c r="R14" i="2" l="1"/>
  <c r="P13" i="2"/>
  <c r="M17" i="2"/>
  <c r="S16" i="2"/>
  <c r="N16" i="2"/>
  <c r="R15" i="2" l="1"/>
  <c r="P14" i="2"/>
  <c r="S17" i="2"/>
  <c r="N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 xml:space="preserve">- Trello
- Github
- Folders
- Files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<sst xmlns="http://schemas.openxmlformats.org/spreadsheetml/2006/main" count="197" uniqueCount="92">
  <si>
    <t>Todo</t>
  </si>
  <si>
    <t>Done</t>
  </si>
  <si>
    <t>Tested</t>
  </si>
  <si>
    <t>Verified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</si>
  <si>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</si>
  <si>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</si>
  <si>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</si>
  <si>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</si>
  <si>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</si>
  <si>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</si>
  <si>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</si>
  <si>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</si>
  <si>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</si>
  <si>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</si>
  <si>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</si>
  <si>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</si>
  <si>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</si>
  <si>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</si>
  <si>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</si>
  <si>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</si>
  <si>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</si>
  <si>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</si>
  <si>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</si>
  <si>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</si>
  <si>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</si>
  <si>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Excel design</t>
  </si>
  <si>
    <t>Create Repo</t>
  </si>
  <si>
    <t>Define name</t>
  </si>
  <si>
    <t>Setup Readme</t>
  </si>
  <si>
    <t>(end)</t>
  </si>
  <si>
    <t>Test</t>
  </si>
  <si>
    <t>QA</t>
  </si>
  <si>
    <t>x</t>
  </si>
  <si>
    <t>na</t>
  </si>
  <si>
    <t>ü</t>
  </si>
  <si>
    <t>Publish</t>
  </si>
  <si>
    <t>(na)</t>
  </si>
  <si>
    <t>Setup environment</t>
  </si>
  <si>
    <t>Setup build</t>
  </si>
  <si>
    <t>Define scope</t>
  </si>
  <si>
    <t>Create console app flowedit</t>
  </si>
  <si>
    <t>add options</t>
  </si>
  <si>
    <t>-f option mockup</t>
  </si>
  <si>
    <t>-o option mockup</t>
  </si>
  <si>
    <t>-d option mockup</t>
  </si>
  <si>
    <t>Build final app (timer)</t>
  </si>
  <si>
    <t>build test cases (webstorm)</t>
  </si>
  <si>
    <t>(New Idea)</t>
  </si>
  <si>
    <t>[[Create backlog]]</t>
  </si>
  <si>
    <t>[I want to...]</t>
  </si>
  <si>
    <t>&lt;Can I …?&gt; [so that] ?? (end)</t>
  </si>
  <si>
    <t>[Log stories]</t>
  </si>
  <si>
    <t>[Write stories]</t>
  </si>
  <si>
    <t>[Write notes]</t>
  </si>
  <si>
    <t>[review stories]</t>
  </si>
  <si>
    <t>[Create burndown chart]</t>
  </si>
  <si>
    <t>[kickoff]</t>
  </si>
  <si>
    <t>Refactor helper</t>
  </si>
  <si>
    <t>-s option mockup</t>
  </si>
  <si>
    <t>WebStorm</t>
  </si>
  <si>
    <t>Total</t>
  </si>
  <si>
    <t>Update see_it_done project</t>
  </si>
  <si>
    <t>MS code</t>
  </si>
  <si>
    <t>Assigned</t>
  </si>
  <si>
    <t>Black book design</t>
  </si>
  <si>
    <t>Outstanding issues:</t>
  </si>
  <si>
    <t>Project</t>
  </si>
  <si>
    <t>P1</t>
  </si>
  <si>
    <t>P2</t>
  </si>
  <si>
    <t>P3</t>
  </si>
  <si>
    <t>History</t>
  </si>
  <si>
    <t>Avg</t>
  </si>
  <si>
    <t>2. Collect History</t>
  </si>
  <si>
    <t>3. Show on Chart  (Make burndown when end-date)</t>
  </si>
  <si>
    <t>Heading</t>
  </si>
  <si>
    <t>Name</t>
  </si>
  <si>
    <t>Items</t>
  </si>
  <si>
    <t>[]</t>
  </si>
  <si>
    <t>Sprint1</t>
  </si>
  <si>
    <t>Issues</t>
  </si>
  <si>
    <t>Github</t>
  </si>
  <si>
    <t>burndown.json</t>
  </si>
  <si>
    <r>
      <t>burndownGithub_issuesSprint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</si>
  <si>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</si>
  <si>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</si>
  <si>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</si>
  <si>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.json</t>
    </r>
  </si>
  <si>
    <t>1. Create MD table of totals</t>
  </si>
  <si>
    <t>4. Create generic format</t>
  </si>
  <si>
    <t>5. Collect history across projects</t>
  </si>
  <si>
    <t>6. Merge into database</t>
  </si>
  <si>
    <t>7. Dashboard &amp; burndown across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</si>
</sst>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m/dd\ \(hh:mm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14" fontId="0" fillId="0" borderId="5" xfId="0" applyNumberFormat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2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quotePrefix="1" applyBorder="1"/>
    <xf numFmtId="0" fontId="0" fillId="0" borderId="8" xfId="0" quotePrefix="1" applyBorder="1"/>
    <xf numFmtId="1" fontId="4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7" borderId="1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Target!$O$4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Target!$P$4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58352"/>
        <c:axId val="418658744"/>
        <c:extLst xmlns:c16r2="http://schemas.microsoft.com/office/drawing/2015/06/chart"/>
      </c:lineChart>
      <c:catAx>
        <c:axId val="418658352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8744"/>
        <c:crosses val="autoZero"/>
        <c:auto val="0"/>
        <c:lblAlgn val="ctr"/>
        <c:lblOffset val="100"/>
        <c:noMultiLvlLbl val="1"/>
      </c:catAx>
      <c:valAx>
        <c:axId val="4186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Target!$O$4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Target!$P$4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59528"/>
        <c:axId val="418659920"/>
        <c:extLst xmlns:c16r2="http://schemas.microsoft.com/office/drawing/2015/06/chart"/>
      </c:lineChart>
      <c:catAx>
        <c:axId val="418659528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9920"/>
        <c:crosses val="autoZero"/>
        <c:auto val="0"/>
        <c:lblAlgn val="ctr"/>
        <c:lblOffset val="100"/>
        <c:noMultiLvlLbl val="1"/>
      </c:catAx>
      <c:valAx>
        <c:axId val="418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5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</xdr:row>
      <xdr:rowOff>114300</xdr:rowOff>
    </xdr:from>
    <xdr:to>
      <xdr:col>5</xdr:col>
      <xdr:colOff>485775</xdr:colOff>
      <xdr:row>6</xdr:row>
      <xdr:rowOff>114300</xdr:rowOff>
    </xdr:to>
    <xdr:cxnSp macro="">
      <xdr:nvCxnSpPr>
        <xdr:cNvPr id="3" name="Straight Arrow Connector 2"/>
        <xdr:cNvCxnSpPr/>
      </xdr:nvCxnSpPr>
      <xdr:spPr>
        <a:xfrm>
          <a:off x="2000250" y="1257300"/>
          <a:ext cx="10287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</xdr:row>
      <xdr:rowOff>47626</xdr:rowOff>
    </xdr:from>
    <xdr:to>
      <xdr:col>15</xdr:col>
      <xdr:colOff>485775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6</xdr:row>
      <xdr:rowOff>85725</xdr:rowOff>
    </xdr:from>
    <xdr:to>
      <xdr:col>10</xdr:col>
      <xdr:colOff>342900</xdr:colOff>
      <xdr:row>6</xdr:row>
      <xdr:rowOff>85725</xdr:rowOff>
    </xdr:to>
    <xdr:cxnSp macro="">
      <xdr:nvCxnSpPr>
        <xdr:cNvPr id="5" name="Straight Arrow Connector 4"/>
        <xdr:cNvCxnSpPr/>
      </xdr:nvCxnSpPr>
      <xdr:spPr>
        <a:xfrm>
          <a:off x="4714875" y="1228725"/>
          <a:ext cx="1524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38100</xdr:rowOff>
    </xdr:from>
    <xdr:to>
      <xdr:col>4</xdr:col>
      <xdr:colOff>390525</xdr:colOff>
      <xdr:row>25</xdr:row>
      <xdr:rowOff>133350</xdr:rowOff>
    </xdr:to>
    <xdr:sp macro="" textlink="">
      <xdr:nvSpPr>
        <xdr:cNvPr id="8" name="Right Brace 7"/>
        <xdr:cNvSpPr/>
      </xdr:nvSpPr>
      <xdr:spPr>
        <a:xfrm>
          <a:off x="2152650" y="2914650"/>
          <a:ext cx="447675" cy="200025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9</xdr:col>
      <xdr:colOff>161925</xdr:colOff>
      <xdr:row>20</xdr:row>
      <xdr:rowOff>109538</xdr:rowOff>
    </xdr:from>
    <xdr:to>
      <xdr:col>11</xdr:col>
      <xdr:colOff>38100</xdr:colOff>
      <xdr:row>20</xdr:row>
      <xdr:rowOff>109538</xdr:rowOff>
    </xdr:to>
    <xdr:cxnSp macro="">
      <xdr:nvCxnSpPr>
        <xdr:cNvPr id="10" name="Straight Arrow Connector 9"/>
        <xdr:cNvCxnSpPr>
          <a:stCxn id="12" idx="1"/>
          <a:endCxn id="11" idx="2"/>
        </xdr:cNvCxnSpPr>
      </xdr:nvCxnSpPr>
      <xdr:spPr>
        <a:xfrm>
          <a:off x="5448300" y="3938588"/>
          <a:ext cx="10953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28575</xdr:rowOff>
    </xdr:from>
    <xdr:to>
      <xdr:col>12</xdr:col>
      <xdr:colOff>371475</xdr:colOff>
      <xdr:row>23</xdr:row>
      <xdr:rowOff>0</xdr:rowOff>
    </xdr:to>
    <xdr:sp macro="" textlink="">
      <xdr:nvSpPr>
        <xdr:cNvPr id="11" name="Flowchart: Magnetic Disk 10"/>
        <xdr:cNvSpPr/>
      </xdr:nvSpPr>
      <xdr:spPr>
        <a:xfrm>
          <a:off x="6543675" y="3476625"/>
          <a:ext cx="942975" cy="92392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200" b="1"/>
            <a:t>DB</a:t>
          </a:r>
        </a:p>
      </xdr:txBody>
    </xdr:sp>
    <xdr:clientData/>
  </xdr:twoCellAnchor>
  <xdr:twoCellAnchor>
    <xdr:from>
      <xdr:col>8</xdr:col>
      <xdr:colOff>323850</xdr:colOff>
      <xdr:row>18</xdr:row>
      <xdr:rowOff>0</xdr:rowOff>
    </xdr:from>
    <xdr:to>
      <xdr:col>9</xdr:col>
      <xdr:colOff>161925</xdr:colOff>
      <xdr:row>23</xdr:row>
      <xdr:rowOff>28575</xdr:rowOff>
    </xdr:to>
    <xdr:sp macro="" textlink="">
      <xdr:nvSpPr>
        <xdr:cNvPr id="12" name="Right Brace 11"/>
        <xdr:cNvSpPr/>
      </xdr:nvSpPr>
      <xdr:spPr>
        <a:xfrm>
          <a:off x="5000625" y="3448050"/>
          <a:ext cx="447675" cy="9810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3</xdr:col>
      <xdr:colOff>85725</xdr:colOff>
      <xdr:row>9</xdr:row>
      <xdr:rowOff>0</xdr:rowOff>
    </xdr:from>
    <xdr:to>
      <xdr:col>5</xdr:col>
      <xdr:colOff>590550</xdr:colOff>
      <xdr:row>13</xdr:row>
      <xdr:rowOff>180975</xdr:rowOff>
    </xdr:to>
    <xdr:cxnSp macro="">
      <xdr:nvCxnSpPr>
        <xdr:cNvPr id="16" name="Straight Arrow Connector 15"/>
        <xdr:cNvCxnSpPr/>
      </xdr:nvCxnSpPr>
      <xdr:spPr>
        <a:xfrm flipH="1">
          <a:off x="1685925" y="1724025"/>
          <a:ext cx="172402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15</xdr:row>
      <xdr:rowOff>161925</xdr:rowOff>
    </xdr:from>
    <xdr:to>
      <xdr:col>14</xdr:col>
      <xdr:colOff>285750</xdr:colOff>
      <xdr:row>20</xdr:row>
      <xdr:rowOff>109538</xdr:rowOff>
    </xdr:to>
    <xdr:cxnSp macro="">
      <xdr:nvCxnSpPr>
        <xdr:cNvPr id="20" name="Straight Arrow Connector 19"/>
        <xdr:cNvCxnSpPr>
          <a:stCxn id="11" idx="4"/>
        </xdr:cNvCxnSpPr>
      </xdr:nvCxnSpPr>
      <xdr:spPr>
        <a:xfrm flipV="1">
          <a:off x="7486650" y="3038475"/>
          <a:ext cx="1133475" cy="90011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523874</xdr:colOff>
      <xdr:row>7</xdr:row>
      <xdr:rowOff>142875</xdr:rowOff>
    </xdr:from>
    <xdr:to>
      <xdr:col>9</xdr:col>
      <xdr:colOff>228600</xdr:colOff>
      <xdr:row>12</xdr:row>
      <xdr:rowOff>28575</xdr:rowOff>
    </xdr:to>
    <xdr:sp macro="" textlink="">
      <xdr:nvSpPr>
        <xdr:cNvPr id="2" name="TextBox 1"/>
        <xdr:cNvSpPr txBox="1"/>
      </xdr:nvSpPr>
      <xdr:spPr>
        <a:xfrm>
          <a:off x="4562474" y="1476375"/>
          <a:ext cx="952501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- Trello</a:t>
          </a:r>
        </a:p>
        <a:p>
          <a:r>
            <a:rPr lang="en-ZA" sz="1100"/>
            <a:t>- Github</a:t>
          </a:r>
        </a:p>
        <a:p>
          <a:r>
            <a:rPr lang="en-ZA" sz="1100"/>
            <a:t>- Folders</a:t>
          </a:r>
        </a:p>
        <a:p>
          <a:r>
            <a:rPr lang="en-ZA" sz="1100"/>
            <a:t>- Files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10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0:G43" totalsRowShown="0" headerRowDxfId="16" headerRowBorderDxfId="15" tableBorderDxfId="14" totalsRowBorderDxfId="13">
  <autoFilter ref="B20:G43"/>
  <tableColumns count="6">
    <tableColumn id="1" name="No" dataDxfId="12">
      <calculatedColumnFormula>B20+1</calculatedColumnFormula>
    </tableColumn>
    <tableColumn id="2" name="Task" dataDxfId="11"/>
    <tableColumn id="3" name="Assigned" dataDxfId="10"/>
    <tableColumn id="4" name="Done" dataDxfId="9"/>
    <tableColumn id="5" name="Tested" dataDxfId="8"/>
    <tableColumn id="6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N4:P17" totalsRowShown="0" headerRowDxfId="6" headerRowBorderDxfId="5" tableBorderDxfId="4" totalsRowBorderDxfId="3">
  <autoFilter ref="N4:P17"/>
  <tableColumns count="3">
    <tableColumn id="1" name="Date" dataDxfId="2">
      <calculatedColumnFormula>sprint1_start +M5</calculatedColumnFormula>
    </tableColumn>
    <tableColumn id="2" name="Target" dataDxfId="1"/>
    <tableColumn id="3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25"/>
  <sheetViews>
    <sheetView tabSelected="1" workbookViewId="0">
      <selection activeCell="J13" sqref="J13"/>
    </sheetView>
  </sheetViews>
  <sheetFormatPr defaultRowHeight="15" x14ac:dyDescent="0.25"/>
  <cols>
    <col min="1" max="1" width="3.7109375" bestFit="1" customWidth="1"/>
    <col min="2" max="2" width="11.140625" customWidth="1"/>
    <col min="8" max="8" width="9.5703125" bestFit="1" customWidth="1"/>
  </cols>
  <sheetData>
    <row r="3" spans="2:11" x14ac:dyDescent="0.25">
      <c r="B3" s="48" t="s">
        <v>87</v>
      </c>
      <c r="C3" s="49"/>
      <c r="G3" s="48" t="s">
        <v>72</v>
      </c>
      <c r="K3" s="48" t="s">
        <v>73</v>
      </c>
    </row>
    <row r="5" spans="2:11" x14ac:dyDescent="0.25">
      <c r="C5" s="10" t="s">
        <v>65</v>
      </c>
      <c r="G5" s="10" t="s">
        <v>70</v>
      </c>
    </row>
    <row r="6" spans="2:11" x14ac:dyDescent="0.25">
      <c r="C6" s="50" t="s">
        <v>66</v>
      </c>
      <c r="D6" s="50" t="s">
        <v>60</v>
      </c>
      <c r="G6" s="50" t="s">
        <v>8</v>
      </c>
      <c r="H6" s="50" t="s">
        <v>60</v>
      </c>
    </row>
    <row r="7" spans="2:11" x14ac:dyDescent="0.25">
      <c r="C7" s="9" t="s">
        <v>67</v>
      </c>
      <c r="D7" s="9">
        <v>4</v>
      </c>
      <c r="G7" s="9">
        <v>1</v>
      </c>
      <c r="H7" s="9">
        <v>17</v>
      </c>
    </row>
    <row r="8" spans="2:11" x14ac:dyDescent="0.25">
      <c r="C8" s="9" t="s">
        <v>68</v>
      </c>
      <c r="D8" s="9">
        <v>6</v>
      </c>
      <c r="G8" s="9">
        <v>2</v>
      </c>
      <c r="H8" s="9">
        <v>19</v>
      </c>
    </row>
    <row r="9" spans="2:11" ht="15.75" thickBot="1" x14ac:dyDescent="0.3">
      <c r="C9" s="9" t="s">
        <v>69</v>
      </c>
      <c r="D9" s="17">
        <v>7</v>
      </c>
      <c r="G9" s="9">
        <v>3</v>
      </c>
      <c r="H9" s="17">
        <v>10</v>
      </c>
    </row>
    <row r="10" spans="2:11" ht="15.75" thickBot="1" x14ac:dyDescent="0.3">
      <c r="C10" s="45" t="s">
        <v>60</v>
      </c>
      <c r="D10" s="47">
        <f>SUM(D7:D9)</f>
        <v>17</v>
      </c>
      <c r="G10" s="11" t="s">
        <v>71</v>
      </c>
      <c r="H10" s="46">
        <f>AVERAGE(H7:H9)</f>
        <v>15.333333333333334</v>
      </c>
    </row>
    <row r="15" spans="2:11" x14ac:dyDescent="0.25">
      <c r="B15" s="48" t="s">
        <v>88</v>
      </c>
      <c r="C15" s="49"/>
    </row>
    <row r="16" spans="2:11" x14ac:dyDescent="0.25">
      <c r="B16" s="10" t="s">
        <v>81</v>
      </c>
    </row>
    <row r="17" spans="2:15" x14ac:dyDescent="0.25">
      <c r="B17" s="10" t="s">
        <v>66</v>
      </c>
      <c r="C17" t="s">
        <v>80</v>
      </c>
      <c r="F17" s="48" t="s">
        <v>89</v>
      </c>
      <c r="L17" s="48" t="s">
        <v>90</v>
      </c>
    </row>
    <row r="18" spans="2:15" x14ac:dyDescent="0.25">
      <c r="B18" s="10" t="s">
        <v>74</v>
      </c>
      <c r="C18" t="s">
        <v>79</v>
      </c>
      <c r="O18" s="48" t="s">
        <v>91</v>
      </c>
    </row>
    <row r="19" spans="2:15" x14ac:dyDescent="0.25">
      <c r="B19" s="10" t="s">
        <v>75</v>
      </c>
      <c r="C19" t="s">
        <v>78</v>
      </c>
      <c r="F19" t="s">
        <v>82</v>
      </c>
    </row>
    <row r="20" spans="2:15" x14ac:dyDescent="0.25">
      <c r="B20" s="10" t="s">
        <v>76</v>
      </c>
      <c r="C20" t="s">
        <v>77</v>
      </c>
      <c r="F20" t="s">
        <v>83</v>
      </c>
    </row>
    <row r="21" spans="2:15" x14ac:dyDescent="0.25">
      <c r="C21" s="50" t="s">
        <v>8</v>
      </c>
      <c r="D21" s="50" t="s">
        <v>60</v>
      </c>
      <c r="F21" t="s">
        <v>84</v>
      </c>
    </row>
    <row r="22" spans="2:15" x14ac:dyDescent="0.25">
      <c r="C22" s="9"/>
      <c r="D22" s="9"/>
      <c r="F22" t="s">
        <v>85</v>
      </c>
    </row>
    <row r="23" spans="2:15" x14ac:dyDescent="0.25">
      <c r="C23" s="9"/>
      <c r="D23" s="9"/>
      <c r="F23" t="s">
        <v>86</v>
      </c>
    </row>
    <row r="24" spans="2:15" x14ac:dyDescent="0.25">
      <c r="C24" s="9"/>
      <c r="D24" s="9"/>
    </row>
    <row r="25" spans="2:15" x14ac:dyDescent="0.25">
      <c r="C25" s="9"/>
      <c r="D25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workbookViewId="0">
      <selection activeCell="K22" sqref="K2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10" width="5.42578125" bestFit="1" customWidth="1"/>
    <col min="11" max="11" width="8.5703125" bestFit="1" customWidth="1"/>
    <col min="13" max="13" width="4.7109375" bestFit="1" customWidth="1"/>
    <col min="14" max="14" width="17.42578125" customWidth="1"/>
    <col min="15" max="16" width="11.140625" bestFit="1" customWidth="1"/>
    <col min="17" max="18" width="8.7109375" bestFit="1" customWidth="1"/>
    <col min="19" max="19" width="10.42578125" bestFit="1" customWidth="1"/>
    <col min="20" max="20" width="7.42578125" bestFit="1" customWidth="1"/>
    <col min="24" max="24" width="5" bestFit="1" customWidth="1"/>
    <col min="25" max="25" width="7.85546875" bestFit="1" customWidth="1"/>
  </cols>
  <sheetData>
    <row r="1" spans="13:25" x14ac:dyDescent="0.25">
      <c r="M1" s="30"/>
      <c r="N1" s="24" t="s">
        <v>15</v>
      </c>
      <c r="O1" s="24" t="s">
        <v>14</v>
      </c>
      <c r="P1" s="24" t="s">
        <v>17</v>
      </c>
      <c r="Q1" s="24" t="s">
        <v>19</v>
      </c>
      <c r="R1" s="24" t="s">
        <v>18</v>
      </c>
      <c r="S1" s="24" t="s">
        <v>21</v>
      </c>
      <c r="T1" s="24" t="s">
        <v>9</v>
      </c>
      <c r="V1" s="24" t="s">
        <v>5</v>
      </c>
      <c r="W1" s="24" t="s">
        <v>20</v>
      </c>
      <c r="X1" s="24" t="s">
        <v>19</v>
      </c>
      <c r="Y1" s="24" t="s">
        <v>13</v>
      </c>
    </row>
    <row r="2" spans="13:25" x14ac:dyDescent="0.25">
      <c r="N2" s="25">
        <v>0.17</v>
      </c>
      <c r="O2" s="26">
        <v>43532</v>
      </c>
      <c r="P2" s="33">
        <f>sprint1_start + (sprint1_interval*12)</f>
        <v>43534.04</v>
      </c>
      <c r="Q2" s="22">
        <f>DATEDIF(O2,P2,"d")+1</f>
        <v>3</v>
      </c>
      <c r="R2" s="22" t="e">
        <f ca="1">DATEDIF(O3,P2,"d")</f>
        <v>#NUM!</v>
      </c>
      <c r="S2" s="15">
        <f>I46/Q2</f>
        <v>23</v>
      </c>
      <c r="T2" s="43" t="e">
        <f ca="1">((Q2-R2)*S2) -sprint1_done</f>
        <v>#NUM!</v>
      </c>
      <c r="V2" s="1">
        <v>1</v>
      </c>
      <c r="W2" s="1" t="s">
        <v>24</v>
      </c>
      <c r="X2" s="1">
        <v>2</v>
      </c>
      <c r="Y2" s="32">
        <f>X2/12</f>
        <v>0.16666666666666666</v>
      </c>
    </row>
    <row r="3" spans="13:25" x14ac:dyDescent="0.25">
      <c r="N3" s="23" t="s">
        <v>7</v>
      </c>
      <c r="O3" s="21">
        <f ca="1">NOW()</f>
        <v>43640.43302650463</v>
      </c>
      <c r="P3" s="11"/>
      <c r="Q3" s="2"/>
      <c r="R3" s="10"/>
      <c r="V3" s="1">
        <v>1</v>
      </c>
      <c r="W3" s="1" t="s">
        <v>22</v>
      </c>
      <c r="X3" s="1">
        <f>V3*5-0.1</f>
        <v>4.9000000000000004</v>
      </c>
      <c r="Y3" s="32">
        <f t="shared" ref="Y3:Y6" si="0">X3/12</f>
        <v>0.40833333333333338</v>
      </c>
    </row>
    <row r="4" spans="13:25" x14ac:dyDescent="0.25">
      <c r="M4" s="31" t="s">
        <v>5</v>
      </c>
      <c r="N4" s="12" t="s">
        <v>8</v>
      </c>
      <c r="O4" s="13" t="s">
        <v>9</v>
      </c>
      <c r="P4" s="14" t="s">
        <v>10</v>
      </c>
      <c r="Q4" s="31" t="s">
        <v>11</v>
      </c>
      <c r="R4" s="31" t="s">
        <v>12</v>
      </c>
      <c r="S4" s="31" t="s">
        <v>0</v>
      </c>
      <c r="V4" s="1">
        <v>2</v>
      </c>
      <c r="W4" s="1" t="s">
        <v>23</v>
      </c>
      <c r="X4" s="1">
        <f>X3+X2+X3</f>
        <v>11.8</v>
      </c>
      <c r="Y4" s="32">
        <f t="shared" si="0"/>
        <v>0.98333333333333339</v>
      </c>
    </row>
    <row r="5" spans="13:25" x14ac:dyDescent="0.25">
      <c r="M5" s="9">
        <v>0</v>
      </c>
      <c r="N5" s="34">
        <f t="shared" ref="N5:N17" si="1">sprint1_start +M5</f>
        <v>43532</v>
      </c>
      <c r="O5" s="9">
        <f>sprint1_target</f>
        <v>69</v>
      </c>
      <c r="P5" s="16">
        <f t="shared" ref="P5:P17" si="2">sprint1_target-R5</f>
        <v>69</v>
      </c>
      <c r="Q5" s="19"/>
      <c r="R5" s="9"/>
      <c r="S5" s="9">
        <v>0</v>
      </c>
      <c r="V5" s="1">
        <v>3</v>
      </c>
      <c r="W5" s="1" t="s">
        <v>23</v>
      </c>
      <c r="X5" s="1">
        <f>(X3+X2) + (X3+X2) + X3</f>
        <v>18.700000000000003</v>
      </c>
      <c r="Y5" s="32">
        <f t="shared" si="0"/>
        <v>1.5583333333333336</v>
      </c>
    </row>
    <row r="6" spans="13:25" x14ac:dyDescent="0.25">
      <c r="M6" s="15">
        <f t="shared" ref="M6:M17" si="3">M5+sprint1_interval</f>
        <v>0.17</v>
      </c>
      <c r="N6" s="34">
        <f t="shared" si="1"/>
        <v>43532.17</v>
      </c>
      <c r="O6" s="9"/>
      <c r="P6" s="16">
        <f t="shared" si="2"/>
        <v>69</v>
      </c>
      <c r="Q6" s="20">
        <v>0</v>
      </c>
      <c r="R6" s="9">
        <f>R5+Q6</f>
        <v>0</v>
      </c>
      <c r="S6" s="15">
        <f t="shared" ref="S6:S17" si="4">(sprint1_target/12) *M6</f>
        <v>0.97750000000000004</v>
      </c>
      <c r="V6" s="1">
        <v>4</v>
      </c>
      <c r="W6" s="1" t="s">
        <v>23</v>
      </c>
      <c r="X6" s="1">
        <f>(X3+X2) + (X3+X2) + (X3+X2)+  X3</f>
        <v>25.6</v>
      </c>
      <c r="Y6" s="32">
        <f t="shared" si="0"/>
        <v>2.1333333333333333</v>
      </c>
    </row>
    <row r="7" spans="13:25" x14ac:dyDescent="0.25">
      <c r="M7" s="15">
        <f t="shared" si="3"/>
        <v>0.34</v>
      </c>
      <c r="N7" s="34">
        <f t="shared" si="1"/>
        <v>43532.34</v>
      </c>
      <c r="O7" s="9"/>
      <c r="P7" s="16">
        <f t="shared" si="2"/>
        <v>57</v>
      </c>
      <c r="Q7" s="20">
        <v>12</v>
      </c>
      <c r="R7" s="9">
        <f t="shared" ref="R7:R17" si="5">MAX(Q7,R6)</f>
        <v>12</v>
      </c>
      <c r="S7" s="15">
        <f t="shared" si="4"/>
        <v>1.9550000000000001</v>
      </c>
    </row>
    <row r="8" spans="13:25" x14ac:dyDescent="0.25">
      <c r="M8" s="15">
        <f t="shared" si="3"/>
        <v>0.51</v>
      </c>
      <c r="N8" s="34">
        <f t="shared" si="1"/>
        <v>43532.51</v>
      </c>
      <c r="O8" s="9"/>
      <c r="P8" s="16">
        <f t="shared" si="2"/>
        <v>42</v>
      </c>
      <c r="Q8" s="20">
        <v>27</v>
      </c>
      <c r="R8" s="9">
        <f t="shared" si="5"/>
        <v>27</v>
      </c>
      <c r="S8" s="15">
        <f t="shared" si="4"/>
        <v>2.9325000000000001</v>
      </c>
    </row>
    <row r="9" spans="13:25" x14ac:dyDescent="0.25">
      <c r="M9" s="15">
        <f t="shared" si="3"/>
        <v>0.68</v>
      </c>
      <c r="N9" s="34">
        <f t="shared" si="1"/>
        <v>43532.68</v>
      </c>
      <c r="O9" s="9"/>
      <c r="P9" s="16">
        <f t="shared" si="2"/>
        <v>40</v>
      </c>
      <c r="Q9" s="20">
        <v>29</v>
      </c>
      <c r="R9" s="9">
        <f t="shared" si="5"/>
        <v>29</v>
      </c>
      <c r="S9" s="15">
        <f t="shared" si="4"/>
        <v>3.91</v>
      </c>
    </row>
    <row r="10" spans="13:25" x14ac:dyDescent="0.25">
      <c r="M10" s="15">
        <f t="shared" si="3"/>
        <v>0.85000000000000009</v>
      </c>
      <c r="N10" s="34">
        <f t="shared" si="1"/>
        <v>43532.85</v>
      </c>
      <c r="O10" s="9"/>
      <c r="P10" s="16">
        <f t="shared" si="2"/>
        <v>37</v>
      </c>
      <c r="Q10" s="20">
        <v>32</v>
      </c>
      <c r="R10" s="9">
        <f t="shared" si="5"/>
        <v>32</v>
      </c>
      <c r="S10" s="15">
        <f t="shared" si="4"/>
        <v>4.8875000000000002</v>
      </c>
    </row>
    <row r="11" spans="13:25" x14ac:dyDescent="0.25">
      <c r="M11" s="15">
        <f t="shared" si="3"/>
        <v>1.02</v>
      </c>
      <c r="N11" s="34">
        <f t="shared" si="1"/>
        <v>43533.02</v>
      </c>
      <c r="O11" s="9"/>
      <c r="P11" s="16">
        <f t="shared" si="2"/>
        <v>37</v>
      </c>
      <c r="Q11" s="20">
        <v>0</v>
      </c>
      <c r="R11" s="9">
        <f t="shared" si="5"/>
        <v>32</v>
      </c>
      <c r="S11" s="15">
        <f t="shared" si="4"/>
        <v>5.8650000000000002</v>
      </c>
    </row>
    <row r="12" spans="13:25" x14ac:dyDescent="0.25">
      <c r="M12" s="15">
        <f t="shared" si="3"/>
        <v>1.19</v>
      </c>
      <c r="N12" s="34">
        <f t="shared" si="1"/>
        <v>43533.19</v>
      </c>
      <c r="O12" s="9"/>
      <c r="P12" s="16">
        <f t="shared" si="2"/>
        <v>37</v>
      </c>
      <c r="Q12" s="20">
        <v>0</v>
      </c>
      <c r="R12" s="9">
        <f t="shared" si="5"/>
        <v>32</v>
      </c>
      <c r="S12" s="15">
        <f t="shared" si="4"/>
        <v>6.8424999999999994</v>
      </c>
    </row>
    <row r="13" spans="13:25" x14ac:dyDescent="0.25">
      <c r="M13" s="15">
        <f t="shared" si="3"/>
        <v>1.3599999999999999</v>
      </c>
      <c r="N13" s="34">
        <f t="shared" si="1"/>
        <v>43533.36</v>
      </c>
      <c r="O13" s="9"/>
      <c r="P13" s="16">
        <f t="shared" si="2"/>
        <v>37</v>
      </c>
      <c r="Q13" s="20">
        <v>0</v>
      </c>
      <c r="R13" s="9">
        <f t="shared" si="5"/>
        <v>32</v>
      </c>
      <c r="S13" s="15">
        <f t="shared" si="4"/>
        <v>7.8199999999999994</v>
      </c>
    </row>
    <row r="14" spans="13:25" x14ac:dyDescent="0.25">
      <c r="M14" s="15">
        <f t="shared" si="3"/>
        <v>1.5299999999999998</v>
      </c>
      <c r="N14" s="34">
        <f t="shared" si="1"/>
        <v>43533.53</v>
      </c>
      <c r="O14" s="9"/>
      <c r="P14" s="16">
        <f t="shared" si="2"/>
        <v>37</v>
      </c>
      <c r="Q14" s="20">
        <v>32</v>
      </c>
      <c r="R14" s="9">
        <f t="shared" si="5"/>
        <v>32</v>
      </c>
      <c r="S14" s="15">
        <f t="shared" si="4"/>
        <v>8.7974999999999994</v>
      </c>
    </row>
    <row r="15" spans="13:25" x14ac:dyDescent="0.25">
      <c r="M15" s="15">
        <f t="shared" si="3"/>
        <v>1.6999999999999997</v>
      </c>
      <c r="N15" s="34">
        <f t="shared" si="1"/>
        <v>43533.7</v>
      </c>
      <c r="O15" s="9"/>
      <c r="P15" s="16">
        <f t="shared" si="2"/>
        <v>37</v>
      </c>
      <c r="Q15" s="20">
        <v>32</v>
      </c>
      <c r="R15" s="9">
        <f t="shared" si="5"/>
        <v>32</v>
      </c>
      <c r="S15" s="15">
        <f t="shared" si="4"/>
        <v>9.7749999999999986</v>
      </c>
    </row>
    <row r="16" spans="13:25" x14ac:dyDescent="0.25">
      <c r="M16" s="15">
        <f t="shared" si="3"/>
        <v>1.8699999999999997</v>
      </c>
      <c r="N16" s="34">
        <f t="shared" si="1"/>
        <v>43533.87</v>
      </c>
      <c r="O16" s="9"/>
      <c r="P16" s="16">
        <f t="shared" si="2"/>
        <v>9</v>
      </c>
      <c r="Q16" s="20">
        <v>60</v>
      </c>
      <c r="R16" s="9">
        <f t="shared" si="5"/>
        <v>60</v>
      </c>
      <c r="S16" s="15">
        <f t="shared" si="4"/>
        <v>10.752499999999998</v>
      </c>
    </row>
    <row r="17" spans="1:19" x14ac:dyDescent="0.25">
      <c r="M17" s="15">
        <f t="shared" si="3"/>
        <v>2.0399999999999996</v>
      </c>
      <c r="N17" s="35">
        <f t="shared" si="1"/>
        <v>43534.04</v>
      </c>
      <c r="O17" s="17">
        <v>0</v>
      </c>
      <c r="P17" s="16">
        <f t="shared" si="2"/>
        <v>0</v>
      </c>
      <c r="Q17" s="20">
        <f>sprint1_done</f>
        <v>69</v>
      </c>
      <c r="R17" s="9">
        <f t="shared" si="5"/>
        <v>69</v>
      </c>
      <c r="S17" s="15">
        <f t="shared" si="4"/>
        <v>11.729999999999997</v>
      </c>
    </row>
    <row r="18" spans="1:19" x14ac:dyDescent="0.25">
      <c r="M18" s="27"/>
      <c r="N18" s="28"/>
      <c r="O18" s="2"/>
      <c r="P18" s="2"/>
      <c r="Q18" s="29"/>
      <c r="R18" s="2"/>
      <c r="S18" s="27"/>
    </row>
    <row r="19" spans="1:19" x14ac:dyDescent="0.25">
      <c r="A19" s="53" t="s">
        <v>6</v>
      </c>
      <c r="B19" s="53"/>
      <c r="C19" s="53"/>
      <c r="D19" s="53"/>
      <c r="E19" s="53"/>
      <c r="F19" s="53"/>
      <c r="G19" s="53"/>
    </row>
    <row r="20" spans="1:19" x14ac:dyDescent="0.25">
      <c r="B20" s="5" t="s">
        <v>5</v>
      </c>
      <c r="C20" s="6" t="s">
        <v>4</v>
      </c>
      <c r="D20" s="6" t="s">
        <v>63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64</v>
      </c>
      <c r="D21" s="9" t="s">
        <v>32</v>
      </c>
      <c r="E21" s="9" t="s">
        <v>32</v>
      </c>
      <c r="F21" s="9" t="s">
        <v>33</v>
      </c>
      <c r="G21" s="9" t="s">
        <v>33</v>
      </c>
    </row>
    <row r="22" spans="1:19" x14ac:dyDescent="0.25">
      <c r="B22" s="3">
        <f>B21+1</f>
        <v>2</v>
      </c>
      <c r="C22" s="1" t="s">
        <v>25</v>
      </c>
      <c r="D22" s="9" t="s">
        <v>33</v>
      </c>
      <c r="E22" s="9" t="s">
        <v>33</v>
      </c>
      <c r="F22" s="9" t="s">
        <v>33</v>
      </c>
      <c r="G22" s="9" t="s">
        <v>33</v>
      </c>
    </row>
    <row r="23" spans="1:19" x14ac:dyDescent="0.25">
      <c r="B23" s="3">
        <f t="shared" ref="B23:B24" si="6">B22+1</f>
        <v>3</v>
      </c>
      <c r="C23" s="1" t="s">
        <v>27</v>
      </c>
      <c r="D23" s="9" t="s">
        <v>32</v>
      </c>
      <c r="E23" s="9" t="s">
        <v>32</v>
      </c>
      <c r="F23" s="9" t="s">
        <v>33</v>
      </c>
      <c r="G23" s="9" t="s">
        <v>33</v>
      </c>
    </row>
    <row r="24" spans="1:19" x14ac:dyDescent="0.25">
      <c r="B24" s="3">
        <f t="shared" si="6"/>
        <v>4</v>
      </c>
      <c r="C24" s="1" t="s">
        <v>26</v>
      </c>
      <c r="D24" s="9" t="s">
        <v>32</v>
      </c>
      <c r="E24" s="9" t="s">
        <v>32</v>
      </c>
      <c r="F24" s="9" t="s">
        <v>33</v>
      </c>
      <c r="G24" s="9" t="s">
        <v>33</v>
      </c>
    </row>
    <row r="25" spans="1:19" x14ac:dyDescent="0.25">
      <c r="B25" s="3">
        <f t="shared" ref="B25:B28" si="7">B24+1</f>
        <v>5</v>
      </c>
      <c r="C25" s="1" t="s">
        <v>28</v>
      </c>
      <c r="D25" s="9" t="s">
        <v>32</v>
      </c>
      <c r="E25" s="9" t="s">
        <v>32</v>
      </c>
      <c r="F25" s="9" t="s">
        <v>33</v>
      </c>
      <c r="G25" s="16" t="s">
        <v>33</v>
      </c>
    </row>
    <row r="26" spans="1:19" x14ac:dyDescent="0.25">
      <c r="B26" s="3">
        <f t="shared" si="7"/>
        <v>6</v>
      </c>
      <c r="C26" s="1" t="s">
        <v>37</v>
      </c>
      <c r="D26" s="9" t="s">
        <v>32</v>
      </c>
      <c r="E26" s="9" t="s">
        <v>32</v>
      </c>
      <c r="F26" s="9" t="s">
        <v>32</v>
      </c>
      <c r="G26" s="16" t="s">
        <v>32</v>
      </c>
    </row>
    <row r="27" spans="1:19" x14ac:dyDescent="0.25">
      <c r="B27" s="3">
        <f>B26+1</f>
        <v>7</v>
      </c>
      <c r="C27" s="1" t="s">
        <v>38</v>
      </c>
      <c r="D27" s="9" t="s">
        <v>32</v>
      </c>
      <c r="E27" s="9" t="s">
        <v>32</v>
      </c>
      <c r="F27" s="9" t="s">
        <v>32</v>
      </c>
      <c r="G27" s="16" t="s">
        <v>32</v>
      </c>
    </row>
    <row r="28" spans="1:19" x14ac:dyDescent="0.25">
      <c r="B28" s="3">
        <f t="shared" si="7"/>
        <v>8</v>
      </c>
      <c r="C28" s="1" t="s">
        <v>39</v>
      </c>
      <c r="D28" s="9" t="s">
        <v>32</v>
      </c>
      <c r="E28" s="9" t="s">
        <v>32</v>
      </c>
      <c r="F28" s="9" t="s">
        <v>33</v>
      </c>
      <c r="G28" s="16" t="s">
        <v>33</v>
      </c>
    </row>
    <row r="29" spans="1:19" x14ac:dyDescent="0.25">
      <c r="B29" s="37">
        <f>B28+1</f>
        <v>9</v>
      </c>
      <c r="C29" s="1" t="s">
        <v>40</v>
      </c>
      <c r="D29" s="17" t="s">
        <v>32</v>
      </c>
      <c r="E29" s="17" t="s">
        <v>32</v>
      </c>
      <c r="F29" s="17" t="s">
        <v>32</v>
      </c>
      <c r="G29" s="39" t="s">
        <v>32</v>
      </c>
    </row>
    <row r="30" spans="1:19" x14ac:dyDescent="0.25">
      <c r="B30" s="37">
        <f>B29+1</f>
        <v>10</v>
      </c>
      <c r="C30" s="38" t="s">
        <v>41</v>
      </c>
      <c r="D30" s="17" t="s">
        <v>32</v>
      </c>
      <c r="E30" s="17" t="s">
        <v>32</v>
      </c>
      <c r="F30" s="17" t="s">
        <v>32</v>
      </c>
      <c r="G30" s="39" t="s">
        <v>32</v>
      </c>
    </row>
    <row r="31" spans="1:19" x14ac:dyDescent="0.25">
      <c r="B31" s="37">
        <f>B30+1</f>
        <v>11</v>
      </c>
      <c r="C31" s="41" t="s">
        <v>42</v>
      </c>
      <c r="D31" s="17" t="s">
        <v>32</v>
      </c>
      <c r="E31" s="17" t="s">
        <v>32</v>
      </c>
      <c r="F31" s="17" t="s">
        <v>32</v>
      </c>
      <c r="G31" s="39" t="s">
        <v>32</v>
      </c>
    </row>
    <row r="32" spans="1:19" x14ac:dyDescent="0.25">
      <c r="B32" s="3">
        <f t="shared" ref="B32:B35" si="8">B31+1</f>
        <v>12</v>
      </c>
      <c r="C32" s="42" t="s">
        <v>43</v>
      </c>
      <c r="D32" s="9" t="s">
        <v>32</v>
      </c>
      <c r="E32" s="9" t="s">
        <v>32</v>
      </c>
      <c r="F32" s="9" t="s">
        <v>32</v>
      </c>
      <c r="G32" s="16" t="s">
        <v>32</v>
      </c>
    </row>
    <row r="33" spans="1:11" x14ac:dyDescent="0.25">
      <c r="B33" s="3">
        <f t="shared" si="8"/>
        <v>13</v>
      </c>
      <c r="C33" s="41" t="s">
        <v>58</v>
      </c>
      <c r="D33" s="9" t="s">
        <v>32</v>
      </c>
      <c r="E33" s="9" t="s">
        <v>32</v>
      </c>
      <c r="F33" s="9" t="s">
        <v>32</v>
      </c>
      <c r="G33" s="16" t="s">
        <v>32</v>
      </c>
    </row>
    <row r="34" spans="1:11" x14ac:dyDescent="0.25">
      <c r="B34" s="3">
        <f t="shared" si="8"/>
        <v>14</v>
      </c>
      <c r="C34" s="41" t="s">
        <v>44</v>
      </c>
      <c r="D34" s="9" t="s">
        <v>32</v>
      </c>
      <c r="E34" s="9" t="s">
        <v>32</v>
      </c>
      <c r="F34" s="9" t="s">
        <v>32</v>
      </c>
      <c r="G34" s="16" t="s">
        <v>33</v>
      </c>
    </row>
    <row r="35" spans="1:11" x14ac:dyDescent="0.25">
      <c r="B35" s="3">
        <f t="shared" si="8"/>
        <v>15</v>
      </c>
      <c r="C35" s="38" t="s">
        <v>46</v>
      </c>
      <c r="D35" s="9" t="s">
        <v>32</v>
      </c>
      <c r="E35" s="9" t="s">
        <v>32</v>
      </c>
      <c r="F35" s="9" t="s">
        <v>32</v>
      </c>
      <c r="G35" s="16" t="s">
        <v>33</v>
      </c>
    </row>
    <row r="36" spans="1:11" x14ac:dyDescent="0.25">
      <c r="B36" s="3">
        <f t="shared" ref="B36:B41" si="9">B35+1</f>
        <v>16</v>
      </c>
      <c r="C36" s="1" t="s">
        <v>30</v>
      </c>
      <c r="D36" s="9" t="s">
        <v>32</v>
      </c>
      <c r="E36" s="9" t="s">
        <v>32</v>
      </c>
      <c r="F36" s="9" t="s">
        <v>32</v>
      </c>
      <c r="G36" s="16" t="s">
        <v>32</v>
      </c>
    </row>
    <row r="37" spans="1:11" x14ac:dyDescent="0.25">
      <c r="B37" s="3">
        <f t="shared" si="9"/>
        <v>17</v>
      </c>
      <c r="C37" s="1" t="s">
        <v>45</v>
      </c>
      <c r="D37" s="9" t="s">
        <v>32</v>
      </c>
      <c r="E37" s="9" t="s">
        <v>32</v>
      </c>
      <c r="F37" s="9" t="s">
        <v>32</v>
      </c>
      <c r="G37" s="16" t="s">
        <v>33</v>
      </c>
    </row>
    <row r="38" spans="1:11" x14ac:dyDescent="0.25">
      <c r="B38" s="3">
        <f>B37+1</f>
        <v>18</v>
      </c>
      <c r="C38" s="1" t="s">
        <v>59</v>
      </c>
      <c r="D38" s="9" t="s">
        <v>32</v>
      </c>
      <c r="E38" s="9" t="s">
        <v>32</v>
      </c>
      <c r="F38" s="9" t="s">
        <v>32</v>
      </c>
      <c r="G38" s="16" t="s">
        <v>32</v>
      </c>
    </row>
    <row r="39" spans="1:11" x14ac:dyDescent="0.25">
      <c r="B39" s="3">
        <f>B38+1</f>
        <v>19</v>
      </c>
      <c r="C39" s="1" t="s">
        <v>62</v>
      </c>
      <c r="D39" s="9" t="s">
        <v>32</v>
      </c>
      <c r="E39" s="9" t="s">
        <v>32</v>
      </c>
      <c r="F39" s="9" t="s">
        <v>32</v>
      </c>
      <c r="G39" s="16" t="s">
        <v>32</v>
      </c>
    </row>
    <row r="40" spans="1:11" x14ac:dyDescent="0.25">
      <c r="B40" s="3">
        <f>B37+1</f>
        <v>18</v>
      </c>
      <c r="C40" s="1" t="s">
        <v>35</v>
      </c>
      <c r="D40" s="9" t="s">
        <v>32</v>
      </c>
      <c r="E40" s="9" t="s">
        <v>32</v>
      </c>
      <c r="F40" s="9" t="s">
        <v>33</v>
      </c>
      <c r="G40" s="16" t="s">
        <v>33</v>
      </c>
    </row>
    <row r="41" spans="1:11" x14ac:dyDescent="0.25">
      <c r="B41" s="37">
        <f t="shared" si="9"/>
        <v>19</v>
      </c>
      <c r="C41" s="38" t="s">
        <v>31</v>
      </c>
      <c r="D41" s="17" t="s">
        <v>32</v>
      </c>
      <c r="E41" s="17" t="s">
        <v>32</v>
      </c>
      <c r="F41" s="17" t="s">
        <v>33</v>
      </c>
      <c r="G41" s="39" t="s">
        <v>33</v>
      </c>
    </row>
    <row r="42" spans="1:11" x14ac:dyDescent="0.25">
      <c r="B42" s="37">
        <f>B41+1</f>
        <v>20</v>
      </c>
      <c r="C42" s="38" t="s">
        <v>57</v>
      </c>
      <c r="D42" s="17" t="s">
        <v>32</v>
      </c>
      <c r="E42" s="17" t="s">
        <v>32</v>
      </c>
      <c r="F42" s="17" t="s">
        <v>32</v>
      </c>
      <c r="G42" s="39" t="s">
        <v>32</v>
      </c>
    </row>
    <row r="43" spans="1:11" x14ac:dyDescent="0.25">
      <c r="B43" s="3">
        <f>B42+1</f>
        <v>21</v>
      </c>
      <c r="C43" s="1" t="s">
        <v>61</v>
      </c>
      <c r="D43" s="9" t="s">
        <v>32</v>
      </c>
      <c r="E43" s="9" t="s">
        <v>32</v>
      </c>
      <c r="F43" s="9" t="s">
        <v>33</v>
      </c>
      <c r="G43" s="39" t="s">
        <v>33</v>
      </c>
    </row>
    <row r="44" spans="1:11" x14ac:dyDescent="0.25">
      <c r="D44" s="2"/>
      <c r="E44" s="2"/>
      <c r="F44" s="2"/>
      <c r="G44" s="2"/>
    </row>
    <row r="45" spans="1:11" x14ac:dyDescent="0.25">
      <c r="C45" s="40" t="s">
        <v>36</v>
      </c>
      <c r="D45" s="1">
        <f>COUNTIF(Table1[Assigned],"na")</f>
        <v>1</v>
      </c>
      <c r="E45" s="1">
        <f>COUNTIF(Table1[Done],"na")</f>
        <v>1</v>
      </c>
      <c r="F45" s="1">
        <f>COUNTIF(Table1[Tested],"na")</f>
        <v>9</v>
      </c>
      <c r="G45" s="1">
        <f>COUNTIF(Table1[Verified],"na")</f>
        <v>12</v>
      </c>
      <c r="H45" s="8" t="s">
        <v>1</v>
      </c>
      <c r="I45" s="8" t="s">
        <v>60</v>
      </c>
      <c r="J45" s="8" t="s">
        <v>0</v>
      </c>
      <c r="K45" s="8" t="s">
        <v>16</v>
      </c>
    </row>
    <row r="46" spans="1:11" x14ac:dyDescent="0.25">
      <c r="A46" s="51" t="str">
        <f>A19</f>
        <v>Story1:Todo</v>
      </c>
      <c r="B46" s="52"/>
      <c r="C46" s="1">
        <f>COUNTA(C21:C43)</f>
        <v>23</v>
      </c>
      <c r="D46" s="1">
        <f>COUNTA(Table1[Assigned])-D45</f>
        <v>22</v>
      </c>
      <c r="E46" s="1">
        <f>COUNTA(Table1[Done])-E45</f>
        <v>22</v>
      </c>
      <c r="F46" s="1">
        <f>COUNTA(Table1[Tested])-F45</f>
        <v>14</v>
      </c>
      <c r="G46" s="4">
        <f>COUNTA(Table1[Verified])-G45</f>
        <v>11</v>
      </c>
      <c r="H46" s="9">
        <f>SUM(D46:G46)</f>
        <v>69</v>
      </c>
      <c r="I46" s="9">
        <f>(C46*4) -F45-G45-D45-E45</f>
        <v>69</v>
      </c>
      <c r="J46" s="44">
        <f>sprint1_target-sprint1_done</f>
        <v>0</v>
      </c>
      <c r="K46" s="18">
        <f>H46/I46</f>
        <v>1</v>
      </c>
    </row>
  </sheetData>
  <protectedRanges>
    <protectedRange sqref="N2:O2 Q6:Q17" name="Range3"/>
    <protectedRange sqref="A19" name="Range1"/>
    <protectedRange sqref="C42:C43 B20:B43 C20 D20:G43" name="Table"/>
    <protectedRange sqref="C21:C41" name="Table_1"/>
  </protectedRanges>
  <mergeCells count="2">
    <mergeCell ref="A46:B46"/>
    <mergeCell ref="A19:G19"/>
  </mergeCells>
  <conditionalFormatting sqref="K4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0" sqref="E30"/>
    </sheetView>
  </sheetViews>
  <sheetFormatPr defaultRowHeight="15" x14ac:dyDescent="0.25"/>
  <cols>
    <col min="1" max="1" width="3.5703125" bestFit="1" customWidth="1"/>
    <col min="2" max="2" width="26.28515625" bestFit="1" customWidth="1"/>
  </cols>
  <sheetData>
    <row r="1" spans="1:2" x14ac:dyDescent="0.25">
      <c r="A1" s="36" t="s">
        <v>34</v>
      </c>
      <c r="B1" t="s">
        <v>47</v>
      </c>
    </row>
    <row r="2" spans="1:2" x14ac:dyDescent="0.25">
      <c r="B2" s="10" t="s">
        <v>48</v>
      </c>
    </row>
    <row r="3" spans="1:2" x14ac:dyDescent="0.25">
      <c r="B3" t="s">
        <v>49</v>
      </c>
    </row>
    <row r="4" spans="1:2" x14ac:dyDescent="0.25">
      <c r="B4" t="s">
        <v>50</v>
      </c>
    </row>
    <row r="5" spans="1:2" x14ac:dyDescent="0.25">
      <c r="B5" t="s">
        <v>52</v>
      </c>
    </row>
    <row r="6" spans="1:2" x14ac:dyDescent="0.25">
      <c r="B6" t="s">
        <v>53</v>
      </c>
    </row>
    <row r="7" spans="1:2" x14ac:dyDescent="0.25">
      <c r="B7" t="s">
        <v>54</v>
      </c>
    </row>
    <row r="8" spans="1:2" x14ac:dyDescent="0.25">
      <c r="B8" t="s">
        <v>51</v>
      </c>
    </row>
    <row r="9" spans="1:2" x14ac:dyDescent="0.25">
      <c r="B9" t="s">
        <v>55</v>
      </c>
    </row>
    <row r="10" spans="1:2" x14ac:dyDescent="0.25">
      <c r="B10" t="s">
        <v>56</v>
      </c>
    </row>
    <row r="11" spans="1:2" x14ac:dyDescent="0.25">
      <c r="B1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cols>
    <col min="1" max="1" width="3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Phases</vt:lpstr>
      <vt:lpstr>Target</vt:lpstr>
      <vt:lpstr>Backlog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2019-06-24T08:23:44Z</dcterms:modified>
</cp:coreProperties>
</file>