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m_codes" sheetId="2" state="hidden" r:id="rId4"/>
    <sheet name="included" sheetId="3" state="visible" r:id="rId5"/>
    <sheet name="excluded" sheetId="4" state="visible" r:id="rId6"/>
    <sheet name="pindel" sheetId="5" state="visible" r:id="rId7"/>
  </sheets>
  <definedNames>
    <definedName function="false" hidden="true" localSheetId="3" name="_xlnm._FilterDatabase" vbProcedure="false">excluded!$A$1:$AP$223</definedName>
    <definedName function="false" hidden="true" localSheetId="2" name="_xlnm._FilterDatabase" vbProcedure="false">included!$A$1:$AP$306</definedName>
    <definedName function="false" hidden="true" localSheetId="4" name="_xlnm._FilterDatabase" vbProcedure="false">pindel!$A$1:$AP$5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<sst xmlns="http://schemas.openxmlformats.org/spreadsheetml/2006/main" count="11657" uniqueCount="2989">
  <si>
    <t xml:space="preserve">Sample ID</t>
  </si>
  <si>
    <t xml:space="preserve">142155071-26058Q0030-26NGSHO16-5877-U-92197814</t>
  </si>
  <si>
    <t xml:space="preserve">Analysed by</t>
  </si>
  <si>
    <t xml:space="preserve">SKK</t>
  </si>
  <si>
    <t xml:space="preserve">Date</t>
  </si>
  <si>
    <t xml:space="preserve">Subpanel analysed</t>
  </si>
  <si>
    <t xml:space="preserve">Myeloid</t>
  </si>
  <si>
    <t xml:space="preserve">M-code</t>
  </si>
  <si>
    <t xml:space="preserve">M87</t>
  </si>
  <si>
    <t xml:space="preserve">Run QC</t>
  </si>
  <si>
    <t xml:space="preserve">Sample QC</t>
  </si>
  <si>
    <t xml:space="preserve">250x</t>
  </si>
  <si>
    <t xml:space="preserve">Contamination</t>
  </si>
  <si>
    <t xml:space="preserve">Total reads M</t>
  </si>
  <si>
    <t xml:space="preserve">Fold 80</t>
  </si>
  <si>
    <t xml:space="preserve">Insert size</t>
  </si>
  <si>
    <t xml:space="preserve">Sex check</t>
  </si>
  <si>
    <t xml:space="preserve">M</t>
  </si>
  <si>
    <t xml:space="preserve">Reference:</t>
  </si>
  <si>
    <t xml:space="preserve">GRCh38.p13</t>
  </si>
  <si>
    <t xml:space="preserve">Filter command:</t>
  </si>
  <si>
    <t xml:space="preserve">bcftools filter --soft-filter "EXCLUDE" -m + -e '(CSQ_Prev_Count_AC&gt;853 || CSQ_gnomADg_AF &gt;= 0.002 || CSQ_gnomADe_AF &gt;= 0.002) || (CSQ_SYMBOL!="GATA2" || CSQ_Consequence!="synonymous_variant") &amp;&amp; (CSQ_SYMBOL!="TP53" || CSQ_Consequence!="synonymous_variant") &amp;&amp; (CSQ_Consequence=="synonymous_variant")'</t>
  </si>
  <si>
    <t xml:space="preserve">Workflow:</t>
  </si>
  <si>
    <t xml:space="preserve">uranus_main_workflow_GRCh38_v3.3.0</t>
  </si>
  <si>
    <t xml:space="preserve">Workflow ID:</t>
  </si>
  <si>
    <t xml:space="preserve">analysis-J6jvGKj43JPx0x27vy9gy5Q3</t>
  </si>
  <si>
    <t xml:space="preserve">Report Job ID:</t>
  </si>
  <si>
    <t xml:space="preserve">job-J6jvGP043JPx0x27vy9gy5VV</t>
  </si>
  <si>
    <t xml:space="preserve">sampleName</t>
  </si>
  <si>
    <t xml:space="preserve">CHROM</t>
  </si>
  <si>
    <t xml:space="preserve">POS</t>
  </si>
  <si>
    <t xml:space="preserve">SYMBOL</t>
  </si>
  <si>
    <t xml:space="preserve">PANEL</t>
  </si>
  <si>
    <t xml:space="preserve">Transcript ID</t>
  </si>
  <si>
    <t xml:space="preserve">EXON</t>
  </si>
  <si>
    <t xml:space="preserve">DNA</t>
  </si>
  <si>
    <t xml:space="preserve">Protein</t>
  </si>
  <si>
    <t xml:space="preserve">HGVSp</t>
  </si>
  <si>
    <t xml:space="preserve">Consequence</t>
  </si>
  <si>
    <t xml:space="preserve">HGVSc</t>
  </si>
  <si>
    <t xml:space="preserve">Read Depth</t>
  </si>
  <si>
    <t xml:space="preserve">AF</t>
  </si>
  <si>
    <t xml:space="preserve">FILTER</t>
  </si>
  <si>
    <t xml:space="preserve">ClinVar</t>
  </si>
  <si>
    <t xml:space="preserve">ClinVar CLNSIG</t>
  </si>
  <si>
    <t xml:space="preserve">ClinVar CLNDN</t>
  </si>
  <si>
    <t xml:space="preserve">dbSNP</t>
  </si>
  <si>
    <t xml:space="preserve">gnomADg AF</t>
  </si>
  <si>
    <t xml:space="preserve">gnomADe AF</t>
  </si>
  <si>
    <t xml:space="preserve">SpliceAI pred DS AG</t>
  </si>
  <si>
    <t xml:space="preserve">SpliceAI pred DS AL</t>
  </si>
  <si>
    <t xml:space="preserve">SpliceAI pred DS DG</t>
  </si>
  <si>
    <t xml:space="preserve">SpliceAI pred DS DL</t>
  </si>
  <si>
    <t xml:space="preserve">SpliceAI pred DP AG</t>
  </si>
  <si>
    <t xml:space="preserve">SpliceAI pred DP AL</t>
  </si>
  <si>
    <t xml:space="preserve">SpliceAI pred DP DG</t>
  </si>
  <si>
    <t xml:space="preserve">SpliceAI pred DP DL</t>
  </si>
  <si>
    <t xml:space="preserve">CADD PHRED</t>
  </si>
  <si>
    <t xml:space="preserve">Prev Count</t>
  </si>
  <si>
    <t xml:space="preserve">Latest Classification</t>
  </si>
  <si>
    <t xml:space="preserve">Latest Classification Date</t>
  </si>
  <si>
    <t xml:space="preserve">Latest Specimen ID</t>
  </si>
  <si>
    <t xml:space="preserve">Total Classifications</t>
  </si>
  <si>
    <t xml:space="preserve">Allele Origin</t>
  </si>
  <si>
    <t xml:space="preserve">Interpreted</t>
  </si>
  <si>
    <t xml:space="preserve">Reported</t>
  </si>
  <si>
    <t xml:space="preserve">Comment</t>
  </si>
  <si>
    <t xml:space="preserve">Classification</t>
  </si>
  <si>
    <t xml:space="preserve">MNV</t>
  </si>
  <si>
    <t xml:space="preserve">Report text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</si>
  <si>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</si>
  <si>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</si>
  <si>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</si>
  <si>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</si>
  <si>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</si>
  <si>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</si>
  <si>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</si>
  <si>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</si>
  <si>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</si>
  <si>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</si>
  <si>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</si>
  <si>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</si>
  <si>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</si>
  <si>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</si>
  <si>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</si>
  <si>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</si>
  <si>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</si>
  <si>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</si>
  <si>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</si>
  <si>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</si>
  <si>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</si>
  <si>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</si>
  <si>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</si>
  <si>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</si>
  <si>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</si>
  <si>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</si>
  <si>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</si>
  <si>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</si>
  <si>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</si>
  <si>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</si>
  <si>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</si>
  <si>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</si>
  <si>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</si>
  <si>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</si>
  <si>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</si>
  <si>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</si>
  <si>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</si>
  <si>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</si>
  <si>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M181</t>
  </si>
  <si>
    <t xml:space="preserve">M182</t>
  </si>
  <si>
    <t xml:space="preserve">M224</t>
  </si>
  <si>
    <t xml:space="preserve">M225</t>
  </si>
  <si>
    <t xml:space="preserve">M235</t>
  </si>
  <si>
    <t xml:space="preserve">M242</t>
  </si>
  <si>
    <t xml:space="preserve">ANKRD26</t>
  </si>
  <si>
    <t xml:space="preserve">NM_014915.3</t>
  </si>
  <si>
    <t xml:space="preserve">30/34</t>
  </si>
  <si>
    <t xml:space="preserve">c.4231G&gt;A</t>
  </si>
  <si>
    <t xml:space="preserve">p.Ala1411Thr</t>
  </si>
  <si>
    <t xml:space="preserve">NP_055730.2:p.Ala1411Thr</t>
  </si>
  <si>
    <t xml:space="preserve">missense_variant</t>
  </si>
  <si>
    <t xml:space="preserve">NM_014915.3:c.4231G&gt;A</t>
  </si>
  <si>
    <t xml:space="preserve">PASS</t>
  </si>
  <si>
    <t xml:space="preserve">.</t>
  </si>
  <si>
    <t xml:space="preserve">./.</t>
  </si>
  <si>
    <t xml:space="preserve">ANKRD26 missense_variant in exon 30
HGVSc: c.4231G&gt;A
HGVSp: p.Ala1411Thr
Allele Frequency (VAF): 8.3%</t>
  </si>
  <si>
    <t xml:space="preserve">c.1986-5_1986-3del</t>
  </si>
  <si>
    <t xml:space="preserve">intron_variant&amp;splice_region_variant</t>
  </si>
  <si>
    <t xml:space="preserve">NM_014915.3:c.1986-5_1986-3del</t>
  </si>
  <si>
    <t xml:space="preserve">multiallelic</t>
  </si>
  <si>
    <t xml:space="preserve">ANKRD26 intron_variant&amp;splice_region_variant in intron 18
HGVSc: c.1986-5_1986-3del
HGVSp: nan
Allele Frequency (VAF): 23.1%</t>
  </si>
  <si>
    <t xml:space="preserve">c.1986-4_1986-3del</t>
  </si>
  <si>
    <t xml:space="preserve">NM_014915.3:c.1986-4_1986-3del</t>
  </si>
  <si>
    <t xml:space="preserve">451/1706</t>
  </si>
  <si>
    <t xml:space="preserve">ANKRD26 intron_variant&amp;splice_region_variant in intron 18
HGVSc: c.1986-4_1986-3del
HGVSp: nan
dbSNP: rs113123391
Allele Frequency (VAF): 71.9%</t>
  </si>
  <si>
    <t xml:space="preserve">1/34</t>
  </si>
  <si>
    <t xml:space="preserve">c.-75T&gt;C</t>
  </si>
  <si>
    <t xml:space="preserve">5_prime_UTR_variant</t>
  </si>
  <si>
    <t xml:space="preserve">NM_014915.3:c.-75T&gt;C</t>
  </si>
  <si>
    <t xml:space="preserve">ANKRD26 5_prime_UTR_variant in exon 1
HGVSc: c.-75T&gt;C
HGVSp: nan
Allele Frequency (VAF): 12.7%</t>
  </si>
  <si>
    <t xml:space="preserve">c.3808-15del</t>
  </si>
  <si>
    <t xml:space="preserve">intron_variant</t>
  </si>
  <si>
    <t xml:space="preserve">NM_014915.3:c.3808-15del</t>
  </si>
  <si>
    <t xml:space="preserve">slippage</t>
  </si>
  <si>
    <t xml:space="preserve">ANKRD26 intron_variant in intron 25
HGVSc: c.3808-15del
HGVSp: nan
dbSNP: rs368301579
Allele Frequency (VAF): 10.1%</t>
  </si>
  <si>
    <t xml:space="preserve">X</t>
  </si>
  <si>
    <t xml:space="preserve">ARAF</t>
  </si>
  <si>
    <t xml:space="preserve">Histiocytosis</t>
  </si>
  <si>
    <t xml:space="preserve">NM_001654.5</t>
  </si>
  <si>
    <t xml:space="preserve">9/16</t>
  </si>
  <si>
    <t xml:space="preserve">c.763del</t>
  </si>
  <si>
    <t xml:space="preserve">p.Arg255GlyfsTer37</t>
  </si>
  <si>
    <t xml:space="preserve">NP_001645.1:p.Arg255GlyfsTer37</t>
  </si>
  <si>
    <t xml:space="preserve">frameshift_variant</t>
  </si>
  <si>
    <t xml:space="preserve">NM_001654.5:c.763del</t>
  </si>
  <si>
    <t xml:space="preserve">clustered_events</t>
  </si>
  <si>
    <t xml:space="preserve">ARAF frameshift_variant in exon 9
HGVSc: c.763del
HGVSp: p.Arg255GlyfsTer37
Allele Frequency (VAF): 49.4%</t>
  </si>
  <si>
    <t xml:space="preserve">ARID1A</t>
  </si>
  <si>
    <t xml:space="preserve">B-/T-ALL&amp;BNHL&amp;TNHL</t>
  </si>
  <si>
    <t xml:space="preserve">NM_006015.6</t>
  </si>
  <si>
    <t xml:space="preserve">1/20</t>
  </si>
  <si>
    <t xml:space="preserve">c.1015del</t>
  </si>
  <si>
    <t xml:space="preserve">p.Ala339LeufsTer24</t>
  </si>
  <si>
    <t xml:space="preserve">NP_006006.3:p.Ala339LeufsTer24</t>
  </si>
  <si>
    <t xml:space="preserve">NM_006015.6:c.1015del</t>
  </si>
  <si>
    <t xml:space="preserve">Pathogenic</t>
  </si>
  <si>
    <t xml:space="preserve">Intellectual_disability&amp;_autosomal_dominant_14</t>
  </si>
  <si>
    <t xml:space="preserve">ARID1A frameshift_variant in exon 1
HGVSc: c.1015del
HGVSp: p.Ala339LeufsTer24
dbSNP: rs1232964733
Allele Frequency (VAF): 34.0%</t>
  </si>
  <si>
    <t xml:space="preserve">12/20</t>
  </si>
  <si>
    <t xml:space="preserve">c.3344del</t>
  </si>
  <si>
    <t xml:space="preserve">p.Pro1115GlnfsTer46</t>
  </si>
  <si>
    <t xml:space="preserve">NP_006006.3:p.Pro1115GlnfsTer46</t>
  </si>
  <si>
    <t xml:space="preserve">NM_006015.6:c.3344del</t>
  </si>
  <si>
    <t xml:space="preserve">ARID1A frameshift_variant in exon 12
HGVSc: c.3344del
HGVSp: p.Pro1115GlnfsTer46
Allele Frequency (VAF): 7.0%</t>
  </si>
  <si>
    <t xml:space="preserve">16/20</t>
  </si>
  <si>
    <t xml:space="preserve">c.3977C&gt;T</t>
  </si>
  <si>
    <t xml:space="preserve">p.Pro1326Leu</t>
  </si>
  <si>
    <t xml:space="preserve">NP_006006.3:p.Pro1326Leu</t>
  </si>
  <si>
    <t xml:space="preserve">NM_006015.6:c.3977C&gt;T</t>
  </si>
  <si>
    <t xml:space="preserve">clustered_events;multiallelic</t>
  </si>
  <si>
    <t xml:space="preserve">Likely_pathogenic</t>
  </si>
  <si>
    <t xml:space="preserve">not_provided</t>
  </si>
  <si>
    <t xml:space="preserve">ARID1A missense_variant in exon 16
HGVSc: c.3977C&gt;T
HGVSp: p.Pro1326Leu
dbSNP: rs912059538
Allele Frequency (VAF): 30.5%</t>
  </si>
  <si>
    <t xml:space="preserve">18/20</t>
  </si>
  <si>
    <t xml:space="preserve">c.4689del</t>
  </si>
  <si>
    <t xml:space="preserve">p.Met1564Ter</t>
  </si>
  <si>
    <t xml:space="preserve">NP_006006.3:p.Met1564Ter</t>
  </si>
  <si>
    <t xml:space="preserve">NM_006015.6:c.4689del</t>
  </si>
  <si>
    <t xml:space="preserve">Colorectal_cancer</t>
  </si>
  <si>
    <t xml:space="preserve">ARID1A frameshift_variant in exon 18
HGVSc: c.4689del
HGVSp: p.Met1564Ter
Allele Frequency (VAF): 35.9%</t>
  </si>
  <si>
    <t xml:space="preserve">20/20</t>
  </si>
  <si>
    <t xml:space="preserve">c.5548del</t>
  </si>
  <si>
    <t xml:space="preserve">p.Asp1850ThrfsTer33</t>
  </si>
  <si>
    <t xml:space="preserve">NP_006006.3:p.Asp1850ThrfsTer33</t>
  </si>
  <si>
    <t xml:space="preserve">NM_006015.6:c.5548del</t>
  </si>
  <si>
    <t xml:space="preserve">ARID1A frameshift_variant in exon 20
HGVSc: c.5548del
HGVSp: p.Asp1850ThrfsTer33
Allele Frequency (VAF): 7.4%</t>
  </si>
  <si>
    <t xml:space="preserve">ARID2</t>
  </si>
  <si>
    <t xml:space="preserve">NM_152641.4</t>
  </si>
  <si>
    <t xml:space="preserve">c.92+21del</t>
  </si>
  <si>
    <t xml:space="preserve">NM_152641.4:c.92+21del</t>
  </si>
  <si>
    <t xml:space="preserve">ARID2 intron_variant in intron 1
HGVSc: c.92+21del
HGVSp: nan
dbSNP: rs757473305
Allele Frequency (VAF): 16.5%</t>
  </si>
  <si>
    <t xml:space="preserve">c.419-10del</t>
  </si>
  <si>
    <t xml:space="preserve">NM_152641.4:c.419-10del</t>
  </si>
  <si>
    <t xml:space="preserve">clustered_events;slippage</t>
  </si>
  <si>
    <t xml:space="preserve">ARID2 intron_variant in intron 4
HGVSc: c.419-10del
HGVSp: nan
dbSNP: rs752578353
Allele Frequency (VAF): 8.4%</t>
  </si>
  <si>
    <t xml:space="preserve">5/21</t>
  </si>
  <si>
    <t xml:space="preserve">c.482T&gt;C</t>
  </si>
  <si>
    <t xml:space="preserve">p.Leu161Ser</t>
  </si>
  <si>
    <t xml:space="preserve">NP_689854.2:p.Leu161Ser</t>
  </si>
  <si>
    <t xml:space="preserve">NM_152641.4:c.482T&gt;C</t>
  </si>
  <si>
    <t xml:space="preserve">ARID2 missense_variant in exon 5
HGVSc: c.482T&gt;C
HGVSp: p.Leu161Ser
Allele Frequency (VAF): 7.2%</t>
  </si>
  <si>
    <t xml:space="preserve">ASXL1</t>
  </si>
  <si>
    <t xml:space="preserve">NM_015338.6</t>
  </si>
  <si>
    <t xml:space="preserve">c.883-18C&gt;T</t>
  </si>
  <si>
    <t xml:space="preserve">NM_015338.6:c.883-18C&gt;T</t>
  </si>
  <si>
    <t xml:space="preserve">Likely_benign</t>
  </si>
  <si>
    <t xml:space="preserve">ASXL1 intron_variant in intron 9
HGVSc: c.883-18C&gt;T
HGVSp: nan
dbSNP: rs767111913
Allele Frequency (VAF): 7.6%</t>
  </si>
  <si>
    <t xml:space="preserve">13/13</t>
  </si>
  <si>
    <t xml:space="preserve">c.1934dup</t>
  </si>
  <si>
    <t xml:space="preserve">p.Gly646TrpfsTer12</t>
  </si>
  <si>
    <t xml:space="preserve">NP_056153.2:p.Gly646TrpfsTer12</t>
  </si>
  <si>
    <t xml:space="preserve">NM_015338.6:c.1934dup</t>
  </si>
  <si>
    <t xml:space="preserve">Pathogenic/Likely_pathogenic</t>
  </si>
  <si>
    <t xml:space="preserve">ASXL1-related_disorder&amp;Abnormal_brain_morphology&amp;Bohring-Opitz_syndrome&amp;not_provided</t>
  </si>
  <si>
    <t xml:space="preserve">100/1706</t>
  </si>
  <si>
    <t xml:space="preserve">oncogenic</t>
  </si>
  <si>
    <t xml:space="preserve">2024-10-12</t>
  </si>
  <si>
    <t xml:space="preserve">24268K0014</t>
  </si>
  <si>
    <t xml:space="preserve">oncogenic(209)&amp;uncertain_significance(1)</t>
  </si>
  <si>
    <t xml:space="preserve">ASXL1 frameshift_variant in exon 13
HGVSc: c.1934dup
HGVSp: p.Gly646TrpfsTer12
dbSNP: rs750318549
Allele Frequency (VAF): 7.5%</t>
  </si>
  <si>
    <t xml:space="preserve">c.1934del</t>
  </si>
  <si>
    <t xml:space="preserve">p.Gly645ValfsTer58</t>
  </si>
  <si>
    <t xml:space="preserve">NP_056153.2:p.Gly645ValfsTer58</t>
  </si>
  <si>
    <t xml:space="preserve">NM_015338.6:c.1934del</t>
  </si>
  <si>
    <t xml:space="preserve">495/1706</t>
  </si>
  <si>
    <t xml:space="preserve">2024-01-18</t>
  </si>
  <si>
    <t xml:space="preserve">24004K0063</t>
  </si>
  <si>
    <t xml:space="preserve">oncogenic(4)</t>
  </si>
  <si>
    <t xml:space="preserve">ASXL1 frameshift_variant in exon 13
HGVSc: c.1934del
HGVSp: p.Gly645ValfsTer58
dbSNP: rs750318549
Allele Frequency (VAF): 38.2%</t>
  </si>
  <si>
    <t xml:space="preserve">12/13</t>
  </si>
  <si>
    <t xml:space="preserve">c.1087C&gt;T</t>
  </si>
  <si>
    <t xml:space="preserve">p.Leu363=</t>
  </si>
  <si>
    <t xml:space="preserve">NP_056153.2:p.Leu363=</t>
  </si>
  <si>
    <t xml:space="preserve">splice_region_variant&amp;synonymous_variant</t>
  </si>
  <si>
    <t xml:space="preserve">NM_015338.6:c.1087C&gt;T</t>
  </si>
  <si>
    <t xml:space="preserve">ASXL1 splice_region_variant&amp;synonymous_variant in exon 12
HGVSc: c.1087C&gt;T
HGVSp: p.Leu363=
Allele Frequency (VAF): 3.2%</t>
  </si>
  <si>
    <t xml:space="preserve">ATM</t>
  </si>
  <si>
    <t xml:space="preserve">NM_000051.4</t>
  </si>
  <si>
    <t xml:space="preserve">c.2922-12_2922-8del</t>
  </si>
  <si>
    <t xml:space="preserve">NM_000051.4:c.2922-12_2922-8del</t>
  </si>
  <si>
    <t xml:space="preserve">ATM intron_variant&amp;splice_region_variant in intron 19
HGVSc: c.2922-12_2922-8del
HGVSp: nan
Allele Frequency (VAF): 3.6%</t>
  </si>
  <si>
    <t xml:space="preserve">c.497-6_497-4del</t>
  </si>
  <si>
    <t xml:space="preserve">NM_000051.4:c.497-6_497-4del</t>
  </si>
  <si>
    <t xml:space="preserve">Uncertain_significance</t>
  </si>
  <si>
    <t xml:space="preserve">Hereditary_cancer-predisposing_syndrome</t>
  </si>
  <si>
    <t xml:space="preserve">ATM intron_variant&amp;splice_region_variant in intron 5
HGVSc: c.497-6_497-4del
HGVSp: nan
dbSNP: rs768748099
Allele Frequency (VAF): 43.4%</t>
  </si>
  <si>
    <t xml:space="preserve">c.497-7_497-4del</t>
  </si>
  <si>
    <t xml:space="preserve">NM_000051.4:c.497-7_497-4del</t>
  </si>
  <si>
    <t xml:space="preserve">ATM intron_variant&amp;splice_region_variant in intron 5
HGVSc: c.497-7_497-4del
HGVSp: nan
dbSNP: rs768748099
Allele Frequency (VAF): 15.0%</t>
  </si>
  <si>
    <t xml:space="preserve">5/63</t>
  </si>
  <si>
    <t xml:space="preserve">c.476T&gt;A</t>
  </si>
  <si>
    <t xml:space="preserve">p.Ile159Lys</t>
  </si>
  <si>
    <t xml:space="preserve">NP_000042.3:p.Ile159Lys</t>
  </si>
  <si>
    <t xml:space="preserve">NM_000051.4:c.476T&gt;A</t>
  </si>
  <si>
    <t xml:space="preserve">ATM missense_variant in exon 5
HGVSc: c.476T&gt;A
HGVSp: p.Ile159Lys
Allele Frequency (VAF): 12.8%</t>
  </si>
  <si>
    <t xml:space="preserve">c.497-5_497-4del</t>
  </si>
  <si>
    <t xml:space="preserve">NM_000051.4:c.497-5_497-4del</t>
  </si>
  <si>
    <t xml:space="preserve">Hereditary_cancer-predisposing_syndrome&amp;not_specified</t>
  </si>
  <si>
    <t xml:space="preserve">ATM intron_variant&amp;splice_region_variant in intron 5
HGVSc: c.497-5_497-4del
HGVSp: nan
dbSNP: rs768748099
Allele Frequency (VAF): 23.5%</t>
  </si>
  <si>
    <t xml:space="preserve">c.1236-7_1236-3del</t>
  </si>
  <si>
    <t xml:space="preserve">NM_000051.4:c.1236-7_1236-3del</t>
  </si>
  <si>
    <t xml:space="preserve">ATM intron_variant&amp;splice_region_variant in intron 9
HGVSc: c.1236-7_1236-3del
HGVSp: nan
Allele Frequency (VAF): 19.4%</t>
  </si>
  <si>
    <t xml:space="preserve">c.1236-6_1236-3del</t>
  </si>
  <si>
    <t xml:space="preserve">NM_000051.4:c.1236-6_1236-3del</t>
  </si>
  <si>
    <t xml:space="preserve">ATM intron_variant&amp;splice_region_variant in intron 9
HGVSc: c.1236-6_1236-3del
HGVSp: nan
Allele Frequency (VAF): 31.5%</t>
  </si>
  <si>
    <t xml:space="preserve">c.1236-5_1236-3del</t>
  </si>
  <si>
    <t xml:space="preserve">NM_000051.4:c.1236-5_1236-3del</t>
  </si>
  <si>
    <t xml:space="preserve">ATM intron_variant&amp;splice_region_variant in intron 9
HGVSc: c.1236-5_1236-3del
HGVSp: nan
dbSNP: rs34325032
Allele Frequency (VAF): 20.8%</t>
  </si>
  <si>
    <t xml:space="preserve">c.2922-11_2922-8del</t>
  </si>
  <si>
    <t xml:space="preserve">NM_000051.4:c.2922-11_2922-8del</t>
  </si>
  <si>
    <t xml:space="preserve">ATM intron_variant&amp;splice_region_variant in intron 19
HGVSc: c.2922-11_2922-8del
HGVSp: nan
Allele Frequency (VAF): 20.7%</t>
  </si>
  <si>
    <t xml:space="preserve">c.2922-10_2922-8del</t>
  </si>
  <si>
    <t xml:space="preserve">NM_000051.4:c.2922-10_2922-8del</t>
  </si>
  <si>
    <t xml:space="preserve">Benign/Likely_benign</t>
  </si>
  <si>
    <t xml:space="preserve">ATM-related_cancer_predisposition&amp;Familial_cancer_of_breast&amp;Hereditary_cancer-predisposing_syndrome</t>
  </si>
  <si>
    <t xml:space="preserve">ATM intron_variant&amp;splice_region_variant in intron 19
HGVSc: c.2922-10_2922-8del
HGVSp: nan
dbSNP: rs373881770
Allele Frequency (VAF): 31.8%</t>
  </si>
  <si>
    <t xml:space="preserve">23/63</t>
  </si>
  <si>
    <t xml:space="preserve">c.3380C&gt;T</t>
  </si>
  <si>
    <t xml:space="preserve">p.Ala1127Val</t>
  </si>
  <si>
    <t xml:space="preserve">NP_000042.3:p.Ala1127Val</t>
  </si>
  <si>
    <t xml:space="preserve">NM_000051.4:c.3380C&gt;T</t>
  </si>
  <si>
    <t xml:space="preserve">Ataxia-telangiectasia_syndrome</t>
  </si>
  <si>
    <t xml:space="preserve">ATM missense_variant in exon 23
HGVSc: c.3380C&gt;T
HGVSp: p.Ala1127Val
Allele Frequency (VAF): 9.7%</t>
  </si>
  <si>
    <t xml:space="preserve">c.3403-15_3403-14insTA</t>
  </si>
  <si>
    <t xml:space="preserve">NM_000051.4:c.3403-15_3403-14insTA</t>
  </si>
  <si>
    <t xml:space="preserve">ATM-related_disorder&amp;Breast_and/or_ovarian_cancer&amp;Familial_ovarian_cancer&amp;Hereditary_cancer-predisposing_syndrome&amp;not_specified</t>
  </si>
  <si>
    <t xml:space="preserve">ATM intron_variant in intron 23
HGVSc: c.3403-15_3403-14insTA
HGVSp: nan
dbSNP: rs1555091084
Allele Frequency (VAF): 4.0%</t>
  </si>
  <si>
    <t xml:space="preserve">39/63</t>
  </si>
  <si>
    <t xml:space="preserve">c.5917del</t>
  </si>
  <si>
    <t xml:space="preserve">p.Arg1973GlufsTer17</t>
  </si>
  <si>
    <t xml:space="preserve">NP_000042.3:p.Arg1973GlufsTer17</t>
  </si>
  <si>
    <t xml:space="preserve">frameshift_variant&amp;splice_region_variant</t>
  </si>
  <si>
    <t xml:space="preserve">NM_000051.4:c.5917del</t>
  </si>
  <si>
    <t xml:space="preserve">Familial_cancer_of_breast</t>
  </si>
  <si>
    <t xml:space="preserve">ATM frameshift_variant&amp;splice_region_variant in exon 39
HGVSc: c.5917del
HGVSp: p.Arg1973GlufsTer17
Allele Frequency (VAF): 11.1%</t>
  </si>
  <si>
    <t xml:space="preserve">c.6347+30_6347+31del</t>
  </si>
  <si>
    <t xml:space="preserve">NM_000051.4:c.6347+30_6347+31del</t>
  </si>
  <si>
    <t xml:space="preserve">Breast_and/or_ovarian_cancer</t>
  </si>
  <si>
    <t xml:space="preserve">ATM intron_variant in intron 43
HGVSc: c.6347+30_6347+31del
HGVSp: nan
dbSNP: rs58978479
Allele Frequency (VAF): 51.0%</t>
  </si>
  <si>
    <t xml:space="preserve">c.6347+29_6347+31del</t>
  </si>
  <si>
    <t xml:space="preserve">NM_000051.4:c.6347+29_6347+31del</t>
  </si>
  <si>
    <t xml:space="preserve">ATM intron_variant in intron 43
HGVSc: c.6347+29_6347+31del
HGVSp: nan
Allele Frequency (VAF): 15.0%</t>
  </si>
  <si>
    <t xml:space="preserve">c.7516-9del</t>
  </si>
  <si>
    <t xml:space="preserve">NM_000051.4:c.7516-9del</t>
  </si>
  <si>
    <t xml:space="preserve">Ataxia-telangiectasia_syndrome&amp;Hereditary_cancer-predisposing_syndrome&amp;not_specified</t>
  </si>
  <si>
    <t xml:space="preserve">ATM intron_variant in intron 50
HGVSc: c.7516-9del
HGVSp: nan
dbSNP: rs573494809
Allele Frequency (VAF): 17.5%</t>
  </si>
  <si>
    <t xml:space="preserve">ATRX</t>
  </si>
  <si>
    <t xml:space="preserve">NM_000489.6</t>
  </si>
  <si>
    <t xml:space="preserve">c.5698-7del</t>
  </si>
  <si>
    <t xml:space="preserve">NM_000489.6:c.5698-7del</t>
  </si>
  <si>
    <t xml:space="preserve">Alpha_thalassemia-X-linked_intellectual_disability_syndrome&amp;not_provided</t>
  </si>
  <si>
    <t xml:space="preserve">ATRX intron_variant&amp;splice_region_variant in intron 23
HGVSc: c.5698-7del
HGVSp: nan
dbSNP: rs781820607
Allele Frequency (VAF): 35.0%</t>
  </si>
  <si>
    <t xml:space="preserve">16/35</t>
  </si>
  <si>
    <t xml:space="preserve">c.4586_4588del</t>
  </si>
  <si>
    <t xml:space="preserve">p.Thr1529del</t>
  </si>
  <si>
    <t xml:space="preserve">NP_000480.3:p.Thr1529del</t>
  </si>
  <si>
    <t xml:space="preserve">inframe_deletion</t>
  </si>
  <si>
    <t xml:space="preserve">NM_000489.6:c.4586_4588del</t>
  </si>
  <si>
    <t xml:space="preserve">ATRX inframe_deletion in exon 16
HGVSc: c.4586_4588del
HGVSp: p.Thr1529del
Allele Frequency (VAF): 10.9%</t>
  </si>
  <si>
    <t xml:space="preserve">9/35</t>
  </si>
  <si>
    <t xml:space="preserve">c.2658_2659del</t>
  </si>
  <si>
    <t xml:space="preserve">p.Glu886AspfsTer10</t>
  </si>
  <si>
    <t xml:space="preserve">NP_000480.3:p.Glu886AspfsTer10</t>
  </si>
  <si>
    <t xml:space="preserve">NM_000489.6:c.2658_2659del</t>
  </si>
  <si>
    <t xml:space="preserve">ATRX frameshift_variant in exon 9
HGVSc: c.2658_2659del
HGVSp: p.Glu886AspfsTer10
Allele Frequency (VAF): 33.7%</t>
  </si>
  <si>
    <t xml:space="preserve">BCOR</t>
  </si>
  <si>
    <t xml:space="preserve">Myeloid&amp;TNHL</t>
  </si>
  <si>
    <t xml:space="preserve">NM_001123385.2</t>
  </si>
  <si>
    <t xml:space="preserve">13/15</t>
  </si>
  <si>
    <t xml:space="preserve">c.4818T&gt;C</t>
  </si>
  <si>
    <t xml:space="preserve">p.Cys1606=</t>
  </si>
  <si>
    <t xml:space="preserve">NP_001116857.1:p.Cys1606=</t>
  </si>
  <si>
    <t xml:space="preserve">NM_001123385.2:c.4818T&gt;C</t>
  </si>
  <si>
    <t xml:space="preserve">BCOR splice_region_variant&amp;synonymous_variant in exon 13
HGVSc: c.4818T&gt;C
HGVSp: p.Cys1606=
Allele Frequency (VAF): 7.8%</t>
  </si>
  <si>
    <t xml:space="preserve">8/15</t>
  </si>
  <si>
    <t xml:space="preserve">c.3621dup</t>
  </si>
  <si>
    <t xml:space="preserve">p.Gln1208ThrfsTer8</t>
  </si>
  <si>
    <t xml:space="preserve">NP_001116857.1:p.Gln1208ThrfsTer8</t>
  </si>
  <si>
    <t xml:space="preserve">NM_001123385.2:c.3621dup</t>
  </si>
  <si>
    <t xml:space="preserve">BCOR frameshift_variant in exon 8
HGVSc: c.3621dup
HGVSp: p.Gln1208ThrfsTer8
Allele Frequency (VAF): 16.7%</t>
  </si>
  <si>
    <t xml:space="preserve">4/15</t>
  </si>
  <si>
    <t xml:space="preserve">c.281G&gt;A</t>
  </si>
  <si>
    <t xml:space="preserve">p.Cys94Tyr</t>
  </si>
  <si>
    <t xml:space="preserve">NP_001116857.1:p.Cys94Tyr</t>
  </si>
  <si>
    <t xml:space="preserve">NM_001123385.2:c.281G&gt;A</t>
  </si>
  <si>
    <t xml:space="preserve">BCOR missense_variant in exon 4
HGVSc: c.281G&gt;A
HGVSp: p.Cys94Tyr
Allele Frequency (VAF): 16.2%</t>
  </si>
  <si>
    <t xml:space="preserve">BCORL1</t>
  </si>
  <si>
    <t xml:space="preserve">NM_001379451.1</t>
  </si>
  <si>
    <t xml:space="preserve">4/14</t>
  </si>
  <si>
    <t xml:space="preserve">c.220dup</t>
  </si>
  <si>
    <t xml:space="preserve">p.Ala74GlyfsTer20</t>
  </si>
  <si>
    <t xml:space="preserve">NP_001366380.1:p.Ala74GlyfsTer20</t>
  </si>
  <si>
    <t xml:space="preserve">NM_001379451.1:c.220dup</t>
  </si>
  <si>
    <t xml:space="preserve">BCORL1 frameshift_variant in exon 4
HGVSc: c.220dup
HGVSp: p.Ala74GlyfsTer20
dbSNP: rs779498199
Allele Frequency (VAF): 6.8%</t>
  </si>
  <si>
    <t xml:space="preserve">14/14</t>
  </si>
  <si>
    <t xml:space="preserve">c.5264del</t>
  </si>
  <si>
    <t xml:space="preserve">p.Pro1755GlnfsTer20</t>
  </si>
  <si>
    <t xml:space="preserve">NP_001366380.1:p.Pro1755GlnfsTer20</t>
  </si>
  <si>
    <t xml:space="preserve">NM_001379451.1:c.5264del</t>
  </si>
  <si>
    <t xml:space="preserve">BCORL1 frameshift_variant in exon 14
HGVSc: c.5264del
HGVSp: p.Pro1755GlnfsTer20
dbSNP: rs768244116
Allele Frequency (VAF): 58.1%</t>
  </si>
  <si>
    <t xml:space="preserve">BIRC3</t>
  </si>
  <si>
    <t xml:space="preserve">BNHL&amp;CLL/MCL&amp;Myeloid</t>
  </si>
  <si>
    <t xml:space="preserve">NM_001165.5</t>
  </si>
  <si>
    <t xml:space="preserve">c.1033-17_1033-15del</t>
  </si>
  <si>
    <t xml:space="preserve">NM_001165.5:c.1033-17_1033-15del</t>
  </si>
  <si>
    <t xml:space="preserve">BIRC3 intron_variant in intron 4
HGVSc: c.1033-17_1033-15del
HGVSp: nan
dbSNP: rs1054803988
Allele Frequency (VAF): 3.7%</t>
  </si>
  <si>
    <t xml:space="preserve">c.1033-19_1033-15del</t>
  </si>
  <si>
    <t xml:space="preserve">NM_001165.5:c.1033-19_1033-15del</t>
  </si>
  <si>
    <t xml:space="preserve">BIRC3 intron_variant in intron 4
HGVSc: c.1033-19_1033-15del
HGVSp: nan
dbSNP: rs1185522170
Allele Frequency (VAF): 6.9%</t>
  </si>
  <si>
    <t xml:space="preserve">c.1033-16_1033-15insA</t>
  </si>
  <si>
    <t xml:space="preserve">NM_001165.5:c.1033-16_1033-15insA</t>
  </si>
  <si>
    <t xml:space="preserve">BIRC3 intron_variant in intron 4
HGVSc: c.1033-16_1033-15insA
HGVSp: nan
dbSNP: rs763326506
Allele Frequency (VAF): 11.3%</t>
  </si>
  <si>
    <t xml:space="preserve">BRAF</t>
  </si>
  <si>
    <t xml:space="preserve">BNHL&amp;CLL/MCL&amp;Histiocytosis&amp;Myeloid&amp;PCD&amp;TNHL</t>
  </si>
  <si>
    <t xml:space="preserve">NM_004333.6</t>
  </si>
  <si>
    <t xml:space="preserve">8/18</t>
  </si>
  <si>
    <t xml:space="preserve">c.1039C&gt;T</t>
  </si>
  <si>
    <t xml:space="preserve">p.Arg347Ter</t>
  </si>
  <si>
    <t xml:space="preserve">NP_004324.2:p.Arg347Ter</t>
  </si>
  <si>
    <t xml:space="preserve">stop_gained</t>
  </si>
  <si>
    <t xml:space="preserve">NM_004333.6:c.1039C&gt;T</t>
  </si>
  <si>
    <t xml:space="preserve">yes</t>
  </si>
  <si>
    <t xml:space="preserve">STOP</t>
  </si>
  <si>
    <t xml:space="preserve">Likely_oncogenic</t>
  </si>
  <si>
    <t xml:space="preserve">BRAF stop_gained in exon 8
HGVSc: c.1039C&gt;T
HGVSp: p.Arg347Ter
Allele Frequency (VAF): 19.8%</t>
  </si>
  <si>
    <t xml:space="preserve">10/18</t>
  </si>
  <si>
    <t xml:space="preserve">c.1208del</t>
  </si>
  <si>
    <t xml:space="preserve">p.Pro403LeufsTer8</t>
  </si>
  <si>
    <t xml:space="preserve">NP_004324.2:p.Pro403LeufsTer8</t>
  </si>
  <si>
    <t xml:space="preserve">NM_004333.6:c.1208del</t>
  </si>
  <si>
    <t xml:space="preserve">RASopathy</t>
  </si>
  <si>
    <t xml:space="preserve">YES</t>
  </si>
  <si>
    <t xml:space="preserve">Frameshift</t>
  </si>
  <si>
    <t xml:space="preserve">BRAF frameshift_variant in exon 10
HGVSc: c.1208del
HGVSp: p.Pro403LeufsTer8
Allele Frequency (VAF): 10.1%</t>
  </si>
  <si>
    <t xml:space="preserve">15/18</t>
  </si>
  <si>
    <t xml:space="preserve">c.1799T&gt;A</t>
  </si>
  <si>
    <t xml:space="preserve">p.Val600Glu</t>
  </si>
  <si>
    <t xml:space="preserve">NP_004324.2:p.Val600Glu</t>
  </si>
  <si>
    <t xml:space="preserve">NM_004333.6:c.1799T&gt;A</t>
  </si>
  <si>
    <t xml:space="preserve">Conflicting_classifications_of_pathogenicity</t>
  </si>
  <si>
    <t xml:space="preserve">Astrocytoma&amp;Carcinoma_of_colon&amp;Cardio-facio-cutaneous_syndrome&amp;Cardiovascular_phenotype&amp;Cerebral_arteriovenous_malformation&amp;Cystic_epithelial_invagination_containing_papillae_lined_by_columnar_epithelium&amp;Lymphangioma&amp;Malignant_neoplastic_disease&amp;Melanoma&amp;Multiple_myeloma&amp;Nephroblastoma&amp;Non-small_cell_lung_carcinoma&amp;Nongerminomatous_germ_cell_tumor&amp;Papillary_thyroid_carcinoma&amp;RASopathy&amp;Vascular_malformation&amp;_low-grade&amp;_somatic&amp;not_provided</t>
  </si>
  <si>
    <t xml:space="preserve">13/1706</t>
  </si>
  <si>
    <t xml:space="preserve">2024-09-17</t>
  </si>
  <si>
    <t xml:space="preserve">24226K0075</t>
  </si>
  <si>
    <t xml:space="preserve">oncogenic(23)</t>
  </si>
  <si>
    <t xml:space="preserve">BRAF missense_variant in exon 15
HGVSc: c.1799T&gt;A
HGVSp: p.Val600Glu
dbSNP: rs113488022
Allele Frequency (VAF): 11.1%</t>
  </si>
  <si>
    <t xml:space="preserve">c.1993-11del</t>
  </si>
  <si>
    <t xml:space="preserve">NM_004333.6:c.1993-11del</t>
  </si>
  <si>
    <t xml:space="preserve">Benign</t>
  </si>
  <si>
    <t xml:space="preserve">BRAF intron_variant in intron 16
HGVSc: c.1993-11del
HGVSp: nan
dbSNP: rs759069424
Allele Frequency (VAF): 31.0%</t>
  </si>
  <si>
    <t xml:space="preserve">c.2128-16C&gt;T</t>
  </si>
  <si>
    <t xml:space="preserve">NM_004333.6:c.2128-16C&gt;T</t>
  </si>
  <si>
    <t xml:space="preserve">BRAF-related_disorder&amp;RASopathy&amp;not_provided&amp;not_specified</t>
  </si>
  <si>
    <t xml:space="preserve">BRAF intron_variant in intron 17
HGVSc: c.2128-16C&gt;T
HGVSp: nan
dbSNP: rs368721021
Allele Frequency (VAF): 5.8%</t>
  </si>
  <si>
    <t xml:space="preserve">c.2128-16_2128-15delinsTC</t>
  </si>
  <si>
    <t xml:space="preserve">NM_004333.6:c.2128-16_2128-15delinsTC</t>
  </si>
  <si>
    <t xml:space="preserve">RASopathy&amp;not_specified</t>
  </si>
  <si>
    <t xml:space="preserve">BRAF intron_variant in intron 17
HGVSc: c.2128-16_2128-15delinsTC
HGVSp: nan
Allele Frequency (VAF): 4.6%</t>
  </si>
  <si>
    <t xml:space="preserve">c.2128-6_2128-5dup</t>
  </si>
  <si>
    <t xml:space="preserve">NM_004333.6:c.2128-6_2128-5dup</t>
  </si>
  <si>
    <t xml:space="preserve">278/1706</t>
  </si>
  <si>
    <t xml:space="preserve">BRAF intron_variant&amp;splice_region_variant in intron 17
HGVSc: c.2128-6_2128-5dup
HGVSp: nan
dbSNP: rs373442098
Allele Frequency (VAF): 6.3%</t>
  </si>
  <si>
    <t xml:space="preserve">13/18</t>
  </si>
  <si>
    <t xml:space="preserve">c.1612T&gt;C</t>
  </si>
  <si>
    <t xml:space="preserve">p.Tyr538His</t>
  </si>
  <si>
    <t xml:space="preserve">NP_004324.2:p.Tyr538His</t>
  </si>
  <si>
    <t xml:space="preserve">NM_004333.6:c.1612T&gt;C</t>
  </si>
  <si>
    <t xml:space="preserve">BRAF missense_variant in exon 13
HGVSc: c.1612T&gt;C
HGVSp: p.Tyr538His
Allele Frequency (VAF): 4.3%</t>
  </si>
  <si>
    <t xml:space="preserve">CALR</t>
  </si>
  <si>
    <t xml:space="preserve">MPN-limited&amp;Myeloid</t>
  </si>
  <si>
    <t xml:space="preserve">NM_004343.4</t>
  </si>
  <si>
    <t xml:space="preserve">6/9</t>
  </si>
  <si>
    <t xml:space="preserve">c.731A&gt;G</t>
  </si>
  <si>
    <t xml:space="preserve">p.Asp244Gly</t>
  </si>
  <si>
    <t xml:space="preserve">NP_004334.1:p.Asp244Gly</t>
  </si>
  <si>
    <t xml:space="preserve">NM_004343.4:c.731A&gt;G</t>
  </si>
  <si>
    <t xml:space="preserve">CALR missense_variant in exon 6
HGVSc: c.731A&gt;G
HGVSp: p.Asp244Gly
Allele Frequency (VAF): 9.6%</t>
  </si>
  <si>
    <t xml:space="preserve">CARD11</t>
  </si>
  <si>
    <t xml:space="preserve">BNHL&amp;TNHL</t>
  </si>
  <si>
    <t xml:space="preserve">NM_032415.7</t>
  </si>
  <si>
    <t xml:space="preserve">c.2703+12C&gt;T</t>
  </si>
  <si>
    <t xml:space="preserve">NM_032415.7:c.2703+12C&gt;T</t>
  </si>
  <si>
    <t xml:space="preserve">BENTA_disease&amp;Severe_combined_immunodeficiency_due_to_CARD11_deficiency</t>
  </si>
  <si>
    <t xml:space="preserve">CARD11 intron_variant in intron 20
HGVSc: c.2703+12C&gt;T
HGVSp: nan
dbSNP: rs372718712
Allele Frequency (VAF): 24.1%</t>
  </si>
  <si>
    <t xml:space="preserve">22/25</t>
  </si>
  <si>
    <t xml:space="preserve">c.2902G&gt;A</t>
  </si>
  <si>
    <t xml:space="preserve">p.Ala968Thr</t>
  </si>
  <si>
    <t xml:space="preserve">NP_115791.3:p.Ala968Thr</t>
  </si>
  <si>
    <t xml:space="preserve">NM_032415.7:c.2902G&gt;A</t>
  </si>
  <si>
    <t xml:space="preserve">CARD11 missense_variant in exon 22
HGVSc: c.2902G&gt;A
HGVSp: p.Ala968Thr
dbSNP: rs747530675
Allele Frequency (VAF): 48.5%</t>
  </si>
  <si>
    <t xml:space="preserve">CREBBP</t>
  </si>
  <si>
    <t xml:space="preserve">B-/T-ALL&amp;BNHL&amp;Myeloid&amp;TNHL</t>
  </si>
  <si>
    <t xml:space="preserve">NM_004380.3</t>
  </si>
  <si>
    <t xml:space="preserve">16/31</t>
  </si>
  <si>
    <t xml:space="preserve">c.3250del</t>
  </si>
  <si>
    <t xml:space="preserve">p.Ile1084SerfsTer15</t>
  </si>
  <si>
    <t xml:space="preserve">NP_004371.2:p.Ile1084SerfsTer15</t>
  </si>
  <si>
    <t xml:space="preserve">NM_004380.3:c.3250del</t>
  </si>
  <si>
    <t xml:space="preserve">CREBBP frameshift_variant&amp;splice_region_variant in exon 16
HGVSc: c.3250del
HGVSp: p.Ile1084SerfsTer15
dbSNP: rs1378599948
Allele Frequency (VAF): 31.2%</t>
  </si>
  <si>
    <t xml:space="preserve">c.3370-5_3370-4del</t>
  </si>
  <si>
    <t xml:space="preserve">NM_004380.3:c.3370-5_3370-4del</t>
  </si>
  <si>
    <t xml:space="preserve">Inborn_genetic_diseases&amp;Menke-Hennekam_syndrome_1&amp;Rubinstein-Taybi_syndrome&amp;Rubinstein-Taybi_syndrome_due_to_CREBBP_mutations&amp;not_specified</t>
  </si>
  <si>
    <t xml:space="preserve">665/1706</t>
  </si>
  <si>
    <t xml:space="preserve">CREBBP intron_variant&amp;splice_region_variant in intron 17
HGVSc: c.3370-5_3370-4del
HGVSp: nan
dbSNP: rs75459669
Allele Frequency (VAF): 11.4%</t>
  </si>
  <si>
    <t xml:space="preserve">c.1573+6T&gt;C</t>
  </si>
  <si>
    <t xml:space="preserve">NM_004380.3:c.1573+6T&gt;C</t>
  </si>
  <si>
    <t xml:space="preserve">CREBBP intron_variant&amp;splice_region_variant in intron 6
HGVSc: c.1573+6T&gt;C
HGVSp: nan
Allele Frequency (VAF): 9.1%</t>
  </si>
  <si>
    <t xml:space="preserve">31/31</t>
  </si>
  <si>
    <t xml:space="preserve">c.5837del</t>
  </si>
  <si>
    <t xml:space="preserve">p.Pro1946HisfsTer30</t>
  </si>
  <si>
    <t xml:space="preserve">NP_004371.2:p.Pro1946HisfsTer30</t>
  </si>
  <si>
    <t xml:space="preserve">NM_004380.3:c.5837del</t>
  </si>
  <si>
    <t xml:space="preserve">Rubinstein-Taybi_syndrome&amp;Rubinstein-Taybi_syndrome_due_to_CREBBP_mutations&amp;not_provided</t>
  </si>
  <si>
    <t xml:space="preserve">CREBBP frameshift_variant in exon 31
HGVSc: c.5837del
HGVSp: p.Pro1946HisfsTer30
dbSNP: rs587783507
Allele Frequency (VAF): 36.6%</t>
  </si>
  <si>
    <t xml:space="preserve">c.1824-2A&gt;G</t>
  </si>
  <si>
    <t xml:space="preserve">splice_acceptor_variant</t>
  </si>
  <si>
    <t xml:space="preserve">NM_004380.3:c.1824-2A&gt;G</t>
  </si>
  <si>
    <t xml:space="preserve">CREBBP splice_acceptor_variant in intron 8
HGVSc: c.1824-2A&gt;G
HGVSp: nan
Allele Frequency (VAF): 9.4%</t>
  </si>
  <si>
    <t xml:space="preserve">14/31</t>
  </si>
  <si>
    <t xml:space="preserve">c.2597T&gt;C</t>
  </si>
  <si>
    <t xml:space="preserve">p.Met866Thr</t>
  </si>
  <si>
    <t xml:space="preserve">NP_004371.2:p.Met866Thr</t>
  </si>
  <si>
    <t xml:space="preserve">NM_004380.3:c.2597T&gt;C</t>
  </si>
  <si>
    <t xml:space="preserve">CREBBP missense_variant in exon 14
HGVSc: c.2597T&gt;C
HGVSp: p.Met866Thr
Allele Frequency (VAF): 9.8%</t>
  </si>
  <si>
    <t xml:space="preserve">c.3370-9_3370-4del</t>
  </si>
  <si>
    <t xml:space="preserve">NM_004380.3:c.3370-9_3370-4del</t>
  </si>
  <si>
    <t xml:space="preserve">CREBBP intron_variant&amp;splice_region_variant in intron 17
HGVSc: c.3370-9_3370-4del
HGVSp: nan
Allele Frequency (VAF): 13.0%</t>
  </si>
  <si>
    <t xml:space="preserve">c.3370-8_3370-4del</t>
  </si>
  <si>
    <t xml:space="preserve">NM_004380.3:c.3370-8_3370-4del</t>
  </si>
  <si>
    <t xml:space="preserve">CREBBP intron_variant&amp;splice_region_variant in intron 17
HGVSc: c.3370-8_3370-4del
HGVSp: nan
Allele Frequency (VAF): 20.1%</t>
  </si>
  <si>
    <t xml:space="preserve">c.3370-7_3370-4del</t>
  </si>
  <si>
    <t xml:space="preserve">NM_004380.3:c.3370-7_3370-4del</t>
  </si>
  <si>
    <t xml:space="preserve">CREBBP intron_variant&amp;splice_region_variant in intron 17
HGVSc: c.3370-7_3370-4del
HGVSp: nan
Allele Frequency (VAF): 34.0%</t>
  </si>
  <si>
    <t xml:space="preserve">c.2880+13G&gt;A</t>
  </si>
  <si>
    <t xml:space="preserve">NM_004380.3:c.2880+13G&gt;A</t>
  </si>
  <si>
    <t xml:space="preserve">CREBBP intron_variant in intron 14
HGVSc: c.2880+13G&gt;A
HGVSp: nan
Allele Frequency (VAF): 31.2%</t>
  </si>
  <si>
    <t xml:space="preserve">c.3370-6_3370-4del</t>
  </si>
  <si>
    <t xml:space="preserve">NM_004380.3:c.3370-6_3370-4del</t>
  </si>
  <si>
    <t xml:space="preserve">CREBBP intron_variant&amp;splice_region_variant in intron 17
HGVSc: c.3370-6_3370-4del
HGVSp: nan
dbSNP: rs75459669
Allele Frequency (VAF): 20.0%</t>
  </si>
  <si>
    <t xml:space="preserve">CSF3R</t>
  </si>
  <si>
    <t xml:space="preserve">NM_000760.4</t>
  </si>
  <si>
    <t xml:space="preserve">15/17</t>
  </si>
  <si>
    <t xml:space="preserve">c.1918A&gt;G</t>
  </si>
  <si>
    <t xml:space="preserve">p.Thr640Ala</t>
  </si>
  <si>
    <t xml:space="preserve">NP_000751.1:p.Thr640Ala</t>
  </si>
  <si>
    <t xml:space="preserve">NM_000760.4:c.1918A&gt;G</t>
  </si>
  <si>
    <t xml:space="preserve">CSF3R missense_variant in exon 15
HGVSc: c.1918A&gt;G
HGVSp: p.Thr640Ala
Allele Frequency (VAF): 32.3%</t>
  </si>
  <si>
    <t xml:space="preserve">11/17</t>
  </si>
  <si>
    <t xml:space="preserve">c.1404del</t>
  </si>
  <si>
    <t xml:space="preserve">p.Ser469AlafsTer22</t>
  </si>
  <si>
    <t xml:space="preserve">NP_000751.1:p.Ser469AlafsTer22</t>
  </si>
  <si>
    <t xml:space="preserve">NM_000760.4:c.1404del</t>
  </si>
  <si>
    <t xml:space="preserve">Autosomal_recessive_severe_congenital_neutropenia_due_to_CSF3R_deficiency</t>
  </si>
  <si>
    <t xml:space="preserve">CSF3R frameshift_variant in exon 11
HGVSc: c.1404del
HGVSp: p.Ser469AlafsTer22
dbSNP: rs747437399
Allele Frequency (VAF): 5.1%</t>
  </si>
  <si>
    <t xml:space="preserve">CSNK1A1</t>
  </si>
  <si>
    <t xml:space="preserve">NM_001892.6</t>
  </si>
  <si>
    <t xml:space="preserve">c.1007-19del</t>
  </si>
  <si>
    <t xml:space="preserve">NM_001892.6:c.1007-19del</t>
  </si>
  <si>
    <t xml:space="preserve">multiallelic;slippage</t>
  </si>
  <si>
    <t xml:space="preserve">CSNK1A1 intron_variant in intron 9
HGVSc: c.1007-19del
HGVSp: nan
dbSNP: rs756936113
Allele Frequency (VAF): 7.7%</t>
  </si>
  <si>
    <t xml:space="preserve">CTCF</t>
  </si>
  <si>
    <t xml:space="preserve">B-/T-ALL&amp;Myeloid</t>
  </si>
  <si>
    <t xml:space="preserve">NM_006565.4</t>
  </si>
  <si>
    <t xml:space="preserve">9/12</t>
  </si>
  <si>
    <t xml:space="preserve">c.1567del</t>
  </si>
  <si>
    <t xml:space="preserve">p.Tyr523ThrfsTer61</t>
  </si>
  <si>
    <t xml:space="preserve">NP_006556.1:p.Tyr523ThrfsTer61</t>
  </si>
  <si>
    <t xml:space="preserve">NM_006565.4:c.1567del</t>
  </si>
  <si>
    <t xml:space="preserve">CTCF frameshift_variant in exon 9
HGVSc: c.1567del
HGVSp: p.Tyr523ThrfsTer61
Allele Frequency (VAF): 31.5%</t>
  </si>
  <si>
    <t xml:space="preserve">CUX1</t>
  </si>
  <si>
    <t xml:space="preserve">NM_181552.4</t>
  </si>
  <si>
    <t xml:space="preserve">18/24</t>
  </si>
  <si>
    <t xml:space="preserve">c.2605C&gt;T</t>
  </si>
  <si>
    <t xml:space="preserve">p.Gln869Ter</t>
  </si>
  <si>
    <t xml:space="preserve">NP_853530.2:p.Gln869Ter</t>
  </si>
  <si>
    <t xml:space="preserve">NM_181552.4:c.2605C&gt;T</t>
  </si>
  <si>
    <t xml:space="preserve">CUX1 stop_gained in exon 18
HGVSc: c.2605C&gt;T
HGVSp: p.Gln869Ter
Allele Frequency (VAF): 6.3%</t>
  </si>
  <si>
    <t xml:space="preserve">NM_001913.5</t>
  </si>
  <si>
    <t xml:space="preserve">c.1255+38500C&gt;T</t>
  </si>
  <si>
    <t xml:space="preserve">NM_001913.5:c.1255+38500C&gt;T</t>
  </si>
  <si>
    <t xml:space="preserve">CUX1 intron_variant in intron 14
HGVSc: c.1255+38500C&gt;T
HGVSp: nan
Allele Frequency (VAF): 23.2%</t>
  </si>
  <si>
    <t xml:space="preserve">2/24</t>
  </si>
  <si>
    <t xml:space="preserve">c.131A&gt;G</t>
  </si>
  <si>
    <t xml:space="preserve">p.Asn44Ser</t>
  </si>
  <si>
    <t xml:space="preserve">NP_853530.2:p.Asn44Ser</t>
  </si>
  <si>
    <t xml:space="preserve">NM_181552.4:c.131A&gt;G</t>
  </si>
  <si>
    <t xml:space="preserve">CUX1 missense_variant in exon 2
HGVSc: c.131A&gt;G
HGVSp: p.Asn44Ser
dbSNP: rs760414074
Allele Frequency (VAF): 4.7%</t>
  </si>
  <si>
    <t xml:space="preserve">6/23</t>
  </si>
  <si>
    <t xml:space="preserve">c.451A&gt;G</t>
  </si>
  <si>
    <t xml:space="preserve">p.Lys151Glu</t>
  </si>
  <si>
    <t xml:space="preserve">NP_001904.2:p.Lys151Glu</t>
  </si>
  <si>
    <t xml:space="preserve">NM_001913.5:c.451A&gt;G</t>
  </si>
  <si>
    <t xml:space="preserve">CUX1 missense_variant in exon 6
HGVSc: c.451A&gt;G
HGVSp: p.Lys151Glu
Allele Frequency (VAF): 4.9%</t>
  </si>
  <si>
    <t xml:space="preserve">6/24</t>
  </si>
  <si>
    <t xml:space="preserve">c.418A&gt;G</t>
  </si>
  <si>
    <t xml:space="preserve">p.Lys140Glu</t>
  </si>
  <si>
    <t xml:space="preserve">NP_853530.2:p.Lys140Glu</t>
  </si>
  <si>
    <t xml:space="preserve">NM_181552.4:c.418A&gt;G</t>
  </si>
  <si>
    <t xml:space="preserve">CUX1 missense_variant in exon 6
HGVSc: c.418A&gt;G
HGVSp: p.Lys140Glu
Allele Frequency (VAF): 4.9%</t>
  </si>
  <si>
    <t xml:space="preserve">22/24</t>
  </si>
  <si>
    <t xml:space="preserve">c.3485C&gt;T</t>
  </si>
  <si>
    <t xml:space="preserve">p.Ser1162Phe</t>
  </si>
  <si>
    <t xml:space="preserve">NP_853530.2:p.Ser1162Phe</t>
  </si>
  <si>
    <t xml:space="preserve">NM_181552.4:c.3485C&gt;T</t>
  </si>
  <si>
    <t xml:space="preserve">CUX1 missense_variant in exon 22
HGVSc: c.3485C&gt;T
HGVSp: p.Ser1162Phe
Allele Frequency (VAF): 23.2%</t>
  </si>
  <si>
    <t xml:space="preserve">c.1255+6299C&gt;T</t>
  </si>
  <si>
    <t xml:space="preserve">NM_001913.5:c.1255+6299C&gt;T</t>
  </si>
  <si>
    <t xml:space="preserve">CUX1 intron_variant in intron 14
HGVSc: c.1255+6299C&gt;T
HGVSp: nan
Allele Frequency (VAF): 6.3%</t>
  </si>
  <si>
    <t xml:space="preserve">c.1256-24614G&gt;A</t>
  </si>
  <si>
    <t xml:space="preserve">NM_001913.5:c.1256-24614G&gt;A</t>
  </si>
  <si>
    <t xml:space="preserve">CUX1 intron_variant in intron 14
HGVSc: c.1256-24614G&gt;A
HGVSp: nan
dbSNP: rs1291999799
Allele Frequency (VAF): 8.2%</t>
  </si>
  <si>
    <t xml:space="preserve">24/24</t>
  </si>
  <si>
    <t xml:space="preserve">c.4228G&gt;A</t>
  </si>
  <si>
    <t xml:space="preserve">p.Ala1410Thr</t>
  </si>
  <si>
    <t xml:space="preserve">NP_853530.2:p.Ala1410Thr</t>
  </si>
  <si>
    <t xml:space="preserve">NM_181552.4:c.4228G&gt;A</t>
  </si>
  <si>
    <t xml:space="preserve">CUX1 missense_variant in exon 24
HGVSc: c.4228G&gt;A
HGVSp: p.Ala1410Thr
dbSNP: rs1291999799
Allele Frequency (VAF): 8.2%</t>
  </si>
  <si>
    <t xml:space="preserve">2/23</t>
  </si>
  <si>
    <t xml:space="preserve">c.164A&gt;G</t>
  </si>
  <si>
    <t xml:space="preserve">p.Asn55Ser</t>
  </si>
  <si>
    <t xml:space="preserve">NP_001904.2:p.Asn55Ser</t>
  </si>
  <si>
    <t xml:space="preserve">NM_001913.5:c.164A&gt;G</t>
  </si>
  <si>
    <t xml:space="preserve">CUX1 missense_variant in exon 2
HGVSc: c.164A&gt;G
HGVSp: p.Asn55Ser
dbSNP: rs760414074
Allele Frequency (VAF): 4.7%</t>
  </si>
  <si>
    <t xml:space="preserve">15/23</t>
  </si>
  <si>
    <t xml:space="preserve">c.1351A&gt;G</t>
  </si>
  <si>
    <t xml:space="preserve">p.Ile451Val</t>
  </si>
  <si>
    <t xml:space="preserve">NP_001904.2:p.Ile451Val</t>
  </si>
  <si>
    <t xml:space="preserve">NM_001913.5:c.1351A&gt;G</t>
  </si>
  <si>
    <t xml:space="preserve">CUX1 missense_variant in exon 15
HGVSc: c.1351A&gt;G
HGVSp: p.Ile451Val
Allele Frequency (VAF): 7.0%</t>
  </si>
  <si>
    <t xml:space="preserve">22/23</t>
  </si>
  <si>
    <t xml:space="preserve">c.1960G&gt;A</t>
  </si>
  <si>
    <t xml:space="preserve">p.Ala654Thr</t>
  </si>
  <si>
    <t xml:space="preserve">NP_001904.2:p.Ala654Thr</t>
  </si>
  <si>
    <t xml:space="preserve">NM_001913.5:c.1960G&gt;A</t>
  </si>
  <si>
    <t xml:space="preserve">CUX1 missense_variant in exon 22
HGVSc: c.1960G&gt;A
HGVSp: p.Ala654Thr
dbSNP: rs1039450561
Allele Frequency (VAF): 4.3%</t>
  </si>
  <si>
    <t xml:space="preserve">18/23</t>
  </si>
  <si>
    <t xml:space="preserve">c.1570C&gt;T</t>
  </si>
  <si>
    <t xml:space="preserve">p.Arg524Cys</t>
  </si>
  <si>
    <t xml:space="preserve">NP_001904.2:p.Arg524Cys</t>
  </si>
  <si>
    <t xml:space="preserve">NM_001913.5:c.1570C&gt;T</t>
  </si>
  <si>
    <t xml:space="preserve">CUX1-related_disorder&amp;not_provided</t>
  </si>
  <si>
    <t xml:space="preserve">1/1706</t>
  </si>
  <si>
    <t xml:space="preserve">CUX1 missense_variant in exon 18
HGVSc: c.1570C&gt;T
HGVSp: p.Arg524Cys
dbSNP: rs1288866751
Allele Frequency (VAF): 5.3%</t>
  </si>
  <si>
    <t xml:space="preserve">CXCR4</t>
  </si>
  <si>
    <t xml:space="preserve">BNHL</t>
  </si>
  <si>
    <t xml:space="preserve">NM_003467.3</t>
  </si>
  <si>
    <t xml:space="preserve">2/2</t>
  </si>
  <si>
    <t xml:space="preserve">c.128C&gt;A</t>
  </si>
  <si>
    <t xml:space="preserve">p.Thr43Asn</t>
  </si>
  <si>
    <t xml:space="preserve">NP_003458.1:p.Thr43Asn</t>
  </si>
  <si>
    <t xml:space="preserve">NM_003467.3:c.128C&gt;A</t>
  </si>
  <si>
    <t xml:space="preserve">CXCR4 missense_variant in exon 2
HGVSc: c.128C&gt;A
HGVSp: p.Thr43Asn
dbSNP: rs778969048
Allele Frequency (VAF): 8.1%</t>
  </si>
  <si>
    <t xml:space="preserve">c.227A&gt;G</t>
  </si>
  <si>
    <t xml:space="preserve">p.Tyr76Cys</t>
  </si>
  <si>
    <t xml:space="preserve">NP_003458.1:p.Tyr76Cys</t>
  </si>
  <si>
    <t xml:space="preserve">NM_003467.3:c.227A&gt;G</t>
  </si>
  <si>
    <t xml:space="preserve">CXCR4 missense_variant in exon 2
HGVSc: c.227A&gt;G
HGVSp: p.Tyr76Cys
Allele Frequency (VAF): 9.8%</t>
  </si>
  <si>
    <t xml:space="preserve">DIS3</t>
  </si>
  <si>
    <t xml:space="preserve">PCD</t>
  </si>
  <si>
    <t xml:space="preserve">NM_014953.5</t>
  </si>
  <si>
    <t xml:space="preserve">c.1756-3del</t>
  </si>
  <si>
    <t xml:space="preserve">NM_014953.5:c.1756-3del</t>
  </si>
  <si>
    <t xml:space="preserve">DIS3 intron_variant&amp;splice_region_variant in intron 13
HGVSc: c.1756-3del
HGVSp: nan
dbSNP: rs1566244331
Allele Frequency (VAF): 5.9%</t>
  </si>
  <si>
    <t xml:space="preserve">EP300</t>
  </si>
  <si>
    <t xml:space="preserve">NM_001429.4</t>
  </si>
  <si>
    <t xml:space="preserve">27/31</t>
  </si>
  <si>
    <t xml:space="preserve">c.4408del</t>
  </si>
  <si>
    <t xml:space="preserve">p.Met1470CysfsTer26</t>
  </si>
  <si>
    <t xml:space="preserve">NP_001420.2:p.Met1470CysfsTer26</t>
  </si>
  <si>
    <t xml:space="preserve">NM_001429.4:c.4408del</t>
  </si>
  <si>
    <t xml:space="preserve">EP300 frameshift_variant in exon 27
HGVSc: c.4408del
HGVSp: p.Met1470CysfsTer26
Allele Frequency (VAF): 50.2%</t>
  </si>
  <si>
    <t xml:space="preserve">c.5099del</t>
  </si>
  <si>
    <t xml:space="preserve">p.Asn1700ThrfsTer9</t>
  </si>
  <si>
    <t xml:space="preserve">NP_001420.2:p.Asn1700ThrfsTer9</t>
  </si>
  <si>
    <t xml:space="preserve">NM_001429.4:c.5099del</t>
  </si>
  <si>
    <t xml:space="preserve">EP300 frameshift_variant in exon 31
HGVSc: c.5099del
HGVSp: p.Asn1700ThrfsTer9
Allele Frequency (VAF): 9.7%</t>
  </si>
  <si>
    <t xml:space="preserve">c.2818-9del</t>
  </si>
  <si>
    <t xml:space="preserve">NM_001429.4:c.2818-9del</t>
  </si>
  <si>
    <t xml:space="preserve">EP300 intron_variant in intron 14
HGVSc: c.2818-9del
HGVSp: nan
dbSNP: rs1281166131
Allele Frequency (VAF): 7.0%</t>
  </si>
  <si>
    <t xml:space="preserve">c.2242-7_2242-4del</t>
  </si>
  <si>
    <t xml:space="preserve">NM_001429.4:c.2242-7_2242-4del</t>
  </si>
  <si>
    <t xml:space="preserve">EP300 intron_variant&amp;splice_region_variant in intron 12
HGVSc: c.2242-7_2242-4del
HGVSp: nan
dbSNP: rs747710183
Allele Frequency (VAF): 46.9%</t>
  </si>
  <si>
    <t xml:space="preserve">c.3143-5_3143-4del</t>
  </si>
  <si>
    <t xml:space="preserve">NM_001429.4:c.3143-5_3143-4del</t>
  </si>
  <si>
    <t xml:space="preserve">EP300 intron_variant&amp;splice_region_variant in intron 16
HGVSc: c.3143-5_3143-4del
HGVSp: nan
dbSNP: rs757931697
Allele Frequency (VAF): 15.0%</t>
  </si>
  <si>
    <t xml:space="preserve">c.3143-6_3143-4del</t>
  </si>
  <si>
    <t xml:space="preserve">NM_001429.4:c.3143-6_3143-4del</t>
  </si>
  <si>
    <t xml:space="preserve">EP300 intron_variant&amp;splice_region_variant in intron 16
HGVSc: c.3143-6_3143-4del
HGVSp: nan
Allele Frequency (VAF): 35.1%</t>
  </si>
  <si>
    <t xml:space="preserve">9/31</t>
  </si>
  <si>
    <t xml:space="preserve">c.1781C&gt;T</t>
  </si>
  <si>
    <t xml:space="preserve">p.Thr594Met</t>
  </si>
  <si>
    <t xml:space="preserve">NP_001420.2:p.Thr594Met</t>
  </si>
  <si>
    <t xml:space="preserve">NM_001429.4:c.1781C&gt;T</t>
  </si>
  <si>
    <t xml:space="preserve">Colorectal_cancer&amp;EP300-related_disorder&amp;Menke-Hennekam_syndrome_2&amp;Multicystic_kidney_dysplasia&amp;Rubinstein-Taybi_syndrome_due_to_CREBBP_mutations&amp;Rubinstein-Taybi_syndrome_due_to_EP300_haploinsufficiency</t>
  </si>
  <si>
    <t xml:space="preserve">EP300 missense_variant in exon 9
HGVSc: c.1781C&gt;T
HGVSp: p.Thr594Met
dbSNP: rs750740148
Allele Frequency (VAF): 32.1%</t>
  </si>
  <si>
    <t xml:space="preserve">3/31</t>
  </si>
  <si>
    <t xml:space="preserve">c.875del</t>
  </si>
  <si>
    <t xml:space="preserve">p.Lys292ArgfsTer25</t>
  </si>
  <si>
    <t xml:space="preserve">NP_001420.2:p.Lys292ArgfsTer25</t>
  </si>
  <si>
    <t xml:space="preserve">NM_001429.4:c.875del</t>
  </si>
  <si>
    <t xml:space="preserve">EP300 frameshift_variant in exon 3
HGVSc: c.875del
HGVSp: p.Lys292ArgfsTer25
Allele Frequency (VAF): 7.7%</t>
  </si>
  <si>
    <t xml:space="preserve">c.2242-5_2242-4del</t>
  </si>
  <si>
    <t xml:space="preserve">NM_001429.4:c.2242-5_2242-4del</t>
  </si>
  <si>
    <t xml:space="preserve">EP300 intron_variant&amp;splice_region_variant in intron 12
HGVSc: c.2242-5_2242-4del
HGVSp: nan
dbSNP: rs747710183
Allele Frequency (VAF): 9.7%</t>
  </si>
  <si>
    <t xml:space="preserve">4/31</t>
  </si>
  <si>
    <t xml:space="preserve">c.1003C&gt;T</t>
  </si>
  <si>
    <t xml:space="preserve">p.Arg335Cys</t>
  </si>
  <si>
    <t xml:space="preserve">NP_001420.2:p.Arg335Cys</t>
  </si>
  <si>
    <t xml:space="preserve">NM_001429.4:c.1003C&gt;T</t>
  </si>
  <si>
    <t xml:space="preserve">EP300 missense_variant in exon 4
HGVSc: c.1003C&gt;T
HGVSp: p.Arg335Cys
Allele Frequency (VAF): 5.5%</t>
  </si>
  <si>
    <t xml:space="preserve">c.2242-6_2242-4del</t>
  </si>
  <si>
    <t xml:space="preserve">NM_001429.4:c.2242-6_2242-4del</t>
  </si>
  <si>
    <t xml:space="preserve">Rubinstein-Taybi_syndrome_due_to_CREBBP_mutations</t>
  </si>
  <si>
    <t xml:space="preserve">EP300 intron_variant&amp;splice_region_variant in intron 12
HGVSc: c.2242-6_2242-4del
HGVSp: nan
dbSNP: rs747710183
Allele Frequency (VAF): 31.3%</t>
  </si>
  <si>
    <t xml:space="preserve">ERBB3</t>
  </si>
  <si>
    <t xml:space="preserve">NM_001982.4</t>
  </si>
  <si>
    <t xml:space="preserve">7/28</t>
  </si>
  <si>
    <t xml:space="preserve">c.781C&gt;T</t>
  </si>
  <si>
    <t xml:space="preserve">p.Gln261Ter</t>
  </si>
  <si>
    <t xml:space="preserve">NP_001973.2:p.Gln261Ter</t>
  </si>
  <si>
    <t xml:space="preserve">NM_001982.4:c.781C&gt;T</t>
  </si>
  <si>
    <t xml:space="preserve">ERBB3 stop_gained in exon 7
HGVSc: c.781C&gt;T
HGVSp: p.Gln261Ter
Allele Frequency (VAF): 9.0%</t>
  </si>
  <si>
    <t xml:space="preserve">EZH2</t>
  </si>
  <si>
    <t xml:space="preserve">B-/T-ALL&amp;BNHL&amp;Myeloid</t>
  </si>
  <si>
    <t xml:space="preserve">NM_004456.5</t>
  </si>
  <si>
    <t xml:space="preserve">6/20</t>
  </si>
  <si>
    <t xml:space="preserve">c.505G&gt;A</t>
  </si>
  <si>
    <t xml:space="preserve">p.Glu169Lys</t>
  </si>
  <si>
    <t xml:space="preserve">NP_004447.2:p.Glu169Lys</t>
  </si>
  <si>
    <t xml:space="preserve">NM_004456.5:c.505G&gt;A</t>
  </si>
  <si>
    <t xml:space="preserve">EZH2 missense_variant in exon 6
HGVSc: c.505G&gt;A
HGVSp: p.Glu169Lys
Allele Frequency (VAF): 5.4%</t>
  </si>
  <si>
    <t xml:space="preserve">10/20</t>
  </si>
  <si>
    <t xml:space="preserve">c.1184del</t>
  </si>
  <si>
    <t xml:space="preserve">p.Gly395GlufsTer29</t>
  </si>
  <si>
    <t xml:space="preserve">NP_004447.2:p.Gly395GlufsTer29</t>
  </si>
  <si>
    <t xml:space="preserve">NM_004456.5:c.1184del</t>
  </si>
  <si>
    <t xml:space="preserve">EZH2 frameshift_variant in exon 10
HGVSc: c.1184del
HGVSp: p.Gly395GlufsTer29
Allele Frequency (VAF): 22.0%</t>
  </si>
  <si>
    <t xml:space="preserve">FAM46C</t>
  </si>
  <si>
    <t xml:space="preserve">NM_017709.4</t>
  </si>
  <si>
    <t xml:space="preserve">c.863T&gt;C</t>
  </si>
  <si>
    <t xml:space="preserve">p.Leu288Ser</t>
  </si>
  <si>
    <t xml:space="preserve">NP_060179.2:p.Leu288Ser</t>
  </si>
  <si>
    <t xml:space="preserve">NM_017709.4:c.863T&gt;C</t>
  </si>
  <si>
    <t xml:space="preserve">FAM46C missense_variant in exon 2
HGVSc: c.863T&gt;C
HGVSp: p.Leu288Ser
Allele Frequency (VAF): 10.8%</t>
  </si>
  <si>
    <t xml:space="preserve">FBXW7</t>
  </si>
  <si>
    <t xml:space="preserve">B-/T-ALL&amp;BNHL&amp;CLL/MCL</t>
  </si>
  <si>
    <t xml:space="preserve">NM_001349798.2</t>
  </si>
  <si>
    <t xml:space="preserve">c.585-8_585-5del</t>
  </si>
  <si>
    <t xml:space="preserve">NM_001349798.2:c.585-8_585-5del</t>
  </si>
  <si>
    <t xml:space="preserve">FBXW7 intron_variant&amp;splice_region_variant in intron 5
HGVSc: c.585-8_585-5del
HGVSp: nan
Allele Frequency (VAF): 12.2%</t>
  </si>
  <si>
    <t xml:space="preserve">c.585-7_585-5del</t>
  </si>
  <si>
    <t xml:space="preserve">NM_001349798.2:c.585-7_585-5del</t>
  </si>
  <si>
    <t xml:space="preserve">FBXW7-related_disorder</t>
  </si>
  <si>
    <t xml:space="preserve">22/1706</t>
  </si>
  <si>
    <t xml:space="preserve">FBXW7 intron_variant&amp;splice_region_variant in intron 5
HGVSc: c.585-7_585-5del
HGVSp: nan
dbSNP: rs745908066
Allele Frequency (VAF): 22.2%</t>
  </si>
  <si>
    <t xml:space="preserve">c.2001del</t>
  </si>
  <si>
    <t xml:space="preserve">p.Ser668ValfsTer39</t>
  </si>
  <si>
    <t xml:space="preserve">NP_001336727.1:p.Ser668ValfsTer39</t>
  </si>
  <si>
    <t xml:space="preserve">NM_001349798.2:c.2001del</t>
  </si>
  <si>
    <t xml:space="preserve">No</t>
  </si>
  <si>
    <t xml:space="preserve">Last exon</t>
  </si>
  <si>
    <t xml:space="preserve">FBXW7 frameshift_variant in exon 14
HGVSc: c.2001del
HGVSp: p.Ser668ValfsTer39
Allele Frequency (VAF): 33.1%</t>
  </si>
  <si>
    <t xml:space="preserve">FLT3</t>
  </si>
  <si>
    <t xml:space="preserve">NM_004119.3</t>
  </si>
  <si>
    <t xml:space="preserve">c.43+7C&gt;T</t>
  </si>
  <si>
    <t xml:space="preserve">NM_004119.3:c.43+7C&gt;T</t>
  </si>
  <si>
    <t xml:space="preserve">FLT3 intron_variant&amp;splice_region_variant in intron 1
HGVSc: c.43+7C&gt;T
HGVSp: nan
Allele Frequency (VAF): 31.0%</t>
  </si>
  <si>
    <t xml:space="preserve">5/24</t>
  </si>
  <si>
    <t xml:space="preserve">c.590T&gt;C</t>
  </si>
  <si>
    <t xml:space="preserve">p.Val197Ala</t>
  </si>
  <si>
    <t xml:space="preserve">NP_004110.2:p.Val197Ala</t>
  </si>
  <si>
    <t xml:space="preserve">NM_004119.3:c.590T&gt;C</t>
  </si>
  <si>
    <t xml:space="preserve">FLT3 missense_variant in exon 5
HGVSc: c.590T&gt;C
HGVSp: p.Val197Ala
Allele Frequency (VAF): 8.9%</t>
  </si>
  <si>
    <t xml:space="preserve">c.2955_2956del</t>
  </si>
  <si>
    <t xml:space="preserve">p.Pro986AlafsTer27</t>
  </si>
  <si>
    <t xml:space="preserve">NP_004110.2:p.Pro986AlafsTer27</t>
  </si>
  <si>
    <t xml:space="preserve">NM_004119.3:c.2955_2956del</t>
  </si>
  <si>
    <t xml:space="preserve">FLT3 frameshift_variant in exon 24
HGVSc: c.2955_2956del
HGVSp: p.Pro986AlafsTer27
Allele Frequency (VAF): 10.0%</t>
  </si>
  <si>
    <t xml:space="preserve">FOXO1</t>
  </si>
  <si>
    <t xml:space="preserve">NM_002015.4</t>
  </si>
  <si>
    <t xml:space="preserve">2/3</t>
  </si>
  <si>
    <t xml:space="preserve">c.1609C&gt;T</t>
  </si>
  <si>
    <t xml:space="preserve">p.Arg537Cys</t>
  </si>
  <si>
    <t xml:space="preserve">NP_002006.2:p.Arg537Cys</t>
  </si>
  <si>
    <t xml:space="preserve">NM_002015.4:c.1609C&gt;T</t>
  </si>
  <si>
    <t xml:space="preserve">FOXO1 missense_variant in exon 2
HGVSc: c.1609C&gt;T
HGVSp: p.Arg537Cys
dbSNP: rs146488369
Allele Frequency (VAF): 10.4%</t>
  </si>
  <si>
    <t xml:space="preserve">FYN</t>
  </si>
  <si>
    <t xml:space="preserve">TNHL</t>
  </si>
  <si>
    <t xml:space="preserve">NM_002037.5</t>
  </si>
  <si>
    <t xml:space="preserve">c.1544A&gt;G</t>
  </si>
  <si>
    <t xml:space="preserve">p.Tyr515Cys</t>
  </si>
  <si>
    <t xml:space="preserve">NP_002028.1:p.Tyr515Cys</t>
  </si>
  <si>
    <t xml:space="preserve">NM_002037.5:c.1544A&gt;G</t>
  </si>
  <si>
    <t xml:space="preserve">FYN missense_variant in exon 14
HGVSc: c.1544A&gt;G
HGVSp: p.Tyr515Cys
Allele Frequency (VAF): 33.5%</t>
  </si>
  <si>
    <t xml:space="preserve">GATA2</t>
  </si>
  <si>
    <t xml:space="preserve">NM_032638.5</t>
  </si>
  <si>
    <t xml:space="preserve">3/6</t>
  </si>
  <si>
    <t xml:space="preserve">c.599del</t>
  </si>
  <si>
    <t xml:space="preserve">p.Gly200ValfsTer18</t>
  </si>
  <si>
    <t xml:space="preserve">NP_116027.2:p.Gly200ValfsTer18</t>
  </si>
  <si>
    <t xml:space="preserve">NM_032638.5:c.599del</t>
  </si>
  <si>
    <t xml:space="preserve">Deafness-lymphedema-leukemia_syndrome&amp;GATA2_deficiency_with_susceptibility_to_MDS/AML&amp;Monocytopenia_with_susceptibility_to_infections&amp;not_provided</t>
  </si>
  <si>
    <t xml:space="preserve">GATA2 frameshift_variant in exon 3
HGVSc: c.599del
HGVSp: p.Gly200ValfsTer18
dbSNP: rs768767517
Allele Frequency (VAF): 9.3%</t>
  </si>
  <si>
    <t xml:space="preserve">GNAS</t>
  </si>
  <si>
    <t xml:space="preserve">NM_080425.4</t>
  </si>
  <si>
    <t xml:space="preserve">c.2648-11_2648-10del</t>
  </si>
  <si>
    <t xml:space="preserve">NM_080425.4:c.2648-11_2648-10del</t>
  </si>
  <si>
    <t xml:space="preserve">GNAS intron_variant in intron 9
HGVSc: c.2648-11_2648-10del
HGVSp: nan
Allele Frequency (VAF): 29.8%</t>
  </si>
  <si>
    <t xml:space="preserve">NM_016592.5</t>
  </si>
  <si>
    <t xml:space="preserve">c.*625-11_*625-10del</t>
  </si>
  <si>
    <t xml:space="preserve">NM_016592.5:c.*625-11_*625-10del</t>
  </si>
  <si>
    <t xml:space="preserve">GNAS intron_variant in intron 9
HGVSc: c.*625-11_*625-10del
HGVSp: nan
Allele Frequency (VAF): 29.8%</t>
  </si>
  <si>
    <t xml:space="preserve">1/13</t>
  </si>
  <si>
    <t xml:space="preserve">c.310G&gt;A</t>
  </si>
  <si>
    <t xml:space="preserve">p.Glu104Lys</t>
  </si>
  <si>
    <t xml:space="preserve">NP_057676.1:p.Glu104Lys</t>
  </si>
  <si>
    <t xml:space="preserve">NM_016592.5:c.310G&gt;A</t>
  </si>
  <si>
    <t xml:space="preserve">GNAS missense_variant in exon 1
HGVSc: c.310G&gt;A
HGVSp: p.Glu104Lys
Allele Frequency (VAF): 30.5%</t>
  </si>
  <si>
    <t xml:space="preserve">c.1433C&gt;A</t>
  </si>
  <si>
    <t xml:space="preserve">p.Ala478Glu</t>
  </si>
  <si>
    <t xml:space="preserve">NP_536350.2:p.Ala478Glu</t>
  </si>
  <si>
    <t xml:space="preserve">NM_080425.4:c.1433C&gt;A</t>
  </si>
  <si>
    <t xml:space="preserve">GNAS missense_variant in exon 1
HGVSc: c.1433C&gt;A
HGVSp: p.Ala478Glu
Allele Frequency (VAF): 29.9%</t>
  </si>
  <si>
    <t xml:space="preserve">c.*42+13812C&gt;A</t>
  </si>
  <si>
    <t xml:space="preserve">NM_016592.5:c.*42+13812C&gt;A</t>
  </si>
  <si>
    <t xml:space="preserve">GNAS intron_variant in intron 1
HGVSc: c.*42+13812C&gt;A
HGVSp: nan
Allele Frequency (VAF): 29.9%</t>
  </si>
  <si>
    <t xml:space="preserve">c.1394_1395insCGACTCCGGGGCGGCCCGTGACGCCCCAGCCGATCC</t>
  </si>
  <si>
    <t xml:space="preserve">p.Asp466_Ala467insSerGlyAlaAlaArgAspAlaProAlaAspProAsp</t>
  </si>
  <si>
    <t xml:space="preserve">NP_536350.2:p.Asp466_Ala467insSerGlyAlaAlaArgAspAlaProAlaAspProAsp</t>
  </si>
  <si>
    <t xml:space="preserve">inframe_insertion</t>
  </si>
  <si>
    <t xml:space="preserve">NM_080425.4:c.1394_1395insCGACTCCGGGGCGGCCCGTGACGCCCCAGCCGATCC</t>
  </si>
  <si>
    <t xml:space="preserve">GNAS inframe_insertion in exon 1
HGVSc: c.1394_1395insCGACTCCGGGGCGGCCCGTGACGCCCCAGCCGATCC
HGVSp: p.Asp466_Ala467insSerGlyAlaAlaArgAspAlaProAlaAspProAsp
Allele Frequency (VAF): 23.3%</t>
  </si>
  <si>
    <t xml:space="preserve">c.*42+13408A&gt;C</t>
  </si>
  <si>
    <t xml:space="preserve">NM_016592.5:c.*42+13408A&gt;C</t>
  </si>
  <si>
    <t xml:space="preserve">GNAS intron_variant in intron 1
HGVSc: c.*42+13408A&gt;C
HGVSp: nan
Allele Frequency (VAF): 14.3%</t>
  </si>
  <si>
    <t xml:space="preserve">11/13</t>
  </si>
  <si>
    <t xml:space="preserve">c.*859A&gt;G</t>
  </si>
  <si>
    <t xml:space="preserve">3_prime_UTR_variant</t>
  </si>
  <si>
    <t xml:space="preserve">NM_016592.5:c.*859A&gt;G</t>
  </si>
  <si>
    <t xml:space="preserve">GNAS 3_prime_UTR_variant in exon 11
HGVSc: c.*859A&gt;G
HGVSp: nan
Allele Frequency (VAF): 9.8%</t>
  </si>
  <si>
    <t xml:space="preserve">c.2882A&gt;G</t>
  </si>
  <si>
    <t xml:space="preserve">p.Tyr961Cys</t>
  </si>
  <si>
    <t xml:space="preserve">NP_536350.2:p.Tyr961Cys</t>
  </si>
  <si>
    <t xml:space="preserve">NM_080425.4:c.2882A&gt;G</t>
  </si>
  <si>
    <t xml:space="preserve">GNAS missense_variant in exon 11
HGVSc: c.2882A&gt;G
HGVSp: p.Tyr961Cys
Allele Frequency (VAF): 9.8%</t>
  </si>
  <si>
    <t xml:space="preserve">IDH1</t>
  </si>
  <si>
    <t xml:space="preserve">NM_005896.4</t>
  </si>
  <si>
    <t xml:space="preserve">7/10</t>
  </si>
  <si>
    <t xml:space="preserve">c.782C&gt;T</t>
  </si>
  <si>
    <t xml:space="preserve">p.Ser261Leu</t>
  </si>
  <si>
    <t xml:space="preserve">NP_005887.2:p.Ser261Leu</t>
  </si>
  <si>
    <t xml:space="preserve">NM_005896.4:c.782C&gt;T</t>
  </si>
  <si>
    <t xml:space="preserve">IDH1 missense_variant in exon 7
HGVSc: c.782C&gt;T
HGVSp: p.Ser261Leu
Allele Frequency (VAF): 8.8%</t>
  </si>
  <si>
    <t xml:space="preserve">IDH2</t>
  </si>
  <si>
    <t xml:space="preserve">NM_002168.4</t>
  </si>
  <si>
    <t xml:space="preserve">5/11</t>
  </si>
  <si>
    <t xml:space="preserve">c.569G&gt;A</t>
  </si>
  <si>
    <t xml:space="preserve">p.Gly190Asp</t>
  </si>
  <si>
    <t xml:space="preserve">NP_002159.2:p.Gly190Asp</t>
  </si>
  <si>
    <t xml:space="preserve">NM_002168.4:c.569G&gt;A</t>
  </si>
  <si>
    <t xml:space="preserve">IDH2 missense_variant in exon 5
HGVSc: c.569G&gt;A
HGVSp: p.Gly190Asp
dbSNP: rs868324434
Allele Frequency (VAF): 9.4%</t>
  </si>
  <si>
    <t xml:space="preserve">IKZF1</t>
  </si>
  <si>
    <t xml:space="preserve">B-/T-ALL&amp;Myeloid&amp;TNHL</t>
  </si>
  <si>
    <t xml:space="preserve">NM_006060.6</t>
  </si>
  <si>
    <t xml:space="preserve">4/8</t>
  </si>
  <si>
    <t xml:space="preserve">c.202G&gt;A</t>
  </si>
  <si>
    <t xml:space="preserve">p.Gly68Arg</t>
  </si>
  <si>
    <t xml:space="preserve">NP_006051.1:p.Gly68Arg</t>
  </si>
  <si>
    <t xml:space="preserve">NM_006060.6:c.202G&gt;A</t>
  </si>
  <si>
    <t xml:space="preserve">IKZF1 missense_variant in exon 4
HGVSc: c.202G&gt;A
HGVSp: p.Gly68Arg
Allele Frequency (VAF): 23.7%</t>
  </si>
  <si>
    <t xml:space="preserve">JAK2</t>
  </si>
  <si>
    <t xml:space="preserve">B-/T-ALL&amp;MPN-limited&amp;Myeloid</t>
  </si>
  <si>
    <t xml:space="preserve">NM_004972.4</t>
  </si>
  <si>
    <t xml:space="preserve">c.3291+16dup</t>
  </si>
  <si>
    <t xml:space="preserve">NM_004972.4:c.3291+16dup</t>
  </si>
  <si>
    <t xml:space="preserve">JAK2 intron_variant in intron 24
HGVSc: c.3291+16dup
HGVSp: nan
dbSNP: rs749188860
Allele Frequency (VAF): 11.2%</t>
  </si>
  <si>
    <t xml:space="preserve">c.1777-7del</t>
  </si>
  <si>
    <t xml:space="preserve">NM_004972.4:c.1777-7del</t>
  </si>
  <si>
    <t xml:space="preserve">JAK2 intron_variant&amp;splice_region_variant in intron 13
HGVSc: c.1777-7del
HGVSp: nan
dbSNP: rs750624043
Allele Frequency (VAF): 48.3%</t>
  </si>
  <si>
    <t xml:space="preserve">c.1777-8_1777-7del</t>
  </si>
  <si>
    <t xml:space="preserve">NM_004972.4:c.1777-8_1777-7del</t>
  </si>
  <si>
    <t xml:space="preserve">JAK2 intron_variant&amp;splice_region_variant in intron 13
HGVSc: c.1777-8_1777-7del
HGVSp: nan
Allele Frequency (VAF): 5.6%</t>
  </si>
  <si>
    <t xml:space="preserve">KIT</t>
  </si>
  <si>
    <t xml:space="preserve">NM_000222.3</t>
  </si>
  <si>
    <t xml:space="preserve">17/21</t>
  </si>
  <si>
    <t xml:space="preserve">c.2447A&gt;T</t>
  </si>
  <si>
    <t xml:space="preserve">p.Asp816Val</t>
  </si>
  <si>
    <t xml:space="preserve">NP_000213.1:p.Asp816Val</t>
  </si>
  <si>
    <t xml:space="preserve">NM_000222.3:c.2447A&gt;T</t>
  </si>
  <si>
    <t xml:space="preserve">Cutaneous_mastocytosis&amp;Dysgerminoma&amp;Gastrointestinal_stromal_tumor&amp;Hereditary_cancer-predisposing_syndrome&amp;MASTOCYTOSIS&amp;MASTOCYTOSIS_WITH_ASSOCIATED_HEMATOLOGIC_DISORDER&amp;MAST_CELL_LEUKEMIA&amp;_SOMATIC&amp;_SYSTEMIC&amp;not_provided</t>
  </si>
  <si>
    <t xml:space="preserve">6/1706</t>
  </si>
  <si>
    <t xml:space="preserve">2024-07-11</t>
  </si>
  <si>
    <t xml:space="preserve">24159K0089</t>
  </si>
  <si>
    <t xml:space="preserve">oncogenic(26)</t>
  </si>
  <si>
    <t xml:space="preserve">KIT missense_variant in exon 17
HGVSc: c.2447A&gt;T
HGVSp: p.Asp816Val
dbSNP: rs121913507
Allele Frequency (VAF): 10.2%</t>
  </si>
  <si>
    <t xml:space="preserve">7/21</t>
  </si>
  <si>
    <t xml:space="preserve">c.1168T&gt;C</t>
  </si>
  <si>
    <t xml:space="preserve">p.Tyr390His</t>
  </si>
  <si>
    <t xml:space="preserve">NP_000213.1:p.Tyr390His</t>
  </si>
  <si>
    <t xml:space="preserve">NM_000222.3:c.1168T&gt;C</t>
  </si>
  <si>
    <t xml:space="preserve">KIT missense_variant in exon 7
HGVSc: c.1168T&gt;C
HGVSp: p.Tyr390His
Allele Frequency (VAF): 5.6%</t>
  </si>
  <si>
    <t xml:space="preserve">KMT2A</t>
  </si>
  <si>
    <t xml:space="preserve">NM_001197104.2</t>
  </si>
  <si>
    <t xml:space="preserve">3/36</t>
  </si>
  <si>
    <t xml:space="preserve">c.2318del</t>
  </si>
  <si>
    <t xml:space="preserve">p.Pro773ArgfsTer8</t>
  </si>
  <si>
    <t xml:space="preserve">NP_001184033.1:p.Pro773ArgfsTer8</t>
  </si>
  <si>
    <t xml:space="preserve">NM_001197104.2:c.2318del</t>
  </si>
  <si>
    <t xml:space="preserve">Inborn_genetic_diseases&amp;Wiedemann-Steiner_syndrome&amp;not_provided</t>
  </si>
  <si>
    <t xml:space="preserve">KMT2A frameshift_variant in exon 3
HGVSc: c.2318del
HGVSp: p.Pro773ArgfsTer8
dbSNP: rs782297546
Allele Frequency (VAF): 7.8%</t>
  </si>
  <si>
    <t xml:space="preserve">c.2629_2630del</t>
  </si>
  <si>
    <t xml:space="preserve">p.Asp877ProfsTer8</t>
  </si>
  <si>
    <t xml:space="preserve">NP_001184033.1:p.Asp877ProfsTer8</t>
  </si>
  <si>
    <t xml:space="preserve">NM_001197104.2:c.2629_2630del</t>
  </si>
  <si>
    <t xml:space="preserve">Wiedemann-Steiner_syndrome&amp;not_provided</t>
  </si>
  <si>
    <t xml:space="preserve">KMT2A frameshift_variant in exon 3
HGVSc: c.2629_2630del
HGVSp: p.Asp877ProfsTer8
dbSNP: rs782311054
Allele Frequency (VAF): 8.1%</t>
  </si>
  <si>
    <t xml:space="preserve">c.4696+12del</t>
  </si>
  <si>
    <t xml:space="preserve">NM_001197104.2:c.4696+12del</t>
  </si>
  <si>
    <t xml:space="preserve">KMT2A intron_variant in intron 13
HGVSc: c.4696+12del
HGVSp: nan
dbSNP: rs35483459
Allele Frequency (VAF): 32.3%</t>
  </si>
  <si>
    <t xml:space="preserve">KMT2C</t>
  </si>
  <si>
    <t xml:space="preserve">NM_170606.3</t>
  </si>
  <si>
    <t xml:space="preserve">c.162-7dup</t>
  </si>
  <si>
    <t xml:space="preserve">NM_170606.3:c.162-7dup</t>
  </si>
  <si>
    <t xml:space="preserve">KMT2C intron_variant&amp;splice_region_variant in intron 1
HGVSc: c.162-7dup
HGVSp: nan
dbSNP: rs376309362
Allele Frequency (VAF): 5.7%</t>
  </si>
  <si>
    <t xml:space="preserve">52/59</t>
  </si>
  <si>
    <t xml:space="preserve">c.13630C&gt;T</t>
  </si>
  <si>
    <t xml:space="preserve">p.Arg4544Trp</t>
  </si>
  <si>
    <t xml:space="preserve">NP_733751.2:p.Arg4544Trp</t>
  </si>
  <si>
    <t xml:space="preserve">NM_170606.3:c.13630C&gt;T</t>
  </si>
  <si>
    <t xml:space="preserve">KMT2C missense_variant in exon 52
HGVSc: c.13630C&gt;T
HGVSp: p.Arg4544Trp
dbSNP: rs766559750
Allele Frequency (VAF): 47.3%</t>
  </si>
  <si>
    <t xml:space="preserve">38/59</t>
  </si>
  <si>
    <t xml:space="preserve">c.7906G&gt;T</t>
  </si>
  <si>
    <t xml:space="preserve">p.Gly2636Cys</t>
  </si>
  <si>
    <t xml:space="preserve">NP_733751.2:p.Gly2636Cys</t>
  </si>
  <si>
    <t xml:space="preserve">NM_170606.3:c.7906G&gt;T</t>
  </si>
  <si>
    <t xml:space="preserve">KMT2C missense_variant in exon 38
HGVSc: c.7906G&gt;T
HGVSp: p.Gly2636Cys
Allele Frequency (VAF): 5.5%</t>
  </si>
  <si>
    <t xml:space="preserve">c.7443-16_7443-5del</t>
  </si>
  <si>
    <t xml:space="preserve">NM_170606.3:c.7443-16_7443-5del</t>
  </si>
  <si>
    <t xml:space="preserve">KMT2C intron_variant&amp;splice_region_variant in intron 37
HGVSc: c.7443-16_7443-5del
HGVSp: nan
Allele Frequency (VAF): 3.8%</t>
  </si>
  <si>
    <t xml:space="preserve">c.8389_8390del</t>
  </si>
  <si>
    <t xml:space="preserve">p.Lys2797GlyfsTer11</t>
  </si>
  <si>
    <t xml:space="preserve">NP_733751.2:p.Lys2797GlyfsTer11</t>
  </si>
  <si>
    <t xml:space="preserve">NM_170606.3:c.8389_8390del</t>
  </si>
  <si>
    <t xml:space="preserve">KMT2C frameshift_variant in exon 38
HGVSc: c.8389_8390del
HGVSp: p.Lys2797GlyfsTer11
Allele Frequency (VAF): 11.0%</t>
  </si>
  <si>
    <t xml:space="preserve">c.7443-15_7443-6del</t>
  </si>
  <si>
    <t xml:space="preserve">NM_170606.3:c.7443-15_7443-6del</t>
  </si>
  <si>
    <t xml:space="preserve">KMT2C-related_disorder&amp;not_provided</t>
  </si>
  <si>
    <t xml:space="preserve">KMT2C intron_variant&amp;splice_region_variant in intron 37
HGVSc: c.7443-15_7443-6del
HGVSp: nan
dbSNP: rs746018833
Allele Frequency (VAF): 26.6%</t>
  </si>
  <si>
    <t xml:space="preserve">14/59</t>
  </si>
  <si>
    <t xml:space="preserve">c.2388G&gt;A</t>
  </si>
  <si>
    <t xml:space="preserve">p.Met796Ile</t>
  </si>
  <si>
    <t xml:space="preserve">NP_733751.2:p.Met796Ile</t>
  </si>
  <si>
    <t xml:space="preserve">NM_170606.3:c.2388G&gt;A</t>
  </si>
  <si>
    <t xml:space="preserve">KMT2C missense_variant in exon 14
HGVSc: c.2388G&gt;A
HGVSp: p.Met796Ile
Allele Frequency (VAF): 15.3%</t>
  </si>
  <si>
    <t xml:space="preserve">9/59</t>
  </si>
  <si>
    <t xml:space="preserve">c.1256A&gt;G</t>
  </si>
  <si>
    <t xml:space="preserve">p.Gln419Arg</t>
  </si>
  <si>
    <t xml:space="preserve">NP_733751.2:p.Gln419Arg</t>
  </si>
  <si>
    <t xml:space="preserve">NM_170606.3:c.1256A&gt;G</t>
  </si>
  <si>
    <t xml:space="preserve">Kleefstra_syndrome_2</t>
  </si>
  <si>
    <t xml:space="preserve">KMT2C missense_variant in exon 9
HGVSc: c.1256A&gt;G
HGVSp: p.Gln419Arg
Allele Frequency (VAF): 6.8%</t>
  </si>
  <si>
    <t xml:space="preserve">c.7443-17_7443-6del</t>
  </si>
  <si>
    <t xml:space="preserve">NM_170606.3:c.7443-17_7443-6del</t>
  </si>
  <si>
    <t xml:space="preserve">5/1706</t>
  </si>
  <si>
    <t xml:space="preserve">KMT2C intron_variant&amp;splice_region_variant in intron 37
HGVSc: c.7443-17_7443-6del
HGVSp: nan
dbSNP: rs746018833
Allele Frequency (VAF): 18.6%</t>
  </si>
  <si>
    <t xml:space="preserve">18/59</t>
  </si>
  <si>
    <t xml:space="preserve">c.2968A&gt;G</t>
  </si>
  <si>
    <t xml:space="preserve">p.Ser990Gly</t>
  </si>
  <si>
    <t xml:space="preserve">NP_733751.2:p.Ser990Gly</t>
  </si>
  <si>
    <t xml:space="preserve">NM_170606.3:c.2968A&gt;G</t>
  </si>
  <si>
    <t xml:space="preserve">clustered_events;map_qual</t>
  </si>
  <si>
    <t xml:space="preserve">594/1706</t>
  </si>
  <si>
    <t xml:space="preserve">KMT2C missense_variant in exon 18
HGVSc: c.2968A&gt;G
HGVSp: p.Ser990Gly
dbSNP: rs79608986
Allele Frequency (VAF): 3.6%</t>
  </si>
  <si>
    <t xml:space="preserve">c.3434-9dup</t>
  </si>
  <si>
    <t xml:space="preserve">NM_170606.3:c.3434-9dup</t>
  </si>
  <si>
    <t xml:space="preserve">KMT2C intron_variant in intron 21
HGVSc: c.3434-9dup
HGVSp: nan
dbSNP: rs761294296
Allele Frequency (VAF): 5.7%</t>
  </si>
  <si>
    <t xml:space="preserve">c.3434-9del</t>
  </si>
  <si>
    <t xml:space="preserve">NM_170606.3:c.3434-9del</t>
  </si>
  <si>
    <t xml:space="preserve">KMT2C intron_variant in intron 21
HGVSc: c.3434-9del
HGVSp: nan
dbSNP: rs761294296
Allele Frequency (VAF): 62.7%</t>
  </si>
  <si>
    <t xml:space="preserve">c.2872-15T&gt;C</t>
  </si>
  <si>
    <t xml:space="preserve">NM_170606.3:c.2872-15T&gt;C</t>
  </si>
  <si>
    <t xml:space="preserve">KMT2C intron_variant in intron 17
HGVSc: c.2872-15T&gt;C
HGVSp: nan
dbSNP: rs62481502
Allele Frequency (VAF): 29.3%</t>
  </si>
  <si>
    <t xml:space="preserve">c.2653-15C&gt;T</t>
  </si>
  <si>
    <t xml:space="preserve">NM_170606.3:c.2653-15C&gt;T</t>
  </si>
  <si>
    <t xml:space="preserve">clustered_events;haplotype;map_qual</t>
  </si>
  <si>
    <t xml:space="preserve">KMT2C intron_variant in intron 15
HGVSc: c.2653-15C&gt;T
HGVSp: nan
dbSNP: rs113470386
Allele Frequency (VAF): 4.6%</t>
  </si>
  <si>
    <t xml:space="preserve">c.162-9_162-7del</t>
  </si>
  <si>
    <t xml:space="preserve">NM_170606.3:c.162-9_162-7del</t>
  </si>
  <si>
    <t xml:space="preserve">KMT2C intron_variant&amp;splice_region_variant in intron 1
HGVSc: c.162-9_162-7del
HGVSp: nan
Allele Frequency (VAF): 10.2%</t>
  </si>
  <si>
    <t xml:space="preserve">26/59</t>
  </si>
  <si>
    <t xml:space="preserve">c.4030del</t>
  </si>
  <si>
    <t xml:space="preserve">p.Ile1344Ter</t>
  </si>
  <si>
    <t xml:space="preserve">NP_733751.2:p.Ile1344Ter</t>
  </si>
  <si>
    <t xml:space="preserve">NM_170606.3:c.4030del</t>
  </si>
  <si>
    <t xml:space="preserve">KMT2C frameshift_variant in exon 26
HGVSc: c.4030del
HGVSp: p.Ile1344Ter
Allele Frequency (VAF): 7.2%</t>
  </si>
  <si>
    <t xml:space="preserve">c.4508-14_4508-13del</t>
  </si>
  <si>
    <t xml:space="preserve">NM_170606.3:c.4508-14_4508-13del</t>
  </si>
  <si>
    <t xml:space="preserve">KMT2C intron_variant in intron 29
HGVSc: c.4508-14_4508-13del
HGVSp: nan
dbSNP: rs749505031
Allele Frequency (VAF): 39.6%</t>
  </si>
  <si>
    <t xml:space="preserve">c.162-8_162-7del</t>
  </si>
  <si>
    <t xml:space="preserve">NM_170606.3:c.162-8_162-7del</t>
  </si>
  <si>
    <t xml:space="preserve">KMT2C intron_variant&amp;splice_region_variant in intron 1
HGVSc: c.162-8_162-7del
HGVSp: nan
dbSNP: rs376309362
Allele Frequency (VAF): 19.2%</t>
  </si>
  <si>
    <t xml:space="preserve">c.7443-13_7443-6del</t>
  </si>
  <si>
    <t xml:space="preserve">NM_170606.3:c.7443-13_7443-6del</t>
  </si>
  <si>
    <t xml:space="preserve">KMT2C intron_variant&amp;splice_region_variant in intron 37
HGVSc: c.7443-13_7443-6del
HGVSp: nan
dbSNP: rs746018833
Allele Frequency (VAF): 3.5%</t>
  </si>
  <si>
    <t xml:space="preserve">c.1013-15C&gt;T</t>
  </si>
  <si>
    <t xml:space="preserve">NM_170606.3:c.1013-15C&gt;T</t>
  </si>
  <si>
    <t xml:space="preserve">clustered_events;map_qual;strand_bias</t>
  </si>
  <si>
    <t xml:space="preserve">KMT2C intron_variant in intron 7
HGVSc: c.1013-15C&gt;T
HGVSp: nan
dbSNP: rs201948579
Allele Frequency (VAF): 9.0%</t>
  </si>
  <si>
    <t xml:space="preserve">KRAS</t>
  </si>
  <si>
    <t xml:space="preserve">B-/T-ALL&amp;BNHL&amp;CLL/MCL&amp;Histiocytosis&amp;Myeloid&amp;PCD&amp;TNHL</t>
  </si>
  <si>
    <t xml:space="preserve">NM_004985.5</t>
  </si>
  <si>
    <t xml:space="preserve">2/5</t>
  </si>
  <si>
    <t xml:space="preserve">c.35G&gt;A</t>
  </si>
  <si>
    <t xml:space="preserve">p.Gly12Asp</t>
  </si>
  <si>
    <t xml:space="preserve">NP_004976.2:p.Gly12Asp</t>
  </si>
  <si>
    <t xml:space="preserve">NM_004985.5:c.35G&gt;A</t>
  </si>
  <si>
    <t xml:space="preserve">Acute_myeloid_leukemia&amp;Atypical_endometrial_hyperplasia&amp;Autoimmune_lymphoproliferative_syndrome_type_4&amp;Capillary_malformation-arteriovenous_malformation_1&amp;Carcinoma_of_pancreas&amp;Cardiofaciocutaneous_syndrome_2&amp;Cardiovascular_phenotype&amp;Cerebral_arteriovenous_malformation&amp;Congenital_Pulmonary_Airway_Malformations&amp;Encephalocraniocutaneous_lipomatosis&amp;Endometrial_hyperplasia_without_atypia&amp;Epidermal_nevus&amp;Familial_cancer_of_breast&amp;Familial_pancreatic_carcinoma&amp;Gastric_cancer&amp;Juvenile_myelomonocytic_leukemia&amp;Linear_nevus_sebaceous_syndrome&amp;Lung_cancer&amp;Malignant_tumor_of_urinary_bladder&amp;Nevus_sebaceous&amp;Non-small_cell_lung_carcinoma&amp;Noonan_syndrome_3&amp;Ovarian_neoplasm&amp;Primary_low_grade_serous_adenocarcinoma_of_ovary&amp;RASopathy&amp;Toriello-Lacassie-Droste_syndrome&amp;Vascular_Tumors_Including_Pyogenic_Granuloma&amp;not_provided</t>
  </si>
  <si>
    <t xml:space="preserve">8/1706</t>
  </si>
  <si>
    <t xml:space="preserve">24250K0058</t>
  </si>
  <si>
    <t xml:space="preserve">KRAS missense_variant in exon 2
HGVSc: c.35G&gt;A
HGVSp: p.Gly12Asp
dbSNP: rs121913529
Allele Frequency (VAF): 5.0%</t>
  </si>
  <si>
    <t xml:space="preserve">c.38G&gt;A</t>
  </si>
  <si>
    <t xml:space="preserve">p.Gly13Asp</t>
  </si>
  <si>
    <t xml:space="preserve">NP_004976.2:p.Gly13Asp</t>
  </si>
  <si>
    <t xml:space="preserve">NM_004985.5:c.38G&gt;A</t>
  </si>
  <si>
    <t xml:space="preserve">Autoimmune_lymphoproliferative_syndrome_type_4&amp;Breast_adenocarcinoma&amp;Encephalocraniocutaneous_lipomatosis&amp;Familial_pancreatic_carcinoma&amp;Inborn_genetic_diseases&amp;Juvenile_myelomonocytic_leukemia&amp;KRAS-related_disorder&amp;Nevus_sebaceous&amp;Non-small_cell_lung_carcinoma&amp;Noonan_syndrome_and_Noonan-related_syndrome&amp;OCULOECTODERMAL_SYNDROME&amp;RASopathy&amp;_SOMATIC&amp;not_provided</t>
  </si>
  <si>
    <t xml:space="preserve">9/1706</t>
  </si>
  <si>
    <t xml:space="preserve">2024-09-12</t>
  </si>
  <si>
    <t xml:space="preserve">24215K0058</t>
  </si>
  <si>
    <t xml:space="preserve">oncogenic(18)</t>
  </si>
  <si>
    <t xml:space="preserve">KRAS missense_variant in exon 2
HGVSc: c.38G&gt;A
HGVSp: p.Gly13Asp
dbSNP: rs112445441
Allele Frequency (VAF): 14.1%</t>
  </si>
  <si>
    <t xml:space="preserve">c.290+19T&gt;G</t>
  </si>
  <si>
    <t xml:space="preserve">NM_004985.5:c.290+19T&gt;G</t>
  </si>
  <si>
    <t xml:space="preserve">KRAS intron_variant in intron 3
HGVSc: c.290+19T&gt;G
HGVSp: nan
Allele Frequency (VAF): 7.3%</t>
  </si>
  <si>
    <t xml:space="preserve">c.291-10del</t>
  </si>
  <si>
    <t xml:space="preserve">NM_004985.5:c.291-10del</t>
  </si>
  <si>
    <t xml:space="preserve">KRAS-related_disorder&amp;RASopathy&amp;not_specified</t>
  </si>
  <si>
    <t xml:space="preserve">KRAS intron_variant in intron 3
HGVSc: c.291-10del
HGVSp: nan
dbSNP: rs727503991
Allele Frequency (VAF): 9.2%</t>
  </si>
  <si>
    <t xml:space="preserve">LUC7L2</t>
  </si>
  <si>
    <t xml:space="preserve">NM_016019.5</t>
  </si>
  <si>
    <t xml:space="preserve">c.780-13T&gt;C</t>
  </si>
  <si>
    <t xml:space="preserve">NM_016019.5:c.780-13T&gt;C</t>
  </si>
  <si>
    <t xml:space="preserve">LUC7L2 intron_variant in intron 7
HGVSc: c.780-13T&gt;C
HGVSp: nan
dbSNP: rs771942830
Allele Frequency (VAF): 34.7%</t>
  </si>
  <si>
    <t xml:space="preserve">c.780-5_780-3del</t>
  </si>
  <si>
    <t xml:space="preserve">NM_016019.5:c.780-5_780-3del</t>
  </si>
  <si>
    <t xml:space="preserve">LUC7L2 intron_variant&amp;splice_region_variant in intron 7
HGVSc: c.780-5_780-3del
HGVSp: nan
dbSNP: rs1554397384
Allele Frequency (VAF): 13.1%</t>
  </si>
  <si>
    <t xml:space="preserve">c.780-12T&gt;C</t>
  </si>
  <si>
    <t xml:space="preserve">NM_016019.5:c.780-12T&gt;C</t>
  </si>
  <si>
    <t xml:space="preserve">LUC7L2 intron_variant in intron 7
HGVSc: c.780-12T&gt;C
HGVSp: nan
dbSNP: rs760503695
Allele Frequency (VAF): 4.5%</t>
  </si>
  <si>
    <t xml:space="preserve">c.780-11T&gt;C</t>
  </si>
  <si>
    <t xml:space="preserve">NM_016019.5:c.780-11T&gt;C</t>
  </si>
  <si>
    <t xml:space="preserve">LUC7L2 intron_variant in intron 7
HGVSc: c.780-11T&gt;C
HGVSp: nan
Allele Frequency (VAF): 4.9%</t>
  </si>
  <si>
    <t xml:space="preserve">c.780-4_780-3del</t>
  </si>
  <si>
    <t xml:space="preserve">NM_016019.5:c.780-4_780-3del</t>
  </si>
  <si>
    <t xml:space="preserve">LUC7L2 intron_variant&amp;splice_region_variant in intron 7
HGVSc: c.780-4_780-3del
HGVSp: nan
dbSNP: rs1554397384
Allele Frequency (VAF): 8.3%</t>
  </si>
  <si>
    <t xml:space="preserve">MAP2K1</t>
  </si>
  <si>
    <t xml:space="preserve">BNHL&amp;Histiocytosis</t>
  </si>
  <si>
    <t xml:space="preserve">NM_002755.4</t>
  </si>
  <si>
    <t xml:space="preserve">2/11</t>
  </si>
  <si>
    <t xml:space="preserve">c.167A&gt;C</t>
  </si>
  <si>
    <t xml:space="preserve">p.Gln56Pro</t>
  </si>
  <si>
    <t xml:space="preserve">NP_002746.1:p.Gln56Pro</t>
  </si>
  <si>
    <t xml:space="preserve">NM_002755.4:c.167A&gt;C</t>
  </si>
  <si>
    <t xml:space="preserve">Extracranial_arteriovenous_malformation&amp;Melorheostosis&amp;Non-small_cell_lung_carcinoma&amp;not_provided</t>
  </si>
  <si>
    <t xml:space="preserve">4/1706</t>
  </si>
  <si>
    <t xml:space="preserve">24005K0070</t>
  </si>
  <si>
    <t xml:space="preserve">oncogenic(1)</t>
  </si>
  <si>
    <t xml:space="preserve">MAP2K1 missense_variant in exon 2
HGVSc: c.167A&gt;C
HGVSp: p.Gln56Pro
dbSNP: rs1057519729
Allele Frequency (VAF): 31.7%</t>
  </si>
  <si>
    <t xml:space="preserve">3/11</t>
  </si>
  <si>
    <t xml:space="preserve">c.355C&gt;T</t>
  </si>
  <si>
    <t xml:space="preserve">p.His119Tyr</t>
  </si>
  <si>
    <t xml:space="preserve">NP_002746.1:p.His119Tyr</t>
  </si>
  <si>
    <t xml:space="preserve">NM_002755.4:c.355C&gt;T</t>
  </si>
  <si>
    <t xml:space="preserve">Cardiofaciocutaneous_syndrome_3&amp;MAP2K1-related_disorder&amp;MAP2K1-related_rasopathy-like_syndrome&amp;RASopathy&amp;not_provided</t>
  </si>
  <si>
    <t xml:space="preserve">MAP2K1 missense_variant in exon 3
HGVSc: c.355C&gt;T
HGVSp: p.His119Tyr
dbSNP: rs730880503
Allele Frequency (VAF): 31.4%</t>
  </si>
  <si>
    <t xml:space="preserve">10/11</t>
  </si>
  <si>
    <t xml:space="preserve">c.1052A&gt;G</t>
  </si>
  <si>
    <t xml:space="preserve">p.Asp351Gly</t>
  </si>
  <si>
    <t xml:space="preserve">NP_002746.1:p.Asp351Gly</t>
  </si>
  <si>
    <t xml:space="preserve">NM_002755.4:c.1052A&gt;G</t>
  </si>
  <si>
    <t xml:space="preserve">MAP2K1 missense_variant in exon 10
HGVSc: c.1052A&gt;G
HGVSp: p.Asp351Gly
Allele Frequency (VAF): 31.4%</t>
  </si>
  <si>
    <t xml:space="preserve">MAP3K1</t>
  </si>
  <si>
    <t xml:space="preserve">NM_005921.2</t>
  </si>
  <si>
    <t xml:space="preserve">5/20</t>
  </si>
  <si>
    <t xml:space="preserve">c.1051C&gt;T</t>
  </si>
  <si>
    <t xml:space="preserve">p.Arg351Cys</t>
  </si>
  <si>
    <t xml:space="preserve">NP_005912.1:p.Arg351Cys</t>
  </si>
  <si>
    <t xml:space="preserve">NM_005921.2:c.1051C&gt;T</t>
  </si>
  <si>
    <t xml:space="preserve">Inborn_genetic_diseases</t>
  </si>
  <si>
    <t xml:space="preserve">MAP3K1 missense_variant in exon 5
HGVSc: c.1051C&gt;T
HGVSp: p.Arg351Cys
dbSNP: rs370499041
Allele Frequency (VAF): 10.6%</t>
  </si>
  <si>
    <t xml:space="preserve">14/20</t>
  </si>
  <si>
    <t xml:space="preserve">c.2557C&gt;T</t>
  </si>
  <si>
    <t xml:space="preserve">p.Arg853Cys</t>
  </si>
  <si>
    <t xml:space="preserve">NP_005912.1:p.Arg853Cys</t>
  </si>
  <si>
    <t xml:space="preserve">NM_005921.2:c.2557C&gt;T</t>
  </si>
  <si>
    <t xml:space="preserve">MAP3K1 missense_variant in exon 14
HGVSc: c.2557C&gt;T
HGVSp: p.Arg853Cys
dbSNP: rs368201444
Allele Frequency (VAF): 6.8%</t>
  </si>
  <si>
    <t xml:space="preserve">c.2842_2847del</t>
  </si>
  <si>
    <t xml:space="preserve">p.Thr948_Thr949del</t>
  </si>
  <si>
    <t xml:space="preserve">NP_005912.1:p.Thr948_Thr949del</t>
  </si>
  <si>
    <t xml:space="preserve">NM_005921.2:c.2842_2847del</t>
  </si>
  <si>
    <t xml:space="preserve">MAP3K1 inframe_deletion in exon 14
HGVSc: c.2842_2847del
HGVSp: p.Thr948_Thr949del
dbSNP: rs5868032
Allele Frequency (VAF): 4.5%</t>
  </si>
  <si>
    <t xml:space="preserve">MEF2B</t>
  </si>
  <si>
    <t xml:space="preserve">NM_001145785.2</t>
  </si>
  <si>
    <t xml:space="preserve">9/9</t>
  </si>
  <si>
    <t xml:space="preserve">c.944dup</t>
  </si>
  <si>
    <t xml:space="preserve">p.Val316SerfsTer6</t>
  </si>
  <si>
    <t xml:space="preserve">NP_001139257.1:p.Val316SerfsTer6</t>
  </si>
  <si>
    <t xml:space="preserve">NM_001145785.2:c.944dup</t>
  </si>
  <si>
    <t xml:space="preserve">MEF2B frameshift_variant in exon 9
HGVSc: c.944dup
HGVSp: p.Val316SerfsTer6
dbSNP: rs1202792889
Allele Frequency (VAF): 5.5%</t>
  </si>
  <si>
    <t xml:space="preserve">NF1</t>
  </si>
  <si>
    <t xml:space="preserve">NM_001042492.3</t>
  </si>
  <si>
    <t xml:space="preserve">17/58</t>
  </si>
  <si>
    <t xml:space="preserve">c.1882del</t>
  </si>
  <si>
    <t xml:space="preserve">p.Tyr628ThrfsTer3</t>
  </si>
  <si>
    <t xml:space="preserve">NP_001035957.1:p.Tyr628ThrfsTer3</t>
  </si>
  <si>
    <t xml:space="preserve">NM_001042492.3:c.1882del</t>
  </si>
  <si>
    <t xml:space="preserve">Café-au-lait_macules_with_pulmonary_stenosis&amp;Cardiovascular_phenotype&amp;Hereditary_cancer-predisposing_syndrome&amp;Neurofibromatosis&amp;_type_1&amp;not_provided</t>
  </si>
  <si>
    <t xml:space="preserve">NF1 frameshift_variant in exon 17
HGVSc: c.1882del
HGVSp: p.Tyr628ThrfsTer3
Allele Frequency (VAF): 7.6%</t>
  </si>
  <si>
    <t xml:space="preserve">10/58</t>
  </si>
  <si>
    <t xml:space="preserve">c.1162C&gt;A</t>
  </si>
  <si>
    <t xml:space="preserve">p.Pro388Thr</t>
  </si>
  <si>
    <t xml:space="preserve">NP_001035957.1:p.Pro388Thr</t>
  </si>
  <si>
    <t xml:space="preserve">NM_001042492.3:c.1162C&gt;A</t>
  </si>
  <si>
    <t xml:space="preserve">NF1 missense_variant in exon 10
HGVSc: c.1162C&gt;A
HGVSp: p.Pro388Thr
Allele Frequency (VAF): 7.9%</t>
  </si>
  <si>
    <t xml:space="preserve">c.730+29_730+32del</t>
  </si>
  <si>
    <t xml:space="preserve">NM_001042492.3:c.730+29_730+32del</t>
  </si>
  <si>
    <t xml:space="preserve">NF1 intron_variant in intron 7
HGVSc: c.730+29_730+32del
HGVSp: nan
Allele Frequency (VAF): 17.3%</t>
  </si>
  <si>
    <t xml:space="preserve">c.730+30_730+32del</t>
  </si>
  <si>
    <t xml:space="preserve">NM_001042492.3:c.730+30_730+32del</t>
  </si>
  <si>
    <t xml:space="preserve">NF1 intron_variant in intron 7
HGVSc: c.730+30_730+32del
HGVSp: nan
dbSNP: rs71142032
Allele Frequency (VAF): 21.6%</t>
  </si>
  <si>
    <t xml:space="preserve">18/58</t>
  </si>
  <si>
    <t xml:space="preserve">c.2033del</t>
  </si>
  <si>
    <t xml:space="preserve">p.Pro678ArgfsTer10</t>
  </si>
  <si>
    <t xml:space="preserve">NP_001035957.1:p.Pro678ArgfsTer10</t>
  </si>
  <si>
    <t xml:space="preserve">NM_001042492.3:c.2033del</t>
  </si>
  <si>
    <t xml:space="preserve">Hereditary_cancer-predisposing_syndrome&amp;Juvenile_myelomonocytic_leukemia&amp;NF1-related_disorder&amp;Neurofibromatosis&amp;See_cases&amp;_type_1&amp;not_provided</t>
  </si>
  <si>
    <t xml:space="preserve">24270K0019</t>
  </si>
  <si>
    <t xml:space="preserve">oncogenic(2)</t>
  </si>
  <si>
    <t xml:space="preserve">NF1 frameshift_variant in exon 18
HGVSc: c.2033del
HGVSp: p.Pro678ArgfsTer10
dbSNP: rs587781807
Allele Frequency (VAF): 9.1%</t>
  </si>
  <si>
    <t xml:space="preserve">c.2033dup</t>
  </si>
  <si>
    <t xml:space="preserve">p.Ile679AspfsTer21</t>
  </si>
  <si>
    <t xml:space="preserve">NP_001035957.1:p.Ile679AspfsTer21</t>
  </si>
  <si>
    <t xml:space="preserve">NM_001042492.3:c.2033dup</t>
  </si>
  <si>
    <t xml:space="preserve">Chromosome_17q11.2_deletion_syndrome&amp;Gastric_cancer&amp;Hereditary_cancer-predisposing_syndrome&amp;Juvenile_myelomonocytic_leukemia&amp;NF1-related_disorder&amp;Neurofibromatosis&amp;Tibial_pseudarthrosis&amp;_1.4Mb&amp;_type_1&amp;not_provided</t>
  </si>
  <si>
    <t xml:space="preserve">2024-09-24</t>
  </si>
  <si>
    <t xml:space="preserve">24246K0031</t>
  </si>
  <si>
    <t xml:space="preserve">oncogenic(9)</t>
  </si>
  <si>
    <t xml:space="preserve">NF1 frameshift_variant in exon 18
HGVSc: c.2033dup
HGVSp: p.Ile679AspfsTer21
dbSNP: rs587781807
Allele Frequency (VAF): 9.1%</t>
  </si>
  <si>
    <t xml:space="preserve">c.730+27_730+32del</t>
  </si>
  <si>
    <t xml:space="preserve">NM_001042492.3:c.730+27_730+32del</t>
  </si>
  <si>
    <t xml:space="preserve">NF1 intron_variant in intron 7
HGVSc: c.730+27_730+32del
HGVSp: nan
Allele Frequency (VAF): 19.7%</t>
  </si>
  <si>
    <t xml:space="preserve">c.3198-12_3198-4del</t>
  </si>
  <si>
    <t xml:space="preserve">NM_001042492.3:c.3198-12_3198-4del</t>
  </si>
  <si>
    <t xml:space="preserve">NF1 intron_variant&amp;splice_region_variant in intron 24
HGVSc: c.3198-12_3198-4del
HGVSp: nan
dbSNP: rs371047262
Allele Frequency (VAF): 19.9%</t>
  </si>
  <si>
    <t xml:space="preserve">c.3198-10_3198-4del</t>
  </si>
  <si>
    <t xml:space="preserve">NM_001042492.3:c.3198-10_3198-4del</t>
  </si>
  <si>
    <t xml:space="preserve">Cardiovascular_phenotype&amp;Hereditary_cancer-predisposing_syndrome&amp;Neurofibromatosis&amp;_type_1</t>
  </si>
  <si>
    <t xml:space="preserve">NF1 intron_variant&amp;splice_region_variant in intron 24
HGVSc: c.3198-10_3198-4del
HGVSp: nan
dbSNP: rs371047262
Allele Frequency (VAF): 25.0%</t>
  </si>
  <si>
    <t xml:space="preserve">c.3198-9_3198-4del</t>
  </si>
  <si>
    <t xml:space="preserve">NM_001042492.3:c.3198-9_3198-4del</t>
  </si>
  <si>
    <t xml:space="preserve">NF1-related_disorder</t>
  </si>
  <si>
    <t xml:space="preserve">NF1 intron_variant&amp;splice_region_variant in intron 24
HGVSc: c.3198-9_3198-4del
HGVSp: nan
dbSNP: rs371047262
Allele Frequency (VAF): 15.2%</t>
  </si>
  <si>
    <t xml:space="preserve">c.6007-6A&gt;G</t>
  </si>
  <si>
    <t xml:space="preserve">NM_001042492.3:c.6007-6A&gt;G</t>
  </si>
  <si>
    <t xml:space="preserve">Neurofibromatosis&amp;_type_1</t>
  </si>
  <si>
    <t xml:space="preserve">NF1 intron_variant&amp;splice_region_variant in intron 40
HGVSc: c.6007-6A&gt;G
HGVSp: nan
dbSNP: rs775960363
Allele Frequency (VAF): 10.6%</t>
  </si>
  <si>
    <t xml:space="preserve">47/58</t>
  </si>
  <si>
    <t xml:space="preserve">c.7022del</t>
  </si>
  <si>
    <t xml:space="preserve">p.Asn2341ThrfsTer5</t>
  </si>
  <si>
    <t xml:space="preserve">NP_001035957.1:p.Asn2341ThrfsTer5</t>
  </si>
  <si>
    <t xml:space="preserve">NM_001042492.3:c.7022del</t>
  </si>
  <si>
    <t xml:space="preserve">NF1 frameshift_variant in exon 47
HGVSc: c.7022del
HGVSp: p.Asn2341ThrfsTer5
Allele Frequency (VAF): 7.2%</t>
  </si>
  <si>
    <t xml:space="preserve">c.3198-13_3198-4del</t>
  </si>
  <si>
    <t xml:space="preserve">NM_001042492.3:c.3198-13_3198-4del</t>
  </si>
  <si>
    <t xml:space="preserve">Cardiovascular_phenotype&amp;Hereditary_cancer-predisposing_syndrome&amp;NF1-related_disorder</t>
  </si>
  <si>
    <t xml:space="preserve">NF1 intron_variant&amp;splice_region_variant in intron 24
HGVSc: c.3198-13_3198-4del
HGVSp: nan
dbSNP: rs371047262
Allele Frequency (VAF): 8.4%</t>
  </si>
  <si>
    <t xml:space="preserve">c.730+28_730+32del</t>
  </si>
  <si>
    <t xml:space="preserve">NM_001042492.3:c.730+28_730+32del</t>
  </si>
  <si>
    <t xml:space="preserve">NF1 intron_variant in intron 7
HGVSc: c.730+28_730+32del
HGVSp: nan
Allele Frequency (VAF): 34.5%</t>
  </si>
  <si>
    <t xml:space="preserve">NFE2</t>
  </si>
  <si>
    <t xml:space="preserve">NM_001136023.3</t>
  </si>
  <si>
    <t xml:space="preserve">3/3</t>
  </si>
  <si>
    <t xml:space="preserve">c.661del</t>
  </si>
  <si>
    <t xml:space="preserve">p.Glu221ArgfsTer13</t>
  </si>
  <si>
    <t xml:space="preserve">NP_001129495.1:p.Glu221ArgfsTer13</t>
  </si>
  <si>
    <t xml:space="preserve">NM_001136023.3:c.661del</t>
  </si>
  <si>
    <t xml:space="preserve">NFE2 frameshift_variant in exon 3
HGVSc: c.661del
HGVSp: p.Glu221ArgfsTer13
Allele Frequency (VAF): 10.0%</t>
  </si>
  <si>
    <t xml:space="preserve">NOTCH1</t>
  </si>
  <si>
    <t xml:space="preserve">B-/T-ALL&amp;BNHL&amp;CLL/MCL&amp;Myeloid&amp;TNHL</t>
  </si>
  <si>
    <t xml:space="preserve">NM_017617.5</t>
  </si>
  <si>
    <t xml:space="preserve">34/34</t>
  </si>
  <si>
    <t xml:space="preserve">c.*1246dup</t>
  </si>
  <si>
    <t xml:space="preserve">NM_017617.5:c.*1246dup</t>
  </si>
  <si>
    <t xml:space="preserve">NOTCH1 3_prime_UTR_variant in exon 34
HGVSc: c.*1246dup
HGVSp: nan
dbSNP: rs1369268679
Allele Frequency (VAF): 6.0%</t>
  </si>
  <si>
    <t xml:space="preserve">c.5385-3del</t>
  </si>
  <si>
    <t xml:space="preserve">NM_017617.5:c.5385-3del</t>
  </si>
  <si>
    <t xml:space="preserve">NO</t>
  </si>
  <si>
    <t xml:space="preserve">-3 is not canonical</t>
  </si>
  <si>
    <t xml:space="preserve">NOTCH1 intron_variant&amp;splice_region_variant in intron 28
HGVSc: c.5385-3del
HGVSp: nan
dbSNP: rs1256851442
Allele Frequency (VAF): 6.8%</t>
  </si>
  <si>
    <t xml:space="preserve">28/34</t>
  </si>
  <si>
    <t xml:space="preserve">c.5362G&gt;A</t>
  </si>
  <si>
    <t xml:space="preserve">p.Gly1788Ser</t>
  </si>
  <si>
    <t xml:space="preserve">NP_060087.3:p.Gly1788Ser</t>
  </si>
  <si>
    <t xml:space="preserve">NM_017617.5:c.5362G&gt;A</t>
  </si>
  <si>
    <t xml:space="preserve">Adams-Oliver_syndrome_5&amp;not_provided</t>
  </si>
  <si>
    <t xml:space="preserve">NOTCH1 missense_variant in exon 28
HGVSc: c.5362G&gt;A
HGVSp: p.Gly1788Ser
Allele Frequency (VAF): 30.3%</t>
  </si>
  <si>
    <t xml:space="preserve">23/34</t>
  </si>
  <si>
    <t xml:space="preserve">c.3758G&gt;A</t>
  </si>
  <si>
    <t xml:space="preserve">p.Cys1253Tyr</t>
  </si>
  <si>
    <t xml:space="preserve">NP_060087.3:p.Cys1253Tyr</t>
  </si>
  <si>
    <t xml:space="preserve">NM_017617.5:c.3758G&gt;A</t>
  </si>
  <si>
    <t xml:space="preserve">NOTCH1 missense_variant in exon 23
HGVSc: c.3758G&gt;A
HGVSp: p.Cys1253Tyr
Allele Frequency (VAF): 8.7%</t>
  </si>
  <si>
    <t xml:space="preserve">22/34</t>
  </si>
  <si>
    <t xml:space="preserve">c.3583G&gt;A</t>
  </si>
  <si>
    <t xml:space="preserve">p.Gly1195Arg</t>
  </si>
  <si>
    <t xml:space="preserve">NP_060087.3:p.Gly1195Arg</t>
  </si>
  <si>
    <t xml:space="preserve">NM_017617.5:c.3583G&gt;A</t>
  </si>
  <si>
    <t xml:space="preserve">Adams-Oliver_syndrome_5</t>
  </si>
  <si>
    <t xml:space="preserve">uncertain_significance</t>
  </si>
  <si>
    <t xml:space="preserve">2024-05-20</t>
  </si>
  <si>
    <t xml:space="preserve">24122K0065</t>
  </si>
  <si>
    <t xml:space="preserve">uncertain_significance(1)</t>
  </si>
  <si>
    <t xml:space="preserve">NOTCH1 missense_variant in exon 22
HGVSc: c.3583G&gt;A
HGVSp: p.Gly1195Arg
dbSNP: rs777194812
Allele Frequency (VAF): 8.4%</t>
  </si>
  <si>
    <t xml:space="preserve">18/34</t>
  </si>
  <si>
    <t xml:space="preserve">c.2744C&gt;T</t>
  </si>
  <si>
    <t xml:space="preserve">p.Pro915Leu</t>
  </si>
  <si>
    <t xml:space="preserve">NP_060087.3:p.Pro915Leu</t>
  </si>
  <si>
    <t xml:space="preserve">NM_017617.5:c.2744C&gt;T</t>
  </si>
  <si>
    <t xml:space="preserve">Adams-Oliver_syndrome_5&amp;Familial_thoracic_aortic_aneurysm_and_aortic_dissection</t>
  </si>
  <si>
    <t xml:space="preserve">NOTCH1 missense_variant in exon 18
HGVSc: c.2744C&gt;T
HGVSp: p.Pro915Leu
dbSNP: rs755058802
Allele Frequency (VAF): 9.9%</t>
  </si>
  <si>
    <t xml:space="preserve">3/34</t>
  </si>
  <si>
    <t xml:space="preserve">c.344del</t>
  </si>
  <si>
    <t xml:space="preserve">p.Gly115AlafsTer8</t>
  </si>
  <si>
    <t xml:space="preserve">NP_060087.3:p.Gly115AlafsTer8</t>
  </si>
  <si>
    <t xml:space="preserve">NM_017617.5:c.344del</t>
  </si>
  <si>
    <t xml:space="preserve">Yes</t>
  </si>
  <si>
    <t xml:space="preserve">NOTCH1 frameshift_variant in exon 3
HGVSc: c.344del
HGVSp: p.Gly115AlafsTer8
Allele Frequency (VAF): 8.8%</t>
  </si>
  <si>
    <t xml:space="preserve">12/34</t>
  </si>
  <si>
    <t xml:space="preserve">c.2002C&gt;T</t>
  </si>
  <si>
    <t xml:space="preserve">p.Pro668Ser</t>
  </si>
  <si>
    <t xml:space="preserve">NP_060087.3:p.Pro668Ser</t>
  </si>
  <si>
    <t xml:space="preserve">NM_017617.5:c.2002C&gt;T</t>
  </si>
  <si>
    <t xml:space="preserve">NOTCH1 missense_variant in exon 12
HGVSc: c.2002C&gt;T
HGVSp: p.Pro668Ser
dbSNP: rs780810308
Allele Frequency (VAF): 28.8%</t>
  </si>
  <si>
    <t xml:space="preserve">NPM1</t>
  </si>
  <si>
    <t xml:space="preserve">NM_002520.7</t>
  </si>
  <si>
    <t xml:space="preserve">c.847-8_847-5del</t>
  </si>
  <si>
    <t xml:space="preserve">NM_002520.7:c.847-8_847-5del</t>
  </si>
  <si>
    <t xml:space="preserve">NPM1 intron_variant&amp;splice_region_variant in intron 10
HGVSc: c.847-8_847-5del
HGVSp: nan
dbSNP: rs34323200
Allele Frequency (VAF): 3.2%</t>
  </si>
  <si>
    <t xml:space="preserve">c.139-10_139-9del</t>
  </si>
  <si>
    <t xml:space="preserve">NM_002520.7:c.139-10_139-9del</t>
  </si>
  <si>
    <t xml:space="preserve">NPM1 intron_variant in intron 2
HGVSc: c.139-10_139-9del
HGVSp: nan
dbSNP: rs752582321
Allele Frequency (VAF): 33.2%</t>
  </si>
  <si>
    <t xml:space="preserve">c.847-7_847-5del</t>
  </si>
  <si>
    <t xml:space="preserve">NM_002520.7:c.847-7_847-5del</t>
  </si>
  <si>
    <t xml:space="preserve">NPM1 intron_variant&amp;splice_region_variant in intron 10
HGVSc: c.847-7_847-5del
HGVSp: nan
dbSNP: rs34323200
Allele Frequency (VAF): 50.6%</t>
  </si>
  <si>
    <t xml:space="preserve">NRAS</t>
  </si>
  <si>
    <t xml:space="preserve">NM_002524.5</t>
  </si>
  <si>
    <t xml:space="preserve">3/7</t>
  </si>
  <si>
    <t xml:space="preserve">c.181C&gt;A</t>
  </si>
  <si>
    <t xml:space="preserve">p.Gln61Lys</t>
  </si>
  <si>
    <t xml:space="preserve">NP_002515.1:p.Gln61Lys</t>
  </si>
  <si>
    <t xml:space="preserve">NM_002524.5:c.181C&gt;A</t>
  </si>
  <si>
    <t xml:space="preserve">Colorectal_cancer&amp;Epidermal_nevus&amp;Large_congenital_melanocytic_nevus&amp;Neurocutaneous_melanocytosis&amp;RASopathy&amp;Ras_Inhibitor_response&amp;Vascular_Tumors_Including_Pyogenic_Granuloma&amp;not_provided</t>
  </si>
  <si>
    <t xml:space="preserve">2023-09-07</t>
  </si>
  <si>
    <t xml:space="preserve">23228Z0007</t>
  </si>
  <si>
    <t xml:space="preserve">NRAS missense_variant in exon 3
HGVSc: c.181C&gt;A
HGVSp: p.Gln61Lys
dbSNP: rs121913254
Allele Frequency (VAF): 13.1%</t>
  </si>
  <si>
    <t xml:space="preserve">NTRK1</t>
  </si>
  <si>
    <t xml:space="preserve">NM_002529.4</t>
  </si>
  <si>
    <t xml:space="preserve">14/17</t>
  </si>
  <si>
    <t xml:space="preserve">c.1753del</t>
  </si>
  <si>
    <t xml:space="preserve">p.Leu585CysfsTer73</t>
  </si>
  <si>
    <t xml:space="preserve">NP_002520.2:p.Leu585CysfsTer73</t>
  </si>
  <si>
    <t xml:space="preserve">NM_002529.4:c.1753del</t>
  </si>
  <si>
    <t xml:space="preserve">NTRK1 frameshift_variant in exon 14
HGVSc: c.1753del
HGVSp: p.Leu585CysfsTer73
Allele Frequency (VAF): 32.4%</t>
  </si>
  <si>
    <t xml:space="preserve">PIGA</t>
  </si>
  <si>
    <t xml:space="preserve">NM_002641.4</t>
  </si>
  <si>
    <t xml:space="preserve">c.792G&gt;T</t>
  </si>
  <si>
    <t xml:space="preserve">p.Glu264Asp</t>
  </si>
  <si>
    <t xml:space="preserve">NP_002632.1:p.Glu264Asp</t>
  </si>
  <si>
    <t xml:space="preserve">NM_002641.4:c.792G&gt;T</t>
  </si>
  <si>
    <t xml:space="preserve">PIGA missense_variant in exon 3
HGVSc: c.792G&gt;T
HGVSp: p.Glu264Asp
Allele Frequency (VAF): 19.7%</t>
  </si>
  <si>
    <t xml:space="preserve">PIK3CA</t>
  </si>
  <si>
    <t xml:space="preserve">NM_006218.4</t>
  </si>
  <si>
    <t xml:space="preserve">21/21</t>
  </si>
  <si>
    <t xml:space="preserve">c.3140A&gt;G</t>
  </si>
  <si>
    <t xml:space="preserve">p.His1047Arg</t>
  </si>
  <si>
    <t xml:space="preserve">NP_006209.2:p.His1047Arg</t>
  </si>
  <si>
    <t xml:space="preserve">NM_006218.4:c.3140A&gt;G</t>
  </si>
  <si>
    <t xml:space="preserve">Abnormal_cardiovascular_system_morphology&amp;Breast_adenocarcinoma&amp;Breast_carcinoma&amp;CEREBRAL_CAVERNOUS_MALFORMATIONS_4&amp;CLAPO_syndrome&amp;CLOVES_syndrome&amp;Carcinoma_of_colon&amp;Cerebrofacial_Vascular_Metameric_Syndrome_(CVMS)&amp;Congenital_macrodactylia&amp;Gastric_cancer&amp;Hepatocellular_carcinoma&amp;Klippel-Trenaunay-like-Syndrome&amp;Lip_and_oral_cavity_carcinoma&amp;MACRODACTYLY&amp;Megalencephaly-capillary_malformation-polymicrogyria_syndrome&amp;Non-small_cell_lung_carcinoma&amp;OVARIAN_CANCER&amp;Ovarian_neoplasm&amp;Overgrowth_syndrome_and/or_cerebral_malformations_due_to_abnormalities_in_MTOR_pathway_genes&amp;PIK3CA-Related_Overgrowth_Spectrum_Disorders&amp;PIK3CA-related_disorder&amp;PIK3CA_related_overgrowth_syndrome&amp;Rare_combined_vascular_malformation&amp;Rare_venous_malformation&amp;Rosette-forming_glioneuronal_tumor&amp;Seborrheic_keratosis&amp;Segmental_undergrowth_associated_with_lymphatic_malformation&amp;Segmental_undergrowth_associated_with_mainly_venous_malformation_with_capillary_component&amp;_EPITHELIAL&amp;_SOMATIC&amp;not_provided</t>
  </si>
  <si>
    <t xml:space="preserve">PIK3CA missense_variant in exon 21
HGVSc: c.3140A&gt;G
HGVSp: p.His1047Arg
dbSNP: rs121913279
Allele Frequency (VAF): 17.0%</t>
  </si>
  <si>
    <t xml:space="preserve">19/21</t>
  </si>
  <si>
    <t xml:space="preserve">c.2740G&gt;A</t>
  </si>
  <si>
    <t xml:space="preserve">p.Gly914Arg</t>
  </si>
  <si>
    <t xml:space="preserve">NP_006209.2:p.Gly914Arg</t>
  </si>
  <si>
    <t xml:space="preserve">NM_006218.4:c.2740G&gt;A</t>
  </si>
  <si>
    <t xml:space="preserve">Abnormal_cardiovascular_system_morphology&amp;Abnormal_cerebral_morphology&amp;Angioosteohypertrophic_syndrome&amp;CLOVES_syndrome&amp;Cowden_syndrome&amp;Cowden_syndrome_5&amp;Inborn_genetic_diseases&amp;Megalencephaly-capillary_malformation-polymicrogyria_syndrome&amp;Overgrowth_syndrome_and/or_cerebral_malformations_due_to_abnormalities_in_MTOR_pathway_genes&amp;PIK3C1-related_disorder&amp;PIK3CA-related_disorder&amp;PIK3CA_related_overgrowth_syndrome&amp;not_provided</t>
  </si>
  <si>
    <t xml:space="preserve">PIK3CA missense_variant in exon 19
HGVSc: c.2740G&gt;A
HGVSp: p.Gly914Arg
dbSNP: rs587776932
Allele Frequency (VAF): 31.4%</t>
  </si>
  <si>
    <t xml:space="preserve">c.2188-7del</t>
  </si>
  <si>
    <t xml:space="preserve">NM_006218.4:c.2188-7del</t>
  </si>
  <si>
    <t xml:space="preserve">PIK3CA intron_variant&amp;splice_region_variant in intron 14
HGVSc: c.2188-7del
HGVSp: nan
dbSNP: rs35213509
Allele Frequency (VAF): 18.3%</t>
  </si>
  <si>
    <t xml:space="preserve">10/21</t>
  </si>
  <si>
    <t xml:space="preserve">c.1633G&gt;A</t>
  </si>
  <si>
    <t xml:space="preserve">p.Glu545Lys</t>
  </si>
  <si>
    <t xml:space="preserve">NP_006209.2:p.Glu545Lys</t>
  </si>
  <si>
    <t xml:space="preserve">NM_006218.4:c.1633G&gt;A</t>
  </si>
  <si>
    <t xml:space="preserve">Abnormal_cardiovascular_system_morphology&amp;Angioosteohypertrophic_syndrome&amp;Breast_adenocarcinoma&amp;CLOVES_syndrome&amp;Carcinoma_of_colon&amp;Cerebrofacial_Vascular_Metameric_Syndrome_(CVMS)&amp;Eccrine_angiomatous_hamartoma&amp;Gallbladder_cancer&amp;Gastric_cancer&amp;HEMIFACIAL_MYOHYPERPLASIA&amp;Megalencephaly-capillary_malformation-polymicrogyria_syndrome&amp;Non-small_cell_lung_carcinoma&amp;OVARIAN_CANCER&amp;Ovarian_neoplasm&amp;PIK3CA-related_disorder&amp;PIK3CA_overgrowth_syndrome&amp;PIK3CA_related_overgrowth_syndrome&amp;Rare_combined_vascular_malformation&amp;Rare_venous_malformation&amp;Sarcoma&amp;Seborrheic_keratosis&amp;Segmental_undergrowth_associated_with_lymphatic_malformation&amp;_EPITHELIAL&amp;_SOMATIC&amp;not_provided</t>
  </si>
  <si>
    <t xml:space="preserve">PIK3CA missense_variant in exon 10
HGVSc: c.1633G&gt;A
HGVSp: p.Glu545Lys
dbSNP: rs104886003
Allele Frequency (VAF): 7.5%</t>
  </si>
  <si>
    <t xml:space="preserve">PIK3CD</t>
  </si>
  <si>
    <t xml:space="preserve">NM_005026.5</t>
  </si>
  <si>
    <t xml:space="preserve">c.2059del</t>
  </si>
  <si>
    <t xml:space="preserve">p.Glu687LysfsTer3</t>
  </si>
  <si>
    <t xml:space="preserve">NP_005017.3:p.Glu687LysfsTer3</t>
  </si>
  <si>
    <t xml:space="preserve">NM_005026.5:c.2059del</t>
  </si>
  <si>
    <t xml:space="preserve">PIK3CD frameshift_variant HGVSc: c.2059del
HGVSp: p.Glu687LysfsTer3
Allele Frequency (VAF): 9.5%</t>
  </si>
  <si>
    <t xml:space="preserve">PLCG1</t>
  </si>
  <si>
    <t xml:space="preserve">NM_002660.3</t>
  </si>
  <si>
    <t xml:space="preserve">24/32</t>
  </si>
  <si>
    <t xml:space="preserve">c.2657G&gt;A</t>
  </si>
  <si>
    <t xml:space="preserve">p.Arg886His</t>
  </si>
  <si>
    <t xml:space="preserve">NP_002651.2:p.Arg886His</t>
  </si>
  <si>
    <t xml:space="preserve">NM_002660.3:c.2657G&gt;A</t>
  </si>
  <si>
    <t xml:space="preserve">PLCG1 missense_variant in exon 24
HGVSc: c.2657G&gt;A
HGVSp: p.Arg886His
dbSNP: rs761873798
Allele Frequency (VAF): 9.3%</t>
  </si>
  <si>
    <t xml:space="preserve">PLCG2</t>
  </si>
  <si>
    <t xml:space="preserve">BNHL&amp;CLL/MCL</t>
  </si>
  <si>
    <t xml:space="preserve">NM_002661.5</t>
  </si>
  <si>
    <t xml:space="preserve">c.2236-13T&gt;G</t>
  </si>
  <si>
    <t xml:space="preserve">NM_002661.5:c.2236-13T&gt;G</t>
  </si>
  <si>
    <t xml:space="preserve">PLCG2 intron_variant in intron 20
HGVSc: c.2236-13T&gt;G
HGVSp: nan
dbSNP: rs762604198
Allele Frequency (VAF): 34.7%</t>
  </si>
  <si>
    <t xml:space="preserve">c.2054+8C&gt;T</t>
  </si>
  <si>
    <t xml:space="preserve">NM_002661.5:c.2054+8C&gt;T</t>
  </si>
  <si>
    <t xml:space="preserve">Familial_cold_autoinflammatory_syndrome_3</t>
  </si>
  <si>
    <t xml:space="preserve">PLCG2 intron_variant&amp;splice_region_variant in intron 19
HGVSc: c.2054+8C&gt;T
HGVSp: nan
dbSNP: rs757609061
Allele Frequency (VAF): 9.0%</t>
  </si>
  <si>
    <t xml:space="preserve">2/33</t>
  </si>
  <si>
    <t xml:space="preserve">c.100C&gt;T</t>
  </si>
  <si>
    <t xml:space="preserve">p.Arg34Cys</t>
  </si>
  <si>
    <t xml:space="preserve">NP_002652.2:p.Arg34Cys</t>
  </si>
  <si>
    <t xml:space="preserve">NM_002661.5:c.100C&gt;T</t>
  </si>
  <si>
    <t xml:space="preserve">PLCG2 missense_variant in exon 2
HGVSc: c.100C&gt;T
HGVSp: p.Arg34Cys
dbSNP: rs770382676
Allele Frequency (VAF): 6.2%</t>
  </si>
  <si>
    <t xml:space="preserve">c.60_61del</t>
  </si>
  <si>
    <t xml:space="preserve">p.Arg20SerfsTer39</t>
  </si>
  <si>
    <t xml:space="preserve">NP_002652.2:p.Arg20SerfsTer39</t>
  </si>
  <si>
    <t xml:space="preserve">NM_002661.5:c.60_61del</t>
  </si>
  <si>
    <t xml:space="preserve">PLCG2 frameshift_variant in exon 2
HGVSc: c.60_61del
HGVSp: p.Arg20SerfsTer39
Allele Frequency (VAF): 29.7%</t>
  </si>
  <si>
    <t xml:space="preserve">c.2236-14del</t>
  </si>
  <si>
    <t xml:space="preserve">NM_002661.5:c.2236-14del</t>
  </si>
  <si>
    <t xml:space="preserve">PLCG2 intron_variant in intron 20
HGVSc: c.2236-14del
HGVSp: nan
dbSNP: rs753860558
Allele Frequency (VAF): 34.6%</t>
  </si>
  <si>
    <t xml:space="preserve">POT1</t>
  </si>
  <si>
    <t xml:space="preserve">NM_015450.3</t>
  </si>
  <si>
    <t xml:space="preserve">c.950-19del</t>
  </si>
  <si>
    <t xml:space="preserve">NM_015450.3:c.950-19del</t>
  </si>
  <si>
    <t xml:space="preserve">Tumor_predisposition_syndrome_3</t>
  </si>
  <si>
    <t xml:space="preserve">POT1 intron_variant in intron 11
HGVSc: c.950-19del
HGVSp: nan
dbSNP: rs755201498
Allele Frequency (VAF): 8.8%</t>
  </si>
  <si>
    <t xml:space="preserve">10/19</t>
  </si>
  <si>
    <t xml:space="preserve">c.788T&gt;C</t>
  </si>
  <si>
    <t xml:space="preserve">p.Phe263Ser</t>
  </si>
  <si>
    <t xml:space="preserve">NP_056265.2:p.Phe263Ser</t>
  </si>
  <si>
    <t xml:space="preserve">NM_015450.3:c.788T&gt;C</t>
  </si>
  <si>
    <t xml:space="preserve">POT1 missense_variant in exon 10
HGVSc: c.788T&gt;C
HGVSp: p.Phe263Ser
Allele Frequency (VAF): 3.5%</t>
  </si>
  <si>
    <t xml:space="preserve">c.702+8_702+9delinsTG</t>
  </si>
  <si>
    <t xml:space="preserve">NM_015450.3:c.702+8_702+9delinsTG</t>
  </si>
  <si>
    <t xml:space="preserve">Breast_carcinoma&amp;Tumor_predisposition_syndrome_3</t>
  </si>
  <si>
    <t xml:space="preserve">POT1 intron_variant&amp;splice_region_variant in intron 9
HGVSc: c.702+8_702+9delinsTG
HGVSp: nan
dbSNP: rs36069303
Allele Frequency (VAF): 88.6%</t>
  </si>
  <si>
    <t xml:space="preserve">PPM1D</t>
  </si>
  <si>
    <t xml:space="preserve">NM_003620.4</t>
  </si>
  <si>
    <t xml:space="preserve">6/6</t>
  </si>
  <si>
    <t xml:space="preserve">c.1349del</t>
  </si>
  <si>
    <t xml:space="preserve">p.Leu450Ter</t>
  </si>
  <si>
    <t xml:space="preserve">NP_003611.1:p.Leu450Ter</t>
  </si>
  <si>
    <t xml:space="preserve">NM_003620.4:c.1349del</t>
  </si>
  <si>
    <t xml:space="preserve">2022-05-04</t>
  </si>
  <si>
    <t xml:space="preserve">22096Z0037</t>
  </si>
  <si>
    <t xml:space="preserve">PPM1D frameshift_variant in exon 6
HGVSc: c.1349del
HGVSp: p.Leu450Ter
dbSNP: rs758630849
Allele Frequency (VAF): 6.9%</t>
  </si>
  <si>
    <t xml:space="preserve">4/6</t>
  </si>
  <si>
    <t xml:space="preserve">c.893T&gt;C</t>
  </si>
  <si>
    <t xml:space="preserve">p.Val298Ala</t>
  </si>
  <si>
    <t xml:space="preserve">NP_003611.1:p.Val298Ala</t>
  </si>
  <si>
    <t xml:space="preserve">NM_003620.4:c.893T&gt;C</t>
  </si>
  <si>
    <t xml:space="preserve">PPM1D missense_variant in exon 4
HGVSc: c.893T&gt;C
HGVSp: p.Val298Ala
Allele Frequency (VAF): 6.2%</t>
  </si>
  <si>
    <t xml:space="preserve">PRPF8</t>
  </si>
  <si>
    <t xml:space="preserve">NM_006445.4</t>
  </si>
  <si>
    <t xml:space="preserve">c.6651-12T&gt;C</t>
  </si>
  <si>
    <t xml:space="preserve">NM_006445.4:c.6651-12T&gt;C</t>
  </si>
  <si>
    <t xml:space="preserve">PRPF8 intron_variant in intron 41
HGVSc: c.6651-12T&gt;C
HGVSp: nan
Allele Frequency (VAF): 32.9%</t>
  </si>
  <si>
    <t xml:space="preserve">PTEN</t>
  </si>
  <si>
    <t xml:space="preserve">B-/T-ALL</t>
  </si>
  <si>
    <t xml:space="preserve">NM_000314.8</t>
  </si>
  <si>
    <t xml:space="preserve">c.802-7_802-3del</t>
  </si>
  <si>
    <t xml:space="preserve">NM_000314.8:c.802-7_802-3del</t>
  </si>
  <si>
    <t xml:space="preserve">PTEN intron_variant&amp;splice_region_variant in intron 7
HGVSc: c.802-7_802-3del
HGVSp: nan
dbSNP: rs34003473
Allele Frequency (VAF): 26.9%</t>
  </si>
  <si>
    <t xml:space="preserve">c.802-6_802-3del</t>
  </si>
  <si>
    <t xml:space="preserve">NM_000314.8:c.802-6_802-3del</t>
  </si>
  <si>
    <t xml:space="preserve">PTEN intron_variant&amp;splice_region_variant in intron 7
HGVSc: c.802-6_802-3del
HGVSp: nan
Allele Frequency (VAF): 13.4%</t>
  </si>
  <si>
    <t xml:space="preserve">c.802-11T&gt;C</t>
  </si>
  <si>
    <t xml:space="preserve">NM_000314.8:c.802-11T&gt;C</t>
  </si>
  <si>
    <t xml:space="preserve">Cowden_syndrome_1</t>
  </si>
  <si>
    <t xml:space="preserve">PTEN intron_variant in intron 7
HGVSc: c.802-11T&gt;C
HGVSp: nan
Allele Frequency (VAF): 6.7%</t>
  </si>
  <si>
    <t xml:space="preserve">c.802-5_802-3del</t>
  </si>
  <si>
    <t xml:space="preserve">NM_000314.8:c.802-5_802-3del</t>
  </si>
  <si>
    <t xml:space="preserve">Breast_and/or_ovarian_cancer&amp;Hereditary_cancer-predisposing_syndrome&amp;PTEN_hamartoma_tumor_syndrome</t>
  </si>
  <si>
    <t xml:space="preserve">PTEN intron_variant&amp;splice_region_variant in intron 7
HGVSc: c.802-5_802-3del
HGVSp: nan
dbSNP: rs34003473
Allele Frequency (VAF): 27.3%</t>
  </si>
  <si>
    <t xml:space="preserve">PTPN11</t>
  </si>
  <si>
    <t xml:space="preserve">NM_002834.5</t>
  </si>
  <si>
    <t xml:space="preserve">c.1380-6C&gt;A</t>
  </si>
  <si>
    <t xml:space="preserve">NM_002834.5:c.1380-6C&gt;A</t>
  </si>
  <si>
    <t xml:space="preserve">PTPN11 intron_variant&amp;splice_region_variant in intron 11
HGVSc: c.1380-6C&gt;A
HGVSp: nan
Allele Frequency (VAF): 6.3%</t>
  </si>
  <si>
    <t xml:space="preserve">RAD21</t>
  </si>
  <si>
    <t xml:space="preserve">NM_006265.3</t>
  </si>
  <si>
    <t xml:space="preserve">c.815-10_815-5del</t>
  </si>
  <si>
    <t xml:space="preserve">NM_006265.3:c.815-10_815-5del</t>
  </si>
  <si>
    <t xml:space="preserve">Cornelia_de_Lange_syndrome_4</t>
  </si>
  <si>
    <t xml:space="preserve">155/1706</t>
  </si>
  <si>
    <t xml:space="preserve">RAD21 intron_variant&amp;splice_region_variant in intron 7
HGVSc: c.815-10_815-5del
HGVSp: nan
dbSNP: rs35902828
Allele Frequency (VAF): 9.2%</t>
  </si>
  <si>
    <t xml:space="preserve">c.815-13_815-5del</t>
  </si>
  <si>
    <t xml:space="preserve">NM_006265.3:c.815-13_815-5del</t>
  </si>
  <si>
    <t xml:space="preserve">RAD21 intron_variant&amp;splice_region_variant in intron 7
HGVSc: c.815-13_815-5del
HGVSp: nan
Allele Frequency (VAF): 10.0%</t>
  </si>
  <si>
    <t xml:space="preserve">c.815-14_815-5del</t>
  </si>
  <si>
    <t xml:space="preserve">NM_006265.3:c.815-14_815-5del</t>
  </si>
  <si>
    <t xml:space="preserve">RAD21 intron_variant&amp;splice_region_variant in intron 7
HGVSc: c.815-14_815-5del
HGVSp: nan
Allele Frequency (VAF): 10.7%</t>
  </si>
  <si>
    <t xml:space="preserve">c.815-15_815-5del</t>
  </si>
  <si>
    <t xml:space="preserve">NM_006265.3:c.815-15_815-5del</t>
  </si>
  <si>
    <t xml:space="preserve">RAD21 intron_variant&amp;splice_region_variant in intron 7
HGVSc: c.815-15_815-5del
HGVSp: nan
dbSNP: rs35902828
Allele Frequency (VAF): 18.0%</t>
  </si>
  <si>
    <t xml:space="preserve">c.815-16_815-5del</t>
  </si>
  <si>
    <t xml:space="preserve">NM_006265.3:c.815-16_815-5del</t>
  </si>
  <si>
    <t xml:space="preserve">RAD21 intron_variant&amp;splice_region_variant in intron 7
HGVSc: c.815-16_815-5del
HGVSp: nan
Allele Frequency (VAF): 12.7%</t>
  </si>
  <si>
    <t xml:space="preserve">c.1162-7_1162-6del</t>
  </si>
  <si>
    <t xml:space="preserve">NM_006265.3:c.1162-7_1162-6del</t>
  </si>
  <si>
    <t xml:space="preserve">93/1706</t>
  </si>
  <si>
    <t xml:space="preserve">RAD21 intron_variant&amp;splice_region_variant in intron 9
HGVSc: c.1162-7_1162-6del
HGVSp: nan
dbSNP: rs369816312
Allele Frequency (VAF): 42.8%</t>
  </si>
  <si>
    <t xml:space="preserve">c.815-12_815-5del</t>
  </si>
  <si>
    <t xml:space="preserve">NM_006265.3:c.815-12_815-5del</t>
  </si>
  <si>
    <t xml:space="preserve">RAD21 intron_variant&amp;splice_region_variant in intron 7
HGVSc: c.815-12_815-5del
HGVSp: nan
Allele Frequency (VAF): 11.3%</t>
  </si>
  <si>
    <t xml:space="preserve">c.1162-9_1162-6del</t>
  </si>
  <si>
    <t xml:space="preserve">NM_006265.3:c.1162-9_1162-6del</t>
  </si>
  <si>
    <t xml:space="preserve">RAD21 intron_variant&amp;splice_region_variant in intron 9
HGVSc: c.1162-9_1162-6del
HGVSp: nan
Allele Frequency (VAF): 7.1%</t>
  </si>
  <si>
    <t xml:space="preserve">c.1162-8_1162-6del</t>
  </si>
  <si>
    <t xml:space="preserve">NM_006265.3:c.1162-8_1162-6del</t>
  </si>
  <si>
    <t xml:space="preserve">RAD21 intron_variant&amp;splice_region_variant in intron 9
HGVSc: c.1162-8_1162-6del
HGVSp: nan
dbSNP: rs369816312
Allele Frequency (VAF): 17.1%</t>
  </si>
  <si>
    <t xml:space="preserve">c.815-11_815-5del</t>
  </si>
  <si>
    <t xml:space="preserve">NM_006265.3:c.815-11_815-5del</t>
  </si>
  <si>
    <t xml:space="preserve">2/1706</t>
  </si>
  <si>
    <t xml:space="preserve">RAD21 intron_variant&amp;splice_region_variant in intron 7
HGVSc: c.815-11_815-5del
HGVSp: nan
Allele Frequency (VAF): 15.5%</t>
  </si>
  <si>
    <t xml:space="preserve">RHOA</t>
  </si>
  <si>
    <t xml:space="preserve">NM_001664.4</t>
  </si>
  <si>
    <t xml:space="preserve">c.409-10dup</t>
  </si>
  <si>
    <t xml:space="preserve">NM_001664.4:c.409-10dup</t>
  </si>
  <si>
    <t xml:space="preserve">RHOA intron_variant in intron 4
HGVSc: c.409-10dup
HGVSp: nan
dbSNP: rs761095111
Allele Frequency (VAF): 4.5%</t>
  </si>
  <si>
    <t xml:space="preserve">RPL5</t>
  </si>
  <si>
    <t xml:space="preserve">DKC</t>
  </si>
  <si>
    <t xml:space="preserve">NM_000969.5</t>
  </si>
  <si>
    <t xml:space="preserve">c.794+19dup</t>
  </si>
  <si>
    <t xml:space="preserve">NM_000969.5:c.794+19dup</t>
  </si>
  <si>
    <t xml:space="preserve">Diamond-Blackfan_anemia&amp;Diamond-Blackfan_anemia_6</t>
  </si>
  <si>
    <t xml:space="preserve">RPL5 intron_variant in intron 7
HGVSc: c.794+19dup
HGVSp: nan
dbSNP: rs747509136
Allele Frequency (VAF): 4.1%</t>
  </si>
  <si>
    <t xml:space="preserve">c.794+19del</t>
  </si>
  <si>
    <t xml:space="preserve">NM_000969.5:c.794+19del</t>
  </si>
  <si>
    <t xml:space="preserve">RPL5 intron_variant in intron 7
HGVSc: c.794+19del
HGVSp: nan
dbSNP: rs747509136
Allele Frequency (VAF): 11.0%</t>
  </si>
  <si>
    <t xml:space="preserve">5/8</t>
  </si>
  <si>
    <t xml:space="preserve">c.496G&gt;A</t>
  </si>
  <si>
    <t xml:space="preserve">p.Ala166Thr</t>
  </si>
  <si>
    <t xml:space="preserve">NP_000960.2:p.Ala166Thr</t>
  </si>
  <si>
    <t xml:space="preserve">NM_000969.5:c.496G&gt;A</t>
  </si>
  <si>
    <t xml:space="preserve">RPL5 missense_variant in exon 5
HGVSc: c.496G&gt;A
HGVSp: p.Ala166Thr
Allele Frequency (VAF): 4.9%</t>
  </si>
  <si>
    <t xml:space="preserve">c.445G&gt;A</t>
  </si>
  <si>
    <t xml:space="preserve">p.Gly149Ser</t>
  </si>
  <si>
    <t xml:space="preserve">NP_000960.2:p.Gly149Ser</t>
  </si>
  <si>
    <t xml:space="preserve">NM_000969.5:c.445G&gt;A</t>
  </si>
  <si>
    <t xml:space="preserve">RPL5 missense_variant in exon 5
HGVSc: c.445G&gt;A
HGVSp: p.Gly149Ser
Allele Frequency (VAF): 28.2%</t>
  </si>
  <si>
    <t xml:space="preserve">RUNX1</t>
  </si>
  <si>
    <t xml:space="preserve">NM_001754.5</t>
  </si>
  <si>
    <t xml:space="preserve">4/9</t>
  </si>
  <si>
    <t xml:space="preserve">c.146C&gt;T</t>
  </si>
  <si>
    <t xml:space="preserve">p.Pro49Leu</t>
  </si>
  <si>
    <t xml:space="preserve">NP_001745.2:p.Pro49Leu</t>
  </si>
  <si>
    <t xml:space="preserve">NM_001754.5:c.146C&gt;T</t>
  </si>
  <si>
    <t xml:space="preserve">Acute_myeloid_leukemia&amp;Hereditary_thrombocytopenia_and_hematologic_cancer_predisposition_syndrome&amp;Hereditary_thrombocytopenia_and_hematological_cancer_predisposition_syndrome_associated_with_RUNX1&amp;Inborn_genetic_diseases&amp;not_provided&amp;not_specified</t>
  </si>
  <si>
    <t xml:space="preserve">2023-02-24</t>
  </si>
  <si>
    <t xml:space="preserve">23025Z0035</t>
  </si>
  <si>
    <t xml:space="preserve">RUNX1 missense_variant in exon 4
HGVSc: c.146C&gt;T
HGVSp: p.Pro49Leu
dbSNP: rs752298116
Allele Frequency (VAF): 9.6%</t>
  </si>
  <si>
    <t xml:space="preserve">7/9</t>
  </si>
  <si>
    <t xml:space="preserve">c.801G&gt;A</t>
  </si>
  <si>
    <t xml:space="preserve">p.Met267Ile</t>
  </si>
  <si>
    <t xml:space="preserve">NP_001745.2:p.Met267Ile</t>
  </si>
  <si>
    <t xml:space="preserve">NM_001754.5:c.801G&gt;A</t>
  </si>
  <si>
    <t xml:space="preserve">Acute_myeloid_leukemia&amp;Hereditary_thrombocytopenia_and_hematologic_cancer_predisposition_syndrome&amp;Hereditary_thrombocytopenia_and_hematological_cancer_predisposition_syndrome_associated_with_RUNX1</t>
  </si>
  <si>
    <t xml:space="preserve">2023-11-24</t>
  </si>
  <si>
    <t xml:space="preserve">23285K0016</t>
  </si>
  <si>
    <t xml:space="preserve">uncertain_significance(3)</t>
  </si>
  <si>
    <t xml:space="preserve">RUNX1 missense_variant in exon 7
HGVSc: c.801G&gt;A
HGVSp: p.Met267Ile
dbSNP: rs757570529
Allele Frequency (VAF): 9.6%</t>
  </si>
  <si>
    <t xml:space="preserve">c.1270T&gt;A</t>
  </si>
  <si>
    <t xml:space="preserve">p.Ser424Thr</t>
  </si>
  <si>
    <t xml:space="preserve">NP_001745.2:p.Ser424Thr</t>
  </si>
  <si>
    <t xml:space="preserve">NM_001754.5:c.1270T&gt;A</t>
  </si>
  <si>
    <t xml:space="preserve">base_qual;clustered_events;multiallelic</t>
  </si>
  <si>
    <t xml:space="preserve">7/1706</t>
  </si>
  <si>
    <t xml:space="preserve">RUNX1 missense_variant in exon 9
HGVSc: c.1270T&gt;A
HGVSp: p.Ser424Thr
Allele Frequency (VAF): 4.3%</t>
  </si>
  <si>
    <t xml:space="preserve">SETBP1</t>
  </si>
  <si>
    <t xml:space="preserve">NM_015559.3</t>
  </si>
  <si>
    <t xml:space="preserve">c.4333del</t>
  </si>
  <si>
    <t xml:space="preserve">p.Thr1445GlnfsTer6</t>
  </si>
  <si>
    <t xml:space="preserve">NP_056374.2:p.Thr1445GlnfsTer6</t>
  </si>
  <si>
    <t xml:space="preserve">NM_015559.3:c.4333del</t>
  </si>
  <si>
    <t xml:space="preserve">SETBP1 frameshift_variant in exon 6
HGVSc: c.4333del
HGVSp: p.Thr1445GlnfsTer6
Allele Frequency (VAF): 5.4%</t>
  </si>
  <si>
    <t xml:space="preserve">c.4427A&gt;G</t>
  </si>
  <si>
    <t xml:space="preserve">p.Glu1476Gly</t>
  </si>
  <si>
    <t xml:space="preserve">NP_056374.2:p.Glu1476Gly</t>
  </si>
  <si>
    <t xml:space="preserve">NM_015559.3:c.4427A&gt;G</t>
  </si>
  <si>
    <t xml:space="preserve">SETBP1 missense_variant in exon 6
HGVSc: c.4427A&gt;G
HGVSp: p.Glu1476Gly
Allele Frequency (VAF): 6.3%</t>
  </si>
  <si>
    <t xml:space="preserve">c.4706del</t>
  </si>
  <si>
    <t xml:space="preserve">p.Pro1569ArgfsTer11</t>
  </si>
  <si>
    <t xml:space="preserve">NP_056374.2:p.Pro1569ArgfsTer11</t>
  </si>
  <si>
    <t xml:space="preserve">NM_015559.3:c.4706del</t>
  </si>
  <si>
    <t xml:space="preserve">SETBP1 frameshift_variant in exon 6
HGVSc: c.4706del
HGVSp: p.Pro1569ArgfsTer11
Allele Frequency (VAF): 7.2%</t>
  </si>
  <si>
    <t xml:space="preserve">SF1</t>
  </si>
  <si>
    <t xml:space="preserve">NM_004630.4</t>
  </si>
  <si>
    <t xml:space="preserve">2/13</t>
  </si>
  <si>
    <t xml:space="preserve">c.59G&gt;T</t>
  </si>
  <si>
    <t xml:space="preserve">p.Ser20Ile</t>
  </si>
  <si>
    <t xml:space="preserve">NP_004621.2:p.Ser20Ile</t>
  </si>
  <si>
    <t xml:space="preserve">NM_004630.4:c.59G&gt;T</t>
  </si>
  <si>
    <t xml:space="preserve">SF1 missense_variant in exon 2
HGVSc: c.59G&gt;T
HGVSp: p.Ser20Ile
Allele Frequency (VAF): 9.7%</t>
  </si>
  <si>
    <t xml:space="preserve">SF3A1</t>
  </si>
  <si>
    <t xml:space="preserve">NM_005877.6</t>
  </si>
  <si>
    <t xml:space="preserve">12/16</t>
  </si>
  <si>
    <t xml:space="preserve">c.1889C&gt;T</t>
  </si>
  <si>
    <t xml:space="preserve">p.Pro630Leu</t>
  </si>
  <si>
    <t xml:space="preserve">NP_005868.1:p.Pro630Leu</t>
  </si>
  <si>
    <t xml:space="preserve">NM_005877.6:c.1889C&gt;T</t>
  </si>
  <si>
    <t xml:space="preserve">SF3A1 missense_variant in exon 12
HGVSc: c.1889C&gt;T
HGVSp: p.Pro630Leu
Allele Frequency (VAF): 5.9%</t>
  </si>
  <si>
    <t xml:space="preserve">SF3B1</t>
  </si>
  <si>
    <t xml:space="preserve">NM_012433.4</t>
  </si>
  <si>
    <t xml:space="preserve">c.2719-16dup</t>
  </si>
  <si>
    <t xml:space="preserve">NM_012433.4:c.2719-16dup</t>
  </si>
  <si>
    <t xml:space="preserve">SF3B1 intron_variant in intron 18
HGVSc: c.2719-16dup
HGVSp: nan
dbSNP: rs770725816
Allele Frequency (VAF): 31.4%</t>
  </si>
  <si>
    <t xml:space="preserve">SMC1A</t>
  </si>
  <si>
    <t xml:space="preserve">NM_006306.4</t>
  </si>
  <si>
    <t xml:space="preserve">3/25</t>
  </si>
  <si>
    <t xml:space="preserve">c.386A&gt;G</t>
  </si>
  <si>
    <t xml:space="preserve">p.Lys129Arg</t>
  </si>
  <si>
    <t xml:space="preserve">NP_006297.2:p.Lys129Arg</t>
  </si>
  <si>
    <t xml:space="preserve">NM_006306.4:c.386A&gt;G</t>
  </si>
  <si>
    <t xml:space="preserve">Congenital_muscular_hypertrophy-cerebral_syndrome</t>
  </si>
  <si>
    <t xml:space="preserve">SMC1A missense_variant in exon 3
HGVSc: c.386A&gt;G
HGVSp: p.Lys129Arg
dbSNP: rs1223252947
Allele Frequency (VAF): 37.6%</t>
  </si>
  <si>
    <t xml:space="preserve">SMC3</t>
  </si>
  <si>
    <t xml:space="preserve">NM_005445.4</t>
  </si>
  <si>
    <t xml:space="preserve">c.2535+23_2535+28del</t>
  </si>
  <si>
    <t xml:space="preserve">NM_005445.4:c.2535+23_2535+28del</t>
  </si>
  <si>
    <t xml:space="preserve">SMC3 intron_variant in intron 22
HGVSc: c.2535+23_2535+28del
HGVSp: nan
Allele Frequency (VAF): 22.7%</t>
  </si>
  <si>
    <t xml:space="preserve">c.2535+22_2535+28del</t>
  </si>
  <si>
    <t xml:space="preserve">NM_005445.4:c.2535+22_2535+28del</t>
  </si>
  <si>
    <t xml:space="preserve">SMC3 intron_variant in intron 22
HGVSc: c.2535+22_2535+28del
HGVSp: nan
Allele Frequency (VAF): 7.9%</t>
  </si>
  <si>
    <t xml:space="preserve">c.2535+20_2535+28del</t>
  </si>
  <si>
    <t xml:space="preserve">NM_005445.4:c.2535+20_2535+28del</t>
  </si>
  <si>
    <t xml:space="preserve">SMC3 intron_variant in intron 22
HGVSc: c.2535+20_2535+28del
HGVSp: nan
Allele Frequency (VAF): 7.3%</t>
  </si>
  <si>
    <t xml:space="preserve">21/29</t>
  </si>
  <si>
    <t xml:space="preserve">c.2425C&gt;T</t>
  </si>
  <si>
    <t xml:space="preserve">p.Gln809Ter</t>
  </si>
  <si>
    <t xml:space="preserve">NP_005436.1:p.Gln809Ter</t>
  </si>
  <si>
    <t xml:space="preserve">splice_region_variant&amp;stop_gained</t>
  </si>
  <si>
    <t xml:space="preserve">NM_005445.4:c.2425C&gt;T</t>
  </si>
  <si>
    <t xml:space="preserve">SMC3 splice_region_variant&amp;stop_gained in exon 21
HGVSc: c.2425C&gt;T
HGVSp: p.Gln809Ter
Allele Frequency (VAF): 8.3%</t>
  </si>
  <si>
    <t xml:space="preserve">6/29</t>
  </si>
  <si>
    <t xml:space="preserve">c.317del</t>
  </si>
  <si>
    <t xml:space="preserve">p.Lys106ArgfsTer6</t>
  </si>
  <si>
    <t xml:space="preserve">NP_005436.1:p.Lys106ArgfsTer6</t>
  </si>
  <si>
    <t xml:space="preserve">NM_005445.4:c.317del</t>
  </si>
  <si>
    <t xml:space="preserve">SMC3 frameshift_variant in exon 6
HGVSc: c.317del
HGVSp: p.Lys106ArgfsTer6
Allele Frequency (VAF): 5.5%</t>
  </si>
  <si>
    <t xml:space="preserve">c.270+18dup</t>
  </si>
  <si>
    <t xml:space="preserve">NM_005445.4:c.270+18dup</t>
  </si>
  <si>
    <t xml:space="preserve">Cornelia_de_Lange_syndrome_3&amp;not_specified</t>
  </si>
  <si>
    <t xml:space="preserve">SMC3 intron_variant in intron 5
HGVSc: c.270+18dup
HGVSp: nan
dbSNP: rs756099489
Allele Frequency (VAF): 10.1%</t>
  </si>
  <si>
    <t xml:space="preserve">3/29</t>
  </si>
  <si>
    <t xml:space="preserve">c.127del</t>
  </si>
  <si>
    <t xml:space="preserve">p.Tyr43MetfsTer69</t>
  </si>
  <si>
    <t xml:space="preserve">NP_005436.1:p.Tyr43MetfsTer69</t>
  </si>
  <si>
    <t xml:space="preserve">NM_005445.4:c.127del</t>
  </si>
  <si>
    <t xml:space="preserve">SMC3 frameshift_variant in exon 3
HGVSc: c.127del
HGVSp: p.Tyr43MetfsTer69
dbSNP: rs1466680694
Allele Frequency (VAF): 7.8%</t>
  </si>
  <si>
    <t xml:space="preserve">c.2535+25_2535+28del</t>
  </si>
  <si>
    <t xml:space="preserve">NM_005445.4:c.2535+25_2535+28del</t>
  </si>
  <si>
    <t xml:space="preserve">SMC3 intron_variant in intron 22
HGVSc: c.2535+25_2535+28del
HGVSp: nan
dbSNP: rs397847637
Allele Frequency (VAF): 23.5%</t>
  </si>
  <si>
    <t xml:space="preserve">c.2535+24_2535+28del</t>
  </si>
  <si>
    <t xml:space="preserve">NM_005445.4:c.2535+24_2535+28del</t>
  </si>
  <si>
    <t xml:space="preserve">SMC3 intron_variant in intron 22
HGVSc: c.2535+24_2535+28del
HGVSp: nan
Allele Frequency (VAF): 29.6%</t>
  </si>
  <si>
    <t xml:space="preserve">c.2535+26_2535+28del</t>
  </si>
  <si>
    <t xml:space="preserve">NM_005445.4:c.2535+26_2535+28del</t>
  </si>
  <si>
    <t xml:space="preserve">SMC3 intron_variant in intron 22
HGVSc: c.2535+26_2535+28del
HGVSp: nan
dbSNP: rs397847637
Allele Frequency (VAF): 5.8%</t>
  </si>
  <si>
    <t xml:space="preserve">SRCAP</t>
  </si>
  <si>
    <t xml:space="preserve">NM_006662.3</t>
  </si>
  <si>
    <t xml:space="preserve">26/34</t>
  </si>
  <si>
    <t xml:space="preserve">c.5869C&gt;T</t>
  </si>
  <si>
    <t xml:space="preserve">p.Arg1957Trp</t>
  </si>
  <si>
    <t xml:space="preserve">NP_006653.2:p.Arg1957Trp</t>
  </si>
  <si>
    <t xml:space="preserve">NM_006662.3:c.5869C&gt;T</t>
  </si>
  <si>
    <t xml:space="preserve">SRCAP missense_variant in exon 26
HGVSc: c.5869C&gt;T
HGVSp: p.Arg1957Trp
dbSNP: rs149539909
Allele Frequency (VAF): 7.0%</t>
  </si>
  <si>
    <t xml:space="preserve">STAG2</t>
  </si>
  <si>
    <t xml:space="preserve">NM_001042750.2</t>
  </si>
  <si>
    <t xml:space="preserve">c.1018-8_1018-3del</t>
  </si>
  <si>
    <t xml:space="preserve">NM_001042750.2:c.1018-8_1018-3del</t>
  </si>
  <si>
    <t xml:space="preserve">STAG2 intron_variant&amp;splice_region_variant in intron 11
HGVSc: c.1018-8_1018-3del
HGVSp: nan
Allele Frequency (VAF): 5.9%</t>
  </si>
  <si>
    <t xml:space="preserve">c.1018-7_1018-3del</t>
  </si>
  <si>
    <t xml:space="preserve">NM_001042750.2:c.1018-7_1018-3del</t>
  </si>
  <si>
    <t xml:space="preserve">STAG2 intron_variant&amp;splice_region_variant in intron 11
HGVSc: c.1018-7_1018-3del
HGVSp: nan
Allele Frequency (VAF): 12.4%</t>
  </si>
  <si>
    <t xml:space="preserve">c.1535-14_1535-3del</t>
  </si>
  <si>
    <t xml:space="preserve">NM_001042750.2:c.1535-14_1535-3del</t>
  </si>
  <si>
    <t xml:space="preserve">STAG2 intron_variant&amp;splice_region_variant in intron 16
HGVSc: c.1535-14_1535-3del
HGVSp: nan
dbSNP: rs36097834
Allele Frequency (VAF): 17.3%</t>
  </si>
  <si>
    <t xml:space="preserve">c.1535-13_1535-3del</t>
  </si>
  <si>
    <t xml:space="preserve">NM_001042750.2:c.1535-13_1535-3del</t>
  </si>
  <si>
    <t xml:space="preserve">STAG2 intron_variant&amp;splice_region_variant in intron 16
HGVSc: c.1535-13_1535-3del
HGVSp: nan
dbSNP: rs36097834
Allele Frequency (VAF): 18.1%</t>
  </si>
  <si>
    <t xml:space="preserve">c.1535-15_1535-3del</t>
  </si>
  <si>
    <t xml:space="preserve">NM_001042750.2:c.1535-15_1535-3del</t>
  </si>
  <si>
    <t xml:space="preserve">STAG2 intron_variant&amp;splice_region_variant in intron 16
HGVSc: c.1535-15_1535-3del
HGVSp: nan
dbSNP: rs36097834
Allele Frequency (VAF): 6.5%</t>
  </si>
  <si>
    <t xml:space="preserve">c.1535-11_1535-3del</t>
  </si>
  <si>
    <t xml:space="preserve">NM_001042750.2:c.1535-11_1535-3del</t>
  </si>
  <si>
    <t xml:space="preserve">STAG2 intron_variant&amp;splice_region_variant in intron 16
HGVSc: c.1535-11_1535-3del
HGVSp: nan
dbSNP: rs36097834
Allele Frequency (VAF): 23.3%</t>
  </si>
  <si>
    <t xml:space="preserve">c.2097-18_2097-5del</t>
  </si>
  <si>
    <t xml:space="preserve">NM_001042750.2:c.2097-18_2097-5del</t>
  </si>
  <si>
    <t xml:space="preserve">STAG2 intron_variant&amp;splice_region_variant in intron 21
HGVSc: c.2097-18_2097-5del
HGVSp: nan
dbSNP: rs748906058
Allele Frequency (VAF): 7.8%</t>
  </si>
  <si>
    <t xml:space="preserve">c.1535-10_1535-3del</t>
  </si>
  <si>
    <t xml:space="preserve">NM_001042750.2:c.1535-10_1535-3del</t>
  </si>
  <si>
    <t xml:space="preserve">STAG2 intron_variant&amp;splice_region_variant in intron 16
HGVSc: c.1535-10_1535-3del
HGVSp: nan
Allele Frequency (VAF): 6.4%</t>
  </si>
  <si>
    <t xml:space="preserve">c.2097-12_2097-5del</t>
  </si>
  <si>
    <t xml:space="preserve">NM_001042750.2:c.2097-12_2097-5del</t>
  </si>
  <si>
    <t xml:space="preserve">STAG2 intron_variant&amp;splice_region_variant in intron 21
HGVSc: c.2097-12_2097-5del
HGVSp: nan
dbSNP: rs748906058
Allele Frequency (VAF): 16.2%</t>
  </si>
  <si>
    <t xml:space="preserve">c.2097-16_2097-5del</t>
  </si>
  <si>
    <t xml:space="preserve">NM_001042750.2:c.2097-16_2097-5del</t>
  </si>
  <si>
    <t xml:space="preserve">STAG2 intron_variant&amp;splice_region_variant in intron 21
HGVSc: c.2097-16_2097-5del
HGVSp: nan
dbSNP: rs748906058
Allele Frequency (VAF): 4.7%</t>
  </si>
  <si>
    <t xml:space="preserve">c.2359-8_2359-7del</t>
  </si>
  <si>
    <t xml:space="preserve">NM_001042750.2:c.2359-8_2359-7del</t>
  </si>
  <si>
    <t xml:space="preserve">STAG2 intron_variant&amp;splice_region_variant in intron 24
HGVSc: c.2359-8_2359-7del
HGVSp: nan
dbSNP: rs77366098
Allele Frequency (VAF): 55.6%</t>
  </si>
  <si>
    <t xml:space="preserve">c.2097-17_2097-5del</t>
  </si>
  <si>
    <t xml:space="preserve">NM_001042750.2:c.2097-17_2097-5del</t>
  </si>
  <si>
    <t xml:space="preserve">STAG2 intron_variant&amp;splice_region_variant in intron 21
HGVSc: c.2097-17_2097-5del
HGVSp: nan
dbSNP: rs748906058
Allele Frequency (VAF): 3.2%</t>
  </si>
  <si>
    <t xml:space="preserve">c.2359-9_2359-7del</t>
  </si>
  <si>
    <t xml:space="preserve">NM_001042750.2:c.2359-9_2359-7del</t>
  </si>
  <si>
    <t xml:space="preserve">STAG2 intron_variant&amp;splice_region_variant in intron 24
HGVSc: c.2359-9_2359-7del
HGVSp: nan
dbSNP: rs77366098
Allele Frequency (VAF): 29.2%</t>
  </si>
  <si>
    <t xml:space="preserve">c.2097-11_2097-5del</t>
  </si>
  <si>
    <t xml:space="preserve">NM_001042750.2:c.2097-11_2097-5del</t>
  </si>
  <si>
    <t xml:space="preserve">STAG2 intron_variant&amp;splice_region_variant in intron 21
HGVSc: c.2097-11_2097-5del
HGVSp: nan
dbSNP: rs748906058
Allele Frequency (VAF): 11.0%</t>
  </si>
  <si>
    <t xml:space="preserve">c.1018-9_1018-3del</t>
  </si>
  <si>
    <t xml:space="preserve">NM_001042750.2:c.1018-9_1018-3del</t>
  </si>
  <si>
    <t xml:space="preserve">STAG2 intron_variant&amp;splice_region_variant in intron 11
HGVSc: c.1018-9_1018-3del
HGVSp: nan
Allele Frequency (VAF): 8.9%</t>
  </si>
  <si>
    <t xml:space="preserve">c.2097-13_2097-5del</t>
  </si>
  <si>
    <t xml:space="preserve">NM_001042750.2:c.2097-13_2097-5del</t>
  </si>
  <si>
    <t xml:space="preserve">STAG2 intron_variant&amp;splice_region_variant in intron 21
HGVSc: c.2097-13_2097-5del
HGVSp: nan
dbSNP: rs748906058
Allele Frequency (VAF): 19.2%</t>
  </si>
  <si>
    <t xml:space="preserve">c.2097-15_2097-5del</t>
  </si>
  <si>
    <t xml:space="preserve">NM_001042750.2:c.2097-15_2097-5del</t>
  </si>
  <si>
    <t xml:space="preserve">STAG2 intron_variant&amp;splice_region_variant in intron 21
HGVSc: c.2097-15_2097-5del
HGVSp: nan
dbSNP: rs748906058
Allele Frequency (VAF): 10.5%</t>
  </si>
  <si>
    <t xml:space="preserve">c.2097-14_2097-5del</t>
  </si>
  <si>
    <t xml:space="preserve">NM_001042750.2:c.2097-14_2097-5del</t>
  </si>
  <si>
    <t xml:space="preserve">STAG2 intron_variant&amp;splice_region_variant in intron 21
HGVSc: c.2097-14_2097-5del
HGVSp: nan
dbSNP: rs748906058
Allele Frequency (VAF): 14.4%</t>
  </si>
  <si>
    <t xml:space="preserve">c.1018-10_1018-3del</t>
  </si>
  <si>
    <t xml:space="preserve">NM_001042750.2:c.1018-10_1018-3del</t>
  </si>
  <si>
    <t xml:space="preserve">STAG2 intron_variant&amp;splice_region_variant in intron 11
HGVSc: c.1018-10_1018-3del
HGVSp: nan
Allele Frequency (VAF): 3.1%</t>
  </si>
  <si>
    <t xml:space="preserve">STAT3</t>
  </si>
  <si>
    <t xml:space="preserve">NM_139276.3</t>
  </si>
  <si>
    <t xml:space="preserve">3/24</t>
  </si>
  <si>
    <t xml:space="preserve">p.Leu61Met</t>
  </si>
  <si>
    <t xml:space="preserve">NP_644805.1:p.Leu61Met</t>
  </si>
  <si>
    <t xml:space="preserve">NM_139276.3:c.181C&gt;A</t>
  </si>
  <si>
    <t xml:space="preserve">STAT3 missense_variant in exon 3
HGVSc: c.181C&gt;A
HGVSp: p.Leu61Met
Allele Frequency (VAF): 4.3%</t>
  </si>
  <si>
    <t xml:space="preserve">11/24</t>
  </si>
  <si>
    <t xml:space="preserve">c.1067C&gt;T</t>
  </si>
  <si>
    <t xml:space="preserve">p.Pro356Leu</t>
  </si>
  <si>
    <t xml:space="preserve">NP_644805.1:p.Pro356Leu</t>
  </si>
  <si>
    <t xml:space="preserve">NM_139276.3:c.1067C&gt;T</t>
  </si>
  <si>
    <t xml:space="preserve">STAT3 missense_variant in exon 11
HGVSc: c.1067C&gt;T
HGVSp: p.Pro356Leu
Allele Frequency (VAF): 30.3%</t>
  </si>
  <si>
    <t xml:space="preserve">20/24</t>
  </si>
  <si>
    <t xml:space="preserve">c.1847_1849del</t>
  </si>
  <si>
    <t xml:space="preserve">p.Glu616del</t>
  </si>
  <si>
    <t xml:space="preserve">NP_644805.1:p.Glu616del</t>
  </si>
  <si>
    <t xml:space="preserve">NM_139276.3:c.1847_1849del</t>
  </si>
  <si>
    <t xml:space="preserve">Hyper-IgE_recurrent_infection_syndrome_1&amp;STAT3_gain_of_function&amp;_autosomal_dominant</t>
  </si>
  <si>
    <t xml:space="preserve">2024-08-28</t>
  </si>
  <si>
    <t xml:space="preserve">24222K0097</t>
  </si>
  <si>
    <t xml:space="preserve">STAT3 inframe_deletion in exon 20
HGVSc: c.1847_1849del
HGVSp: p.Glu616del
Allele Frequency (VAF): 6.3%</t>
  </si>
  <si>
    <t xml:space="preserve">STAT5B</t>
  </si>
  <si>
    <t xml:space="preserve">NM_012448.4</t>
  </si>
  <si>
    <t xml:space="preserve">c.2130-3C&gt;T</t>
  </si>
  <si>
    <t xml:space="preserve">NM_012448.4:c.2130-3C&gt;T</t>
  </si>
  <si>
    <t xml:space="preserve">STAT5B intron_variant&amp;splice_region_variant in intron 17
HGVSc: c.2130-3C&gt;T
HGVSp: nan
Allele Frequency (VAF): 8.5%</t>
  </si>
  <si>
    <t xml:space="preserve">9/19</t>
  </si>
  <si>
    <t xml:space="preserve">c.1102del</t>
  </si>
  <si>
    <t xml:space="preserve">p.Gln368ArgfsTer2</t>
  </si>
  <si>
    <t xml:space="preserve">NP_036580.2:p.Gln368ArgfsTer2</t>
  </si>
  <si>
    <t xml:space="preserve">NM_012448.4:c.1102del</t>
  </si>
  <si>
    <t xml:space="preserve">Growth_hormone_insensitivity_with_immune_dysregulation_1&amp;_autosomal_recessive</t>
  </si>
  <si>
    <t xml:space="preserve">211/1706</t>
  </si>
  <si>
    <t xml:space="preserve">STAT5B frameshift_variant in exon 9
HGVSc: c.1102del
HGVSp: p.Gln368ArgfsTer2
dbSNP: rs761761205
Allele Frequency (VAF): 21.5%</t>
  </si>
  <si>
    <t xml:space="preserve">SUZ12</t>
  </si>
  <si>
    <t xml:space="preserve">NM_015355.4</t>
  </si>
  <si>
    <t xml:space="preserve">13/16</t>
  </si>
  <si>
    <t xml:space="preserve">c.1552G&gt;A</t>
  </si>
  <si>
    <t xml:space="preserve">p.Gly518Arg</t>
  </si>
  <si>
    <t xml:space="preserve">NP_056170.2:p.Gly518Arg</t>
  </si>
  <si>
    <t xml:space="preserve">NM_015355.4:c.1552G&gt;A</t>
  </si>
  <si>
    <t xml:space="preserve">SUZ12 missense_variant in exon 13
HGVSc: c.1552G&gt;A
HGVSp: p.Gly518Arg
Allele Frequency (VAF): 32.8%</t>
  </si>
  <si>
    <t xml:space="preserve">c.456-4_456-3del</t>
  </si>
  <si>
    <t xml:space="preserve">NM_015355.4:c.456-4_456-3del</t>
  </si>
  <si>
    <t xml:space="preserve">SUZ12 intron_variant&amp;splice_region_variant in intron 4
HGVSc: c.456-4_456-3del
HGVSp: nan
dbSNP: rs79205882
Allele Frequency (VAF): 34.3%</t>
  </si>
  <si>
    <t xml:space="preserve">c.456-5_456-3del</t>
  </si>
  <si>
    <t xml:space="preserve">NM_015355.4:c.456-5_456-3del</t>
  </si>
  <si>
    <t xml:space="preserve">SUZ12 intron_variant&amp;splice_region_variant in intron 4
HGVSc: c.456-5_456-3del
HGVSp: nan
dbSNP: rs79205882
Allele Frequency (VAF): 32.1%</t>
  </si>
  <si>
    <t xml:space="preserve">c.456-6_456-3del</t>
  </si>
  <si>
    <t xml:space="preserve">NM_015355.4:c.456-6_456-3del</t>
  </si>
  <si>
    <t xml:space="preserve">SUZ12 intron_variant&amp;splice_region_variant in intron 4
HGVSc: c.456-6_456-3del
HGVSp: nan
Allele Frequency (VAF): 12.0%</t>
  </si>
  <si>
    <t xml:space="preserve">c.456-7_456-3del</t>
  </si>
  <si>
    <t xml:space="preserve">NM_015355.4:c.456-7_456-3del</t>
  </si>
  <si>
    <t xml:space="preserve">SUZ12 intron_variant&amp;splice_region_variant in intron 4
HGVSc: c.456-7_456-3del
HGVSp: nan
Allele Frequency (VAF): 11.9%</t>
  </si>
  <si>
    <t xml:space="preserve">1/16</t>
  </si>
  <si>
    <t xml:space="preserve">c.175_177del</t>
  </si>
  <si>
    <t xml:space="preserve">p.Ser59del</t>
  </si>
  <si>
    <t xml:space="preserve">NP_056170.2:p.Ser59del</t>
  </si>
  <si>
    <t xml:space="preserve">NM_015355.4:c.175_177del</t>
  </si>
  <si>
    <t xml:space="preserve">SUZ12 inframe_deletion in exon 1
HGVSc: c.175_177del
HGVSp: p.Ser59del
dbSNP: rs774288551
Allele Frequency (VAF): 3.6%</t>
  </si>
  <si>
    <t xml:space="preserve">c.1019G&gt;T</t>
  </si>
  <si>
    <t xml:space="preserve">p.Gly340Val</t>
  </si>
  <si>
    <t xml:space="preserve">NP_056170.2:p.Gly340Val</t>
  </si>
  <si>
    <t xml:space="preserve">NM_015355.4:c.1019G&gt;T</t>
  </si>
  <si>
    <t xml:space="preserve">SUZ12 missense_variant in exon 9
HGVSc: c.1019G&gt;T
HGVSp: p.Gly340Val
Allele Frequency (VAF): 30.3%</t>
  </si>
  <si>
    <t xml:space="preserve">c.823+14_823+15del</t>
  </si>
  <si>
    <t xml:space="preserve">NM_015355.4:c.823+14_823+15del</t>
  </si>
  <si>
    <t xml:space="preserve">SUZ12 intron_variant in intron 7
HGVSc: c.823+14_823+15del
HGVSp: nan
Allele Frequency (VAF): 26.6%</t>
  </si>
  <si>
    <t xml:space="preserve">TET2</t>
  </si>
  <si>
    <t xml:space="preserve">NM_001127208.3</t>
  </si>
  <si>
    <t xml:space="preserve">8/11</t>
  </si>
  <si>
    <t xml:space="preserve">c.3985C&gt;A</t>
  </si>
  <si>
    <t xml:space="preserve">p.Leu1329Met</t>
  </si>
  <si>
    <t xml:space="preserve">NP_001120680.1:p.Leu1329Met</t>
  </si>
  <si>
    <t xml:space="preserve">NM_001127208.3:c.3985C&gt;A</t>
  </si>
  <si>
    <t xml:space="preserve">TET2 missense_variant in exon 8
HGVSc: c.3985C&gt;A
HGVSp: p.Leu1329Met
Allele Frequency (VAF): 31.1%</t>
  </si>
  <si>
    <t xml:space="preserve">11/11</t>
  </si>
  <si>
    <t xml:space="preserve">c.5942A&gt;G</t>
  </si>
  <si>
    <t xml:space="preserve">p.Asp1981Gly</t>
  </si>
  <si>
    <t xml:space="preserve">NP_001120680.1:p.Asp1981Gly</t>
  </si>
  <si>
    <t xml:space="preserve">NM_001127208.3:c.5942A&gt;G</t>
  </si>
  <si>
    <t xml:space="preserve">TET2 missense_variant in exon 11
HGVSc: c.5942A&gt;G
HGVSp: p.Asp1981Gly
Allele Frequency (VAF): 7.2%</t>
  </si>
  <si>
    <t xml:space="preserve">c.2033G&gt;A</t>
  </si>
  <si>
    <t xml:space="preserve">p.Gly678Asp</t>
  </si>
  <si>
    <t xml:space="preserve">NP_001120680.1:p.Gly678Asp</t>
  </si>
  <si>
    <t xml:space="preserve">NM_001127208.3:c.2033G&gt;A</t>
  </si>
  <si>
    <t xml:space="preserve">TET2 missense_variant in exon 3
HGVSc: c.2033G&gt;A
HGVSp: p.Gly678Asp
Allele Frequency (VAF): 7.6%</t>
  </si>
  <si>
    <t xml:space="preserve">TP53</t>
  </si>
  <si>
    <t xml:space="preserve">B-/T-ALL&amp;BNHL&amp;CLL/MCL&amp;Myeloid&amp;PCD&amp;TNHL</t>
  </si>
  <si>
    <t xml:space="preserve">NM_000546.6</t>
  </si>
  <si>
    <t xml:space="preserve">c.993+16A&gt;G</t>
  </si>
  <si>
    <t xml:space="preserve">NM_000546.6:c.993+16A&gt;G</t>
  </si>
  <si>
    <t xml:space="preserve">Li-Fraumeni_syndrome</t>
  </si>
  <si>
    <t xml:space="preserve">TP53 intron_variant in intron 9
HGVSc: c.993+16A&gt;G
HGVSp: nan
Allele Frequency (VAF): 7.5%</t>
  </si>
  <si>
    <t xml:space="preserve">c.376-7C&gt;T</t>
  </si>
  <si>
    <t xml:space="preserve">NM_000546.6:c.376-7C&gt;T</t>
  </si>
  <si>
    <t xml:space="preserve">Hereditary_cancer-predisposing_syndrome&amp;Li-Fraumeni_syndrome&amp;Li-Fraumeni_syndrome_1&amp;not_specified</t>
  </si>
  <si>
    <t xml:space="preserve">TP53 intron_variant&amp;splice_region_variant in intron 4
HGVSc: c.376-7C&gt;T
HGVSp: nan
dbSNP: rs1555526345
Allele Frequency (VAF): 27.6%</t>
  </si>
  <si>
    <t xml:space="preserve">UBA1</t>
  </si>
  <si>
    <t xml:space="preserve">NM_003334.4</t>
  </si>
  <si>
    <t xml:space="preserve">26/26</t>
  </si>
  <si>
    <t xml:space="preserve">c.3157G&gt;A</t>
  </si>
  <si>
    <t xml:space="preserve">p.Val1053Ile</t>
  </si>
  <si>
    <t xml:space="preserve">NP_003325.2:p.Val1053Ile</t>
  </si>
  <si>
    <t xml:space="preserve">NM_003334.4:c.3157G&gt;A</t>
  </si>
  <si>
    <t xml:space="preserve">UBA1 missense_variant in exon 26
HGVSc: c.3157G&gt;A
HGVSp: p.Val1053Ile
Allele Frequency (VAF): 20.0%</t>
  </si>
  <si>
    <t xml:space="preserve">c.811+9C&gt;G</t>
  </si>
  <si>
    <t xml:space="preserve">NM_003334.4:c.811+9C&gt;G</t>
  </si>
  <si>
    <t xml:space="preserve">Infantile-onset_X-linked_spinal_muscular_atrophy&amp;not_provided&amp;not_specified</t>
  </si>
  <si>
    <t xml:space="preserve">UBA1 intron_variant in intron 8
HGVSc: c.811+9C&gt;G
HGVSp: nan
dbSNP: rs4239964
Allele Frequency (VAF): 99.9%</t>
  </si>
  <si>
    <t xml:space="preserve">8/26</t>
  </si>
  <si>
    <t xml:space="preserve">c.793A&gt;G</t>
  </si>
  <si>
    <t xml:space="preserve">p.Met265Val</t>
  </si>
  <si>
    <t xml:space="preserve">NP_003325.2:p.Met265Val</t>
  </si>
  <si>
    <t xml:space="preserve">NM_003334.4:c.793A&gt;G</t>
  </si>
  <si>
    <t xml:space="preserve">Infantile-onset_X-linked_spinal_muscular_atrophy</t>
  </si>
  <si>
    <t xml:space="preserve">UBA1 missense_variant in exon 8
HGVSc: c.793A&gt;G
HGVSp: p.Met265Val
Allele Frequency (VAF): 11.7%</t>
  </si>
  <si>
    <t xml:space="preserve">VAV1</t>
  </si>
  <si>
    <t xml:space="preserve">NM_005428.4</t>
  </si>
  <si>
    <t xml:space="preserve">17/27</t>
  </si>
  <si>
    <t xml:space="preserve">c.1631A&gt;G</t>
  </si>
  <si>
    <t xml:space="preserve">p.Tyr544Cys</t>
  </si>
  <si>
    <t xml:space="preserve">NP_005419.2:p.Tyr544Cys</t>
  </si>
  <si>
    <t xml:space="preserve">NM_005428.4:c.1631A&gt;G</t>
  </si>
  <si>
    <t xml:space="preserve">VAV1 missense_variant in exon 17
HGVSc: c.1631A&gt;G
HGVSp: p.Tyr544Cys
Allele Frequency (VAF): 5.1%</t>
  </si>
  <si>
    <t xml:space="preserve">WT1</t>
  </si>
  <si>
    <t xml:space="preserve">NM_024426.6</t>
  </si>
  <si>
    <t xml:space="preserve">1/10</t>
  </si>
  <si>
    <t xml:space="preserve">c.408_410dup</t>
  </si>
  <si>
    <t xml:space="preserve">p.Pro141dup</t>
  </si>
  <si>
    <t xml:space="preserve">NP_077744.4:p.Pro141dup</t>
  </si>
  <si>
    <t xml:space="preserve">NM_024426.6:c.408_410dup</t>
  </si>
  <si>
    <t xml:space="preserve">WT1 inframe_insertion in exon 1
HGVSc: c.408_410dup
HGVSp: p.Pro141dup
Allele Frequency (VAF): 6.9%</t>
  </si>
  <si>
    <t xml:space="preserve">YLPM1</t>
  </si>
  <si>
    <t xml:space="preserve">NM_019589.3</t>
  </si>
  <si>
    <t xml:space="preserve">c.3897G&gt;A</t>
  </si>
  <si>
    <t xml:space="preserve">p.Met1299Ile</t>
  </si>
  <si>
    <t xml:space="preserve">NP_062535.2:p.Met1299Ile</t>
  </si>
  <si>
    <t xml:space="preserve">NM_019589.3:c.3897G&gt;A</t>
  </si>
  <si>
    <t xml:space="preserve">YLPM1 missense_variant in exon 5
HGVSc: c.3897G&gt;A
HGVSp: p.Met1299Ile
dbSNP: rs1207968720
Allele Frequency (VAF): 7.0%</t>
  </si>
  <si>
    <t xml:space="preserve">1/21</t>
  </si>
  <si>
    <t xml:space="preserve">c.761dup</t>
  </si>
  <si>
    <t xml:space="preserve">p.Gly255TrpfsTer3</t>
  </si>
  <si>
    <t xml:space="preserve">NP_062535.2:p.Gly255TrpfsTer3</t>
  </si>
  <si>
    <t xml:space="preserve">NM_019589.3:c.761dup</t>
  </si>
  <si>
    <t xml:space="preserve">YLPM1 frameshift_variant in exon 1
HGVSc: c.761dup
HGVSp: p.Gly255TrpfsTer3
dbSNP: rs760065689
Allele Frequency (VAF): 22.7%</t>
  </si>
  <si>
    <t xml:space="preserve">c.761del</t>
  </si>
  <si>
    <t xml:space="preserve">p.Pro254LeufsTer35</t>
  </si>
  <si>
    <t xml:space="preserve">NP_062535.2:p.Pro254LeufsTer35</t>
  </si>
  <si>
    <t xml:space="preserve">NM_019589.3:c.761del</t>
  </si>
  <si>
    <t xml:space="preserve">YLPM1 frameshift_variant in exon 1
HGVSc: c.761del
HGVSp: p.Pro254LeufsTer35
Allele Frequency (VAF): 14.0%</t>
  </si>
  <si>
    <t xml:space="preserve">ZBTB33</t>
  </si>
  <si>
    <t xml:space="preserve">NM_001184742.2</t>
  </si>
  <si>
    <t xml:space="preserve">c.265A&gt;G</t>
  </si>
  <si>
    <t xml:space="preserve">p.Lys89Glu</t>
  </si>
  <si>
    <t xml:space="preserve">NP_001171671.1:p.Lys89Glu</t>
  </si>
  <si>
    <t xml:space="preserve">NM_001184742.2:c.265A&gt;G</t>
  </si>
  <si>
    <t xml:space="preserve">ZBTB33 missense_variant in exon 3
HGVSc: c.265A&gt;G
HGVSp: p.Lys89Glu
Allele Frequency (VAF): 7.8%</t>
  </si>
  <si>
    <t xml:space="preserve">c.581_583dup</t>
  </si>
  <si>
    <t xml:space="preserve">p.Asp194dup</t>
  </si>
  <si>
    <t xml:space="preserve">NP_001171671.1:p.Asp194dup</t>
  </si>
  <si>
    <t xml:space="preserve">NM_001184742.2:c.581_583dup</t>
  </si>
  <si>
    <t xml:space="preserve">clustered_events;multiallelic;slippage</t>
  </si>
  <si>
    <t xml:space="preserve">ZBTB33 inframe_insertion in exon 3
HGVSc: c.581_583dup
HGVSp: p.Asp194dup
Allele Frequency (VAF): 60.9%</t>
  </si>
  <si>
    <t xml:space="preserve">ZNF318</t>
  </si>
  <si>
    <t xml:space="preserve">NM_014345.3</t>
  </si>
  <si>
    <t xml:space="preserve">10/10</t>
  </si>
  <si>
    <t xml:space="preserve">c.4368del</t>
  </si>
  <si>
    <t xml:space="preserve">p.Val1457LeufsTer20</t>
  </si>
  <si>
    <t xml:space="preserve">NP_055160.2:p.Val1457LeufsTer20</t>
  </si>
  <si>
    <t xml:space="preserve">NM_014345.3:c.4368del</t>
  </si>
  <si>
    <t xml:space="preserve">ZNF318 frameshift_variant in exon 10
HGVSc: c.4368del
HGVSp: p.Val1457LeufsTer20
Allele Frequency (VAF): 11.6%</t>
  </si>
  <si>
    <t xml:space="preserve">4/10</t>
  </si>
  <si>
    <t xml:space="preserve">c.1951C&gt;T</t>
  </si>
  <si>
    <t xml:space="preserve">p.Arg651Cys</t>
  </si>
  <si>
    <t xml:space="preserve">NP_055160.2:p.Arg651Cys</t>
  </si>
  <si>
    <t xml:space="preserve">NM_014345.3:c.1951C&gt;T</t>
  </si>
  <si>
    <t xml:space="preserve">ZNF318 missense_variant in exon 4
HGVSc: c.1951C&gt;T
HGVSp: p.Arg651Cys
dbSNP: rs780911532
Allele Frequency (VAF): 3.8%</t>
  </si>
  <si>
    <t xml:space="preserve">c.548+16G&gt;A</t>
  </si>
  <si>
    <t xml:space="preserve">NM_014345.3:c.548+16G&gt;A</t>
  </si>
  <si>
    <t xml:space="preserve">ZNF318 intron_variant in intron 2
HGVSc: c.548+16G&gt;A
HGVSp: nan
Allele Frequency (VAF): 10.1%</t>
  </si>
  <si>
    <t xml:space="preserve">ZRSR2</t>
  </si>
  <si>
    <t xml:space="preserve">NM_005089.4</t>
  </si>
  <si>
    <t xml:space="preserve">c.1338_1343del</t>
  </si>
  <si>
    <t xml:space="preserve">p.Ser447_Arg448del</t>
  </si>
  <si>
    <t xml:space="preserve">NP_005080.1:p.Ser447_Arg448del</t>
  </si>
  <si>
    <t xml:space="preserve">NM_005089.4:c.1338_1343del</t>
  </si>
  <si>
    <t xml:space="preserve">ZRSR2 inframe_deletion in exon 11
HGVSc: c.1338_1343del
HGVSp: p.Ser447_Arg448del
dbSNP: rs752736259
Allele Frequency (VAF): 15.2%</t>
  </si>
  <si>
    <t xml:space="preserve">24/34</t>
  </si>
  <si>
    <t xml:space="preserve">c.3384G&gt;A</t>
  </si>
  <si>
    <t xml:space="preserve">p.Lys1128=</t>
  </si>
  <si>
    <t xml:space="preserve">NP_055730.2:p.Lys1128=</t>
  </si>
  <si>
    <t xml:space="preserve">synonymous_variant</t>
  </si>
  <si>
    <t xml:space="preserve">NM_014915.3:c.3384G&gt;A</t>
  </si>
  <si>
    <t xml:space="preserve">Thrombocytopenia_2&amp;not_provided&amp;not_specified</t>
  </si>
  <si>
    <t xml:space="preserve">95/1706</t>
  </si>
  <si>
    <t xml:space="preserve">ANKRD26 synonymous_variant in exon 24
HGVSc: c.3384G&gt;A
HGVSp: p.Lys1128=
dbSNP: rs41299210
Allele Frequency (VAF): 29.4%</t>
  </si>
  <si>
    <t xml:space="preserve">c.1986-3del</t>
  </si>
  <si>
    <t xml:space="preserve">NM_014915.3:c.1986-3del</t>
  </si>
  <si>
    <t xml:space="preserve">multiallelic;</t>
  </si>
  <si>
    <t xml:space="preserve">Thrombocytopenia&amp;Thrombocytopenia_2&amp;not_provided&amp;not_specified</t>
  </si>
  <si>
    <t xml:space="preserve">1705/1706</t>
  </si>
  <si>
    <t xml:space="preserve">ANKRD26 intron_variant&amp;splice_region_variant in intron 18
HGVSc: c.1986-3del
HGVSp: nan
dbSNP: rs113123391
Allele Frequency (VAF): 3.0%</t>
  </si>
  <si>
    <t xml:space="preserve">c.2778A&gt;G</t>
  </si>
  <si>
    <t xml:space="preserve">p.Leu926=</t>
  </si>
  <si>
    <t xml:space="preserve">NP_055730.2:p.Leu926=</t>
  </si>
  <si>
    <t xml:space="preserve">NM_014915.3:c.2778A&gt;G</t>
  </si>
  <si>
    <t xml:space="preserve">ANKRD26-related_disorder&amp;Inborn_genetic_diseases</t>
  </si>
  <si>
    <t xml:space="preserve">ANKRD26 synonymous_variant in exon 24
HGVSc: c.2778A&gt;G
HGVSp: p.Leu926=
dbSNP: rs909249689
Allele Frequency (VAF): 12.7%</t>
  </si>
  <si>
    <t xml:space="preserve">4/16</t>
  </si>
  <si>
    <t xml:space="preserve">c.285G&gt;A</t>
  </si>
  <si>
    <t xml:space="preserve">p.Pro95=</t>
  </si>
  <si>
    <t xml:space="preserve">NP_001645.1:p.Pro95=</t>
  </si>
  <si>
    <t xml:space="preserve">NM_001654.5:c.285G&gt;A</t>
  </si>
  <si>
    <t xml:space="preserve">ARAF synonymous_variant in exon 4
HGVSc: c.285G&gt;A
HGVSp: p.Pro95=
dbSNP: rs748685491
Allele Frequency (VAF): 11.1%</t>
  </si>
  <si>
    <t xml:space="preserve">c.4563C&gt;T</t>
  </si>
  <si>
    <t xml:space="preserve">p.Pro1521=</t>
  </si>
  <si>
    <t xml:space="preserve">NP_006006.3:p.Pro1521=</t>
  </si>
  <si>
    <t xml:space="preserve">NM_006015.6:c.4563C&gt;T</t>
  </si>
  <si>
    <t xml:space="preserve">ARID1A synonymous_variant in exon 18
HGVSc: c.4563C&gt;T
HGVSp: p.Pro1521=
dbSNP: rs149095176
Allele Frequency (VAF): 6.7%</t>
  </si>
  <si>
    <t xml:space="preserve">c.60_62del</t>
  </si>
  <si>
    <t xml:space="preserve">p.Pro21del</t>
  </si>
  <si>
    <t xml:space="preserve">NP_006006.3:p.Pro21del</t>
  </si>
  <si>
    <t xml:space="preserve">NM_006015.6:c.60_62del</t>
  </si>
  <si>
    <t xml:space="preserve">clustered_events;slippage;</t>
  </si>
  <si>
    <t xml:space="preserve">ARID1A-related_disorder&amp;not_provided</t>
  </si>
  <si>
    <t xml:space="preserve">1699/1706</t>
  </si>
  <si>
    <t xml:space="preserve">ARID1A inframe_deletion in exon 1
HGVSc: c.60_62del
HGVSp: p.Pro21del
dbSNP: rs748085214
Allele Frequency (VAF): 4.2%</t>
  </si>
  <si>
    <t xml:space="preserve">2/20</t>
  </si>
  <si>
    <t xml:space="preserve">c.1281G&gt;A</t>
  </si>
  <si>
    <t xml:space="preserve">p.Pro427=</t>
  </si>
  <si>
    <t xml:space="preserve">NP_006006.3:p.Pro427=</t>
  </si>
  <si>
    <t xml:space="preserve">NM_006015.6:c.1281G&gt;A</t>
  </si>
  <si>
    <t xml:space="preserve">ARID1A synonymous_variant in exon 2
HGVSc: c.1281G&gt;A
HGVSp: p.Pro427=
dbSNP: rs139562988
Allele Frequency (VAF): 33.2%</t>
  </si>
  <si>
    <t xml:space="preserve">c.3999_4001del</t>
  </si>
  <si>
    <t xml:space="preserve">p.Gln1334del</t>
  </si>
  <si>
    <t xml:space="preserve">NP_006006.3:p.Gln1334del</t>
  </si>
  <si>
    <t xml:space="preserve">NM_006015.6:c.3999_4001del</t>
  </si>
  <si>
    <t xml:space="preserve">clustered_events;multiallelic;</t>
  </si>
  <si>
    <t xml:space="preserve">1698/1706</t>
  </si>
  <si>
    <t xml:space="preserve">ARID1A inframe_deletion in exon 16
HGVSc: c.3999_4001del
HGVSp: p.Gln1334del
dbSNP: rs374564889
Allele Frequency (VAF): 3.3%</t>
  </si>
  <si>
    <t xml:space="preserve">c.773-14A&gt;C</t>
  </si>
  <si>
    <t xml:space="preserve">NM_152641.4:c.773-14A&gt;C</t>
  </si>
  <si>
    <t xml:space="preserve">ARID2 intron_variant in intron 7
HGVSc: c.773-14A&gt;C
HGVSp: nan
dbSNP: rs151327096
Allele Frequency (VAF): 8.0%</t>
  </si>
  <si>
    <t xml:space="preserve">c.3745A&gt;G</t>
  </si>
  <si>
    <t xml:space="preserve">p.Met1249Val</t>
  </si>
  <si>
    <t xml:space="preserve">NP_056153.2:p.Met1249Val</t>
  </si>
  <si>
    <t xml:space="preserve">NM_015338.6:c.3745A&gt;G</t>
  </si>
  <si>
    <t xml:space="preserve">Bohring-Opitz_syndrome&amp;not_provided&amp;not_specified</t>
  </si>
  <si>
    <t xml:space="preserve">11/1706</t>
  </si>
  <si>
    <t xml:space="preserve">ASXL1 missense_variant in exon 13
HGVSc: c.3745A&gt;G
HGVSp: p.Met1249Val
dbSNP: rs146141075
Allele Frequency (VAF): 9.7%</t>
  </si>
  <si>
    <t xml:space="preserve">ASXL2</t>
  </si>
  <si>
    <t xml:space="preserve">NM_018263.6</t>
  </si>
  <si>
    <t xml:space="preserve">5/13</t>
  </si>
  <si>
    <t xml:space="preserve">c.380A&gt;G</t>
  </si>
  <si>
    <t xml:space="preserve">p.Lys127Arg</t>
  </si>
  <si>
    <t xml:space="preserve">NP_060733.4:p.Lys127Arg</t>
  </si>
  <si>
    <t xml:space="preserve">NM_018263.6:c.380A&gt;G</t>
  </si>
  <si>
    <t xml:space="preserve">clustered_events;</t>
  </si>
  <si>
    <t xml:space="preserve">ASXL2 missense_variant in exon 5
HGVSc: c.380A&gt;G
HGVSp: p.Lys127Arg
dbSNP: rs34816614
Allele Frequency (VAF): 7.9%</t>
  </si>
  <si>
    <t xml:space="preserve">c.1236-4_1236-3del</t>
  </si>
  <si>
    <t xml:space="preserve">NM_000051.4:c.1236-4_1236-3del</t>
  </si>
  <si>
    <t xml:space="preserve">Breast_and/or_ovarian_cancer&amp;Familial_colorectal_cancer_type_X&amp;Hereditary_cancer-predisposing_syndrome&amp;not_provided&amp;not_specified</t>
  </si>
  <si>
    <t xml:space="preserve">ATM intron_variant&amp;splice_region_variant in intron 9
HGVSc: c.1236-4_1236-3del
HGVSp: nan
dbSNP: rs34325032
Allele Frequency (VAF): 21.6%</t>
  </si>
  <si>
    <t xml:space="preserve">48/63</t>
  </si>
  <si>
    <t xml:space="preserve">c.6995T&gt;C</t>
  </si>
  <si>
    <t xml:space="preserve">p.Leu2332Pro</t>
  </si>
  <si>
    <t xml:space="preserve">NP_000042.3:p.Leu2332Pro</t>
  </si>
  <si>
    <t xml:space="preserve">NM_000051.4:c.6995T&gt;C</t>
  </si>
  <si>
    <t xml:space="preserve">ATM-related_cancer_predisposition&amp;Ataxia-telangiectasia_syndrome&amp;Breast_and/or_ovarian_cancer&amp;Familial_cancer_of_breast&amp;Hereditary_breast_ovarian_cancer_syndrome&amp;Hereditary_cancer-predisposing_syndrome&amp;Malignant_tumor_of_breast&amp;not_provided&amp;not_specified</t>
  </si>
  <si>
    <t xml:space="preserve">ATM missense_variant in exon 48
HGVSc: c.6995T&gt;C
HGVSp: p.Leu2332Pro
dbSNP: rs4988111
Allele Frequency (VAF): 7.0%</t>
  </si>
  <si>
    <t xml:space="preserve">c.6572+12G&gt;T</t>
  </si>
  <si>
    <t xml:space="preserve">NM_000051.4:c.6572+12G&gt;T</t>
  </si>
  <si>
    <t xml:space="preserve">Ataxia-telangiectasia_syndrome&amp;Breast_and/or_ovarian_cancer&amp;Familial_cancer_of_breast&amp;Hereditary_breast_ovarian_cancer_syndrome&amp;Hereditary_cancer-predisposing_syndrome&amp;Malignant_tumor_of_breast&amp;not_provided&amp;not_specified</t>
  </si>
  <si>
    <t xml:space="preserve">ATM intron_variant in intron 45
HGVSc: c.6572+12G&gt;T
HGVSp: nan
dbSNP: rs3218677
Allele Frequency (VAF): 7.8%</t>
  </si>
  <si>
    <t xml:space="preserve">c.6347+31del</t>
  </si>
  <si>
    <t xml:space="preserve">NM_000051.4:c.6347+31del</t>
  </si>
  <si>
    <t xml:space="preserve">Ataxia-telangiectasia_syndrome&amp;Hereditary_cancer-predisposing_syndrome&amp;not_provided&amp;not_specified</t>
  </si>
  <si>
    <t xml:space="preserve">ATM intron_variant in intron 43
HGVSc: c.6347+31del
HGVSp: nan
dbSNP: rs58978479
Allele Frequency (VAF): 24.4%</t>
  </si>
  <si>
    <t xml:space="preserve">c.6095+15T&gt;C</t>
  </si>
  <si>
    <t xml:space="preserve">NM_000051.4:c.6095+15T&gt;C</t>
  </si>
  <si>
    <t xml:space="preserve">ATM intron_variant in intron 41
HGVSc: c.6095+15T&gt;C
HGVSp: nan
dbSNP: rs3212321
Allele Frequency (VAF): 7.3%</t>
  </si>
  <si>
    <t xml:space="preserve">c.3403-15T&gt;A</t>
  </si>
  <si>
    <t xml:space="preserve">NM_000051.4:c.3403-15T&gt;A</t>
  </si>
  <si>
    <t xml:space="preserve">Ataxia-telangiectasia_syndrome&amp;Breast_and/or_ovarian_cancer&amp;Familial_cancer_of_breast&amp;Hereditary_cancer-predisposing_syndrome&amp;Malignant_tumor_of_breast&amp;not_provided&amp;not_specified</t>
  </si>
  <si>
    <t xml:space="preserve">ATM intron_variant in intron 23
HGVSc: c.3403-15T&gt;A
HGVSp: nan
dbSNP: rs79701258
Allele Frequency (VAF): 4.2%</t>
  </si>
  <si>
    <t xml:space="preserve">c.2922-8del</t>
  </si>
  <si>
    <t xml:space="preserve">NM_000051.4:c.2922-8del</t>
  </si>
  <si>
    <t xml:space="preserve">Ataxia-telangiectasia_syndrome&amp;Breast_and/or_ovarian_cancer&amp;Hereditary_cancer-predisposing_syndrome&amp;not_provided&amp;not_specified</t>
  </si>
  <si>
    <t xml:space="preserve">ATM intron_variant&amp;splice_region_variant in intron 19
HGVSc: c.2922-8del
HGVSp: nan
dbSNP: rs373881770
Allele Frequency (VAF): 14.2%</t>
  </si>
  <si>
    <t xml:space="preserve">c.3383A&gt;G</t>
  </si>
  <si>
    <t xml:space="preserve">p.Gln1128Arg</t>
  </si>
  <si>
    <t xml:space="preserve">NP_000042.3:p.Gln1128Arg</t>
  </si>
  <si>
    <t xml:space="preserve">NM_000051.4:c.3383A&gt;G</t>
  </si>
  <si>
    <t xml:space="preserve">Ataxia-telangiectasia_syndrome&amp;Familial_cancer_of_breast&amp;Hereditary_breast_ovarian_cancer_syndrome&amp;Hereditary_cancer-predisposing_syndrome&amp;Malignant_tumor_of_breast&amp;not_provided&amp;not_specified</t>
  </si>
  <si>
    <t xml:space="preserve">ATM missense_variant in exon 23
HGVSc: c.3383A&gt;G
HGVSp: p.Gln1128Arg
dbSNP: rs2229020
Allele Frequency (VAF): 7.5%</t>
  </si>
  <si>
    <t xml:space="preserve">18/63</t>
  </si>
  <si>
    <t xml:space="preserve">c.2685A&gt;G</t>
  </si>
  <si>
    <t xml:space="preserve">p.Leu895=</t>
  </si>
  <si>
    <t xml:space="preserve">NP_000042.3:p.Leu895=</t>
  </si>
  <si>
    <t xml:space="preserve">NM_000051.4:c.2685A&gt;G</t>
  </si>
  <si>
    <t xml:space="preserve">ATM synonymous_variant in exon 18
HGVSc: c.2685A&gt;G
HGVSp: p.Leu895=
dbSNP: rs3218687
Allele Frequency (VAF): 7.2%</t>
  </si>
  <si>
    <t xml:space="preserve">14/63</t>
  </si>
  <si>
    <t xml:space="preserve">c.2193C&gt;T</t>
  </si>
  <si>
    <t xml:space="preserve">p.Tyr731=</t>
  </si>
  <si>
    <t xml:space="preserve">NP_000042.3:p.Tyr731=</t>
  </si>
  <si>
    <t xml:space="preserve">NM_000051.4:c.2193C&gt;T</t>
  </si>
  <si>
    <t xml:space="preserve">ATM synonymous_variant in exon 14
HGVSc: c.2193C&gt;T
HGVSp: p.Tyr731=
dbSNP: rs2229019
Allele Frequency (VAF): 6.2%</t>
  </si>
  <si>
    <t xml:space="preserve">11/63</t>
  </si>
  <si>
    <t xml:space="preserve">c.1636C&gt;G</t>
  </si>
  <si>
    <t xml:space="preserve">p.Leu546Val</t>
  </si>
  <si>
    <t xml:space="preserve">NP_000042.3:p.Leu546Val</t>
  </si>
  <si>
    <t xml:space="preserve">NM_000051.4:c.1636C&gt;G</t>
  </si>
  <si>
    <t xml:space="preserve">Ataxia-telangiectasia_syndrome&amp;Breast_and/or_ovarian_cancer&amp;Familial_cancer_of_breast&amp;Hereditary_breast_ovarian_cancer_syndrome&amp;Hereditary_cancer-predisposing_syndrome&amp;not_provided&amp;not_specified</t>
  </si>
  <si>
    <t xml:space="preserve">ATM missense_variant in exon 11
HGVSc: c.1636C&gt;G
HGVSp: p.Leu546Val
dbSNP: rs2227924
Allele Frequency (VAF): 7.2%</t>
  </si>
  <si>
    <t xml:space="preserve">c.2922-9_2922-8del</t>
  </si>
  <si>
    <t xml:space="preserve">NM_000051.4:c.2922-9_2922-8del</t>
  </si>
  <si>
    <t xml:space="preserve">Breast_and/or_ovarian_cancer&amp;not_specified</t>
  </si>
  <si>
    <t xml:space="preserve">ATM intron_variant&amp;splice_region_variant in intron 19
HGVSc: c.2922-9_2922-8del
HGVSp: nan
dbSNP: rs373881770
Allele Frequency (VAF): 26.9%</t>
  </si>
  <si>
    <t xml:space="preserve">17/63</t>
  </si>
  <si>
    <t xml:space="preserve">c.2614C&gt;T</t>
  </si>
  <si>
    <t xml:space="preserve">p.Pro872Ser</t>
  </si>
  <si>
    <t xml:space="preserve">NP_000042.3:p.Pro872Ser</t>
  </si>
  <si>
    <t xml:space="preserve">NM_000051.4:c.2614C&gt;T</t>
  </si>
  <si>
    <t xml:space="preserve">ATM missense_variant in exon 17
HGVSc: c.2614C&gt;T
HGVSp: p.Pro872Ser
dbSNP: rs3218673
Allele Frequency (VAF): 7.0%</t>
  </si>
  <si>
    <t xml:space="preserve">35/35</t>
  </si>
  <si>
    <t xml:space="preserve">c.7320G&gt;A</t>
  </si>
  <si>
    <t xml:space="preserve">p.Lys2440=</t>
  </si>
  <si>
    <t xml:space="preserve">NP_000480.3:p.Lys2440=</t>
  </si>
  <si>
    <t xml:space="preserve">NM_000489.6:c.7320G&gt;A</t>
  </si>
  <si>
    <t xml:space="preserve">Alpha_thalassemia-X-linked_intellectual_disability_syndrome</t>
  </si>
  <si>
    <t xml:space="preserve">ATRX synonymous_variant in exon 35
HGVSc: c.7320G&gt;A
HGVSp: p.Lys2440=
dbSNP: rs149242238
Allele Frequency (VAF): 7.3%</t>
  </si>
  <si>
    <t xml:space="preserve">15/35</t>
  </si>
  <si>
    <t xml:space="preserve">c.4377_4379del</t>
  </si>
  <si>
    <t xml:space="preserve">p.Glu1464del</t>
  </si>
  <si>
    <t xml:space="preserve">NP_000480.3:p.Glu1464del</t>
  </si>
  <si>
    <t xml:space="preserve">NM_000489.6:c.4377_4379del</t>
  </si>
  <si>
    <t xml:space="preserve">slippage;</t>
  </si>
  <si>
    <t xml:space="preserve">ATRX-related_disorder&amp;Alpha_thalassemia-X-linked_intellectual_disability_syndrome&amp;Inborn_genetic_diseases&amp;Intellectual_disability&amp;not_provided&amp;not_specified</t>
  </si>
  <si>
    <t xml:space="preserve">ATRX inframe_deletion in exon 15
HGVSc: c.4377_4379del
HGVSp: p.Glu1464del
dbSNP: rs398123423
Allele Frequency (VAF): 3.4%</t>
  </si>
  <si>
    <t xml:space="preserve">c.2785G&gt;C</t>
  </si>
  <si>
    <t xml:space="preserve">p.Glu929Gln</t>
  </si>
  <si>
    <t xml:space="preserve">NP_000480.3:p.Glu929Gln</t>
  </si>
  <si>
    <t xml:space="preserve">NM_000489.6:c.2785G&gt;C</t>
  </si>
  <si>
    <t xml:space="preserve">ATRX missense_variant in exon 9
HGVSc: c.2785G&gt;C
HGVSp: p.Glu929Gln
dbSNP: rs3088074
Allele Frequency (VAF): 90.2%</t>
  </si>
  <si>
    <t xml:space="preserve">BCL2</t>
  </si>
  <si>
    <t xml:space="preserve">B-/T-ALL&amp;BNHL&amp;CLL/MCL&amp;Myeloid</t>
  </si>
  <si>
    <t xml:space="preserve">NM_000633.3</t>
  </si>
  <si>
    <t xml:space="preserve">c.6G&gt;A</t>
  </si>
  <si>
    <t xml:space="preserve">p.Ala2=</t>
  </si>
  <si>
    <t xml:space="preserve">NP_000624.2:p.Ala2=</t>
  </si>
  <si>
    <t xml:space="preserve">NM_000633.3:c.6G&gt;A</t>
  </si>
  <si>
    <t xml:space="preserve">BCL2 synonymous_variant in exon 2
HGVSc: c.6G&gt;A
HGVSp: p.Ala2=
Allele Frequency (VAF): 6.8%</t>
  </si>
  <si>
    <t xml:space="preserve">c.1260T&gt;C</t>
  </si>
  <si>
    <t xml:space="preserve">p.Asp420=</t>
  </si>
  <si>
    <t xml:space="preserve">NP_001116857.1:p.Asp420=</t>
  </si>
  <si>
    <t xml:space="preserve">NM_001123385.2:c.1260T&gt;C</t>
  </si>
  <si>
    <t xml:space="preserve">Inborn_genetic_diseases&amp;Oculofaciocardiodental_syndrome&amp;not_provided&amp;not_specified</t>
  </si>
  <si>
    <t xml:space="preserve">1569/1706</t>
  </si>
  <si>
    <t xml:space="preserve">BCOR synonymous_variant in exon 4
HGVSc: c.1260T&gt;C
HGVSp: p.Asp420=
dbSNP: rs5917933
Allele Frequency (VAF): 45.6%</t>
  </si>
  <si>
    <t xml:space="preserve">c.3396C&gt;G</t>
  </si>
  <si>
    <t xml:space="preserve">p.Leu1132=</t>
  </si>
  <si>
    <t xml:space="preserve">NP_001366380.1:p.Leu1132=</t>
  </si>
  <si>
    <t xml:space="preserve">NM_001379451.1:c.3396C&gt;G</t>
  </si>
  <si>
    <t xml:space="preserve">BCORL1 synonymous_variant in exon 4
HGVSc: c.3396C&gt;G
HGVSp: p.Leu1132=
dbSNP: rs7062200
Allele Frequency (VAF): 9.4%</t>
  </si>
  <si>
    <t xml:space="preserve">2/9</t>
  </si>
  <si>
    <t xml:space="preserve">c.261A&gt;G</t>
  </si>
  <si>
    <t xml:space="preserve">p.Lys87=</t>
  </si>
  <si>
    <t xml:space="preserve">NP_001156.1:p.Lys87=</t>
  </si>
  <si>
    <t xml:space="preserve">NM_001165.5:c.261A&gt;G</t>
  </si>
  <si>
    <t xml:space="preserve">BIRC3 synonymous_variant in exon 2
HGVSc: c.261A&gt;G
HGVSp: p.Lys87=
dbSNP: rs7930386
Allele Frequency (VAF): 14.3%</t>
  </si>
  <si>
    <t xml:space="preserve">c.336T&gt;G</t>
  </si>
  <si>
    <t xml:space="preserve">p.Thr112=</t>
  </si>
  <si>
    <t xml:space="preserve">NP_001156.1:p.Thr112=</t>
  </si>
  <si>
    <t xml:space="preserve">NM_001165.5:c.336T&gt;G</t>
  </si>
  <si>
    <t xml:space="preserve">BIRC3 synonymous_variant in exon 2
HGVSc: c.336T&gt;G
HGVSp: p.Thr112=
Allele Frequency (VAF): 4.2%</t>
  </si>
  <si>
    <t xml:space="preserve">c.1033-19_1033-17del</t>
  </si>
  <si>
    <t xml:space="preserve">NM_001165.5:c.1033-19_1033-17del</t>
  </si>
  <si>
    <t xml:space="preserve">BIRC3 intron_variant in intron 4
HGVSc: c.1033-19_1033-17del
HGVSp: nan
dbSNP: rs760532659
Allele Frequency (VAF): 8.0%</t>
  </si>
  <si>
    <t xml:space="preserve">c.1033-7del</t>
  </si>
  <si>
    <t xml:space="preserve">NM_001165.5:c.1033-7del</t>
  </si>
  <si>
    <t xml:space="preserve">BIRC3 intron_variant&amp;splice_region_variant in intron 4
HGVSc: c.1033-7del
HGVSp: nan
dbSNP: rs762000514
Allele Frequency (VAF): 15.2%</t>
  </si>
  <si>
    <t xml:space="preserve">c.1033-15T&gt;A</t>
  </si>
  <si>
    <t xml:space="preserve">NM_001165.5:c.1033-15T&gt;A</t>
  </si>
  <si>
    <t xml:space="preserve">BIRC3 intron_variant in intron 4
HGVSc: c.1033-15T&gt;A
HGVSp: nan
dbSNP: rs201836037
Allele Frequency (VAF): 6.2%</t>
  </si>
  <si>
    <t xml:space="preserve">17/18</t>
  </si>
  <si>
    <t xml:space="preserve">c.1998T&gt;C</t>
  </si>
  <si>
    <t xml:space="preserve">p.Ile666=</t>
  </si>
  <si>
    <t xml:space="preserve">NP_004324.2:p.Ile666=</t>
  </si>
  <si>
    <t xml:space="preserve">NM_004333.6:c.1998T&gt;C</t>
  </si>
  <si>
    <t xml:space="preserve">BRAF synonymous_variant in exon 17
HGVSc: c.1998T&gt;C
HGVSp: p.Ile666=
Allele Frequency (VAF): 6.4%</t>
  </si>
  <si>
    <t xml:space="preserve">c.2128-5del</t>
  </si>
  <si>
    <t xml:space="preserve">NM_004333.6:c.2128-5del</t>
  </si>
  <si>
    <t xml:space="preserve">Cardio-facio-cutaneous_syndrome&amp;Noonan_syndrome&amp;Noonan_syndrome_and_Noonan-related_syndrome&amp;Noonan_syndrome_with_multiple_lentigines&amp;RASopathy&amp;not_provided&amp;not_specified</t>
  </si>
  <si>
    <t xml:space="preserve">1480/1706</t>
  </si>
  <si>
    <t xml:space="preserve">BRAF intron_variant&amp;splice_region_variant in intron 17
HGVSc: c.2128-5del
HGVSp: nan
dbSNP: rs373442098
Allele Frequency (VAF): 22.1%</t>
  </si>
  <si>
    <t xml:space="preserve">BTK</t>
  </si>
  <si>
    <t xml:space="preserve">NM_000061.3</t>
  </si>
  <si>
    <t xml:space="preserve">3/19</t>
  </si>
  <si>
    <t xml:space="preserve">c.237T&gt;C</t>
  </si>
  <si>
    <t xml:space="preserve">p.Ile79=</t>
  </si>
  <si>
    <t xml:space="preserve">NP_000052.1:p.Ile79=</t>
  </si>
  <si>
    <t xml:space="preserve">NM_000061.3:c.237T&gt;C</t>
  </si>
  <si>
    <t xml:space="preserve">BTK synonymous_variant in exon 3
HGVSc: c.237T&gt;C
HGVSp: p.Ile79=
Allele Frequency (VAF): 35.7%</t>
  </si>
  <si>
    <t xml:space="preserve">c.1755-20del</t>
  </si>
  <si>
    <t xml:space="preserve">NM_032415.7:c.1755-20del</t>
  </si>
  <si>
    <t xml:space="preserve">BENTA_disease&amp;Severe_combined_immunodeficiency_due_to_CARD11_deficiency&amp;not_specified</t>
  </si>
  <si>
    <t xml:space="preserve">CARD11 intron_variant in intron 13
HGVSc: c.1755-20del
HGVSp: nan
dbSNP: rs145380018
Allele Frequency (VAF): 29.8%</t>
  </si>
  <si>
    <t xml:space="preserve">10/25</t>
  </si>
  <si>
    <t xml:space="preserve">c.1440G&gt;A</t>
  </si>
  <si>
    <t xml:space="preserve">p.Ser480=</t>
  </si>
  <si>
    <t xml:space="preserve">NP_115791.3:p.Ser480=</t>
  </si>
  <si>
    <t xml:space="preserve">NM_032415.7:c.1440G&gt;A</t>
  </si>
  <si>
    <t xml:space="preserve">BENTA_disease&amp;CARD11-related_disorder&amp;Severe_combined_immunodeficiency_due_to_CARD11_deficiency&amp;not_specified</t>
  </si>
  <si>
    <t xml:space="preserve">CARD11 synonymous_variant in exon 10
HGVSc: c.1440G&gt;A
HGVSp: p.Ser480=
dbSNP: rs41396348
Allele Frequency (VAF): 5.7%</t>
  </si>
  <si>
    <t xml:space="preserve">15/25</t>
  </si>
  <si>
    <t xml:space="preserve">c.1923G&gt;A</t>
  </si>
  <si>
    <t xml:space="preserve">p.Arg641=</t>
  </si>
  <si>
    <t xml:space="preserve">NP_115791.3:p.Arg641=</t>
  </si>
  <si>
    <t xml:space="preserve">NM_032415.7:c.1923G&gt;A</t>
  </si>
  <si>
    <t xml:space="preserve">BENTA_disease&amp;Immunodeficiency_11b_with_atopic_dermatitis&amp;Severe_combined_immunodeficiency_due_to_CARD11_deficiency&amp;not_specified</t>
  </si>
  <si>
    <t xml:space="preserve">CARD11 synonymous_variant in exon 15
HGVSc: c.1923G&gt;A
HGVSp: p.Arg641=
dbSNP: rs41405944
Allele Frequency (VAF): 4.3%</t>
  </si>
  <si>
    <t xml:space="preserve">CBL</t>
  </si>
  <si>
    <t xml:space="preserve">NM_005188.4</t>
  </si>
  <si>
    <t xml:space="preserve">c.125_127del</t>
  </si>
  <si>
    <t xml:space="preserve">p.His42del</t>
  </si>
  <si>
    <t xml:space="preserve">NP_005179.2:p.His42del</t>
  </si>
  <si>
    <t xml:space="preserve">NM_005188.4:c.125_127del</t>
  </si>
  <si>
    <t xml:space="preserve">CBL-related_disorder&amp;Hereditary_cancer-predisposing_syndrome&amp;Juvenile_myelomonocytic_leukemia&amp;RASopathy&amp;not_specified</t>
  </si>
  <si>
    <t xml:space="preserve">1673/1706</t>
  </si>
  <si>
    <t xml:space="preserve">CBL inframe_deletion in exon 1
HGVSc: c.125_127del
HGVSp: p.His42del
dbSNP: rs373212940
Allele Frequency (VAF): 3.8%</t>
  </si>
  <si>
    <t xml:space="preserve">c.1380_1382del</t>
  </si>
  <si>
    <t xml:space="preserve">p.Asp460del</t>
  </si>
  <si>
    <t xml:space="preserve">NP_005179.2:p.Asp460del</t>
  </si>
  <si>
    <t xml:space="preserve">inframe_deletion&amp;stop_lost</t>
  </si>
  <si>
    <t xml:space="preserve">NM_005188.4:c.1380_1382del</t>
  </si>
  <si>
    <t xml:space="preserve">CBL-related_disorder&amp;RASopathy</t>
  </si>
  <si>
    <t xml:space="preserve">1201/1706</t>
  </si>
  <si>
    <t xml:space="preserve">CBL inframe_deletion&amp;stop_lost in exon 9
HGVSc: c.1380_1382del
HGVSp: p.Asp460del
dbSNP: rs397507494
Allele Frequency (VAF): 3.1%</t>
  </si>
  <si>
    <t xml:space="preserve">CEBPA</t>
  </si>
  <si>
    <t xml:space="preserve">NM_004364.5</t>
  </si>
  <si>
    <t xml:space="preserve">1/1</t>
  </si>
  <si>
    <t xml:space="preserve">c.564_566del</t>
  </si>
  <si>
    <t xml:space="preserve">p.Pro189del</t>
  </si>
  <si>
    <t xml:space="preserve">NP_004355.2:p.Pro189del</t>
  </si>
  <si>
    <t xml:space="preserve">NM_004364.5:c.564_566del</t>
  </si>
  <si>
    <t xml:space="preserve">Acute_myeloid_leukemia&amp;CEBPA-related_disorder&amp;Hereditary_cancer-predisposing_syndrome&amp;Inborn_genetic_diseases&amp;not_provided</t>
  </si>
  <si>
    <t xml:space="preserve">1629/1706</t>
  </si>
  <si>
    <t xml:space="preserve">CEBPA inframe_deletion in exon 1
HGVSc: c.564_566del
HGVSp: p.Pro189del
dbSNP: rs746430067
Allele Frequency (VAF): 5.3%</t>
  </si>
  <si>
    <t xml:space="preserve">2/31</t>
  </si>
  <si>
    <t xml:space="preserve">c.270C&gt;T</t>
  </si>
  <si>
    <t xml:space="preserve">p.Ser90=</t>
  </si>
  <si>
    <t xml:space="preserve">NP_004371.2:p.Ser90=</t>
  </si>
  <si>
    <t xml:space="preserve">NM_004380.3:c.270C&gt;T</t>
  </si>
  <si>
    <t xml:space="preserve">Rubinstein-Taybi_syndrome</t>
  </si>
  <si>
    <t xml:space="preserve">CREBBP synonymous_variant in exon 2
HGVSc: c.270C&gt;T
HGVSp: p.Ser90=
dbSNP: rs748030826
Allele Frequency (VAF): 10.2%</t>
  </si>
  <si>
    <t xml:space="preserve">30/31</t>
  </si>
  <si>
    <t xml:space="preserve">c.4899C&gt;T</t>
  </si>
  <si>
    <t xml:space="preserve">p.Phe1633=</t>
  </si>
  <si>
    <t xml:space="preserve">NP_004371.2:p.Phe1633=</t>
  </si>
  <si>
    <t xml:space="preserve">NM_004380.3:c.4899C&gt;T</t>
  </si>
  <si>
    <t xml:space="preserve">CREBBP-related_disorder&amp;Rubinstein-Taybi_syndrome</t>
  </si>
  <si>
    <t xml:space="preserve">CREBBP synonymous_variant in exon 30
HGVSc: c.4899C&gt;T
HGVSp: p.Phe1633=
dbSNP: rs750086197
Allele Frequency (VAF): 7.5%</t>
  </si>
  <si>
    <t xml:space="preserve">c.333C&gt;T</t>
  </si>
  <si>
    <t xml:space="preserve">p.Asn111=</t>
  </si>
  <si>
    <t xml:space="preserve">NP_004371.2:p.Asn111=</t>
  </si>
  <si>
    <t xml:space="preserve">NM_004380.3:c.333C&gt;T</t>
  </si>
  <si>
    <t xml:space="preserve">Inborn_genetic_diseases&amp;Rubinstein-Taybi_syndrome&amp;not_provided&amp;not_specified</t>
  </si>
  <si>
    <t xml:space="preserve">CREBBP synonymous_variant in exon 2
HGVSc: c.333C&gt;T
HGVSp: p.Asn111=
dbSNP: rs150229705
Allele Frequency (VAF): 7.0%</t>
  </si>
  <si>
    <t xml:space="preserve">CSF1R</t>
  </si>
  <si>
    <t xml:space="preserve">Histiocytosis&amp;Myeloid</t>
  </si>
  <si>
    <t xml:space="preserve">NM_001288705.3</t>
  </si>
  <si>
    <t xml:space="preserve">13/21</t>
  </si>
  <si>
    <t xml:space="preserve">c.1872T&gt;G</t>
  </si>
  <si>
    <t xml:space="preserve">p.Ala624=</t>
  </si>
  <si>
    <t xml:space="preserve">NP_001275634.1:p.Ala624=</t>
  </si>
  <si>
    <t xml:space="preserve">NM_001288705.3:c.1872T&gt;G</t>
  </si>
  <si>
    <t xml:space="preserve">CSF1R synonymous_variant in exon 13
HGVSc: c.1872T&gt;G
HGVSp: p.Ala624=
dbSNP: rs139845496
Allele Frequency (VAF): 7.1%</t>
  </si>
  <si>
    <t xml:space="preserve">c.733G&gt;T</t>
  </si>
  <si>
    <t xml:space="preserve">p.Ala245Ser</t>
  </si>
  <si>
    <t xml:space="preserve">NP_001275634.1:p.Ala245Ser</t>
  </si>
  <si>
    <t xml:space="preserve">NM_001288705.3:c.733G&gt;T</t>
  </si>
  <si>
    <t xml:space="preserve">Hereditary_diffuse_leukoencephalopathy_with_spheroids&amp;not_provided&amp;not_specified</t>
  </si>
  <si>
    <t xml:space="preserve">CSF1R missense_variant in exon 5
HGVSc: c.733G&gt;T
HGVSp: p.Ala245Ser
dbSNP: rs41338945
Allele Frequency (VAF): 7.4%</t>
  </si>
  <si>
    <t xml:space="preserve">c.1626+7C&gt;T</t>
  </si>
  <si>
    <t xml:space="preserve">NM_001288705.3:c.1626+7C&gt;T</t>
  </si>
  <si>
    <t xml:space="preserve">CSF1R intron_variant&amp;splice_region_variant in intron 10
HGVSc: c.1626+7C&gt;T
HGVSp: nan
dbSNP: rs34928010
Allele Frequency (VAF): 15.1%</t>
  </si>
  <si>
    <t xml:space="preserve">4/17</t>
  </si>
  <si>
    <t xml:space="preserve">c.108C&gt;T</t>
  </si>
  <si>
    <t xml:space="preserve">p.Val36=</t>
  </si>
  <si>
    <t xml:space="preserve">NP_000751.1:p.Val36=</t>
  </si>
  <si>
    <t xml:space="preserve">NM_000760.4:c.108C&gt;T</t>
  </si>
  <si>
    <t xml:space="preserve">Autosomal_recessive_severe_congenital_neutropenia_due_to_CSF3R_deficiency&amp;CSF3R-related_disorder&amp;not_provided&amp;not_specified</t>
  </si>
  <si>
    <t xml:space="preserve">12/1706</t>
  </si>
  <si>
    <t xml:space="preserve">CSF3R synonymous_variant in exon 4
HGVSc: c.108C&gt;T
HGVSp: p.Val36=
dbSNP: rs3918011
Allele Frequency (VAF): 9.2%</t>
  </si>
  <si>
    <t xml:space="preserve">c.1256-24500_1256-24498del</t>
  </si>
  <si>
    <t xml:space="preserve">NM_001913.5:c.1256-24500_1256-24498del</t>
  </si>
  <si>
    <t xml:space="preserve">985/1706</t>
  </si>
  <si>
    <t xml:space="preserve">CUX1 intron_variant in intron 14
HGVSc: c.1256-24500_1256-24498del
HGVSp: nan
dbSNP: rs782496763
Allele Frequency (VAF): 3.0%</t>
  </si>
  <si>
    <t xml:space="preserve">c.1564-3dup</t>
  </si>
  <si>
    <t xml:space="preserve">NM_001913.5:c.1564-3dup</t>
  </si>
  <si>
    <t xml:space="preserve">clustered_events;multiallelic;slippage;</t>
  </si>
  <si>
    <t xml:space="preserve">CUX1-related_disorder</t>
  </si>
  <si>
    <t xml:space="preserve">CUX1 intron_variant&amp;splice_region_variant in intron 17
HGVSc: c.1564-3dup
HGVSp: nan
dbSNP: rs563967808
Allele Frequency (VAF): 18.3%</t>
  </si>
  <si>
    <t xml:space="preserve">c.4342_4344del</t>
  </si>
  <si>
    <t xml:space="preserve">p.Ser1448del</t>
  </si>
  <si>
    <t xml:space="preserve">NP_853530.2:p.Ser1448del</t>
  </si>
  <si>
    <t xml:space="preserve">NM_181552.4:c.4342_4344del</t>
  </si>
  <si>
    <t xml:space="preserve">CUX1 inframe_deletion in exon 24
HGVSc: c.4342_4344del
HGVSp: p.Ser1448del
dbSNP: rs782496763
Allele Frequency (VAF): 3.0%</t>
  </si>
  <si>
    <t xml:space="preserve">9/24</t>
  </si>
  <si>
    <t xml:space="preserve">c.678C&gt;T</t>
  </si>
  <si>
    <t xml:space="preserve">p.Ala226=</t>
  </si>
  <si>
    <t xml:space="preserve">NP_853530.2:p.Ala226=</t>
  </si>
  <si>
    <t xml:space="preserve">NM_181552.4:c.678C&gt;T</t>
  </si>
  <si>
    <t xml:space="preserve">CUX1 synonymous_variant in exon 9
HGVSc: c.678C&gt;T
HGVSp: p.Ala226=
dbSNP: rs782531693
Allele Frequency (VAF): 4.4%</t>
  </si>
  <si>
    <t xml:space="preserve">9/23</t>
  </si>
  <si>
    <t xml:space="preserve">c.711C&gt;T</t>
  </si>
  <si>
    <t xml:space="preserve">p.Ala237=</t>
  </si>
  <si>
    <t xml:space="preserve">NP_001904.2:p.Ala237=</t>
  </si>
  <si>
    <t xml:space="preserve">NM_001913.5:c.711C&gt;T</t>
  </si>
  <si>
    <t xml:space="preserve">CUX1 synonymous_variant in exon 9
HGVSc: c.711C&gt;T
HGVSp: p.Ala237=
dbSNP: rs782531693
Allele Frequency (VAF): 4.4%</t>
  </si>
  <si>
    <t xml:space="preserve">c.707+11C&gt;T</t>
  </si>
  <si>
    <t xml:space="preserve">NM_001913.5:c.707+11C&gt;T</t>
  </si>
  <si>
    <t xml:space="preserve">Global_developmental_delay_with_or_without_impaired_intellectual_development&amp;not_provided</t>
  </si>
  <si>
    <t xml:space="preserve">CUX1 intron_variant in intron 8
HGVSc: c.707+11C&gt;T
HGVSp: nan
dbSNP: rs78218172
Allele Frequency (VAF): 69.9%</t>
  </si>
  <si>
    <t xml:space="preserve">c.674+11C&gt;T</t>
  </si>
  <si>
    <t xml:space="preserve">NM_181552.4:c.674+11C&gt;T</t>
  </si>
  <si>
    <t xml:space="preserve">CUX1 intron_variant in intron 8
HGVSc: c.674+11C&gt;T
HGVSp: nan
dbSNP: rs78218172
Allele Frequency (VAF): 69.9%</t>
  </si>
  <si>
    <t xml:space="preserve">c.990C&gt;A</t>
  </si>
  <si>
    <t xml:space="preserve">p.Ser330=</t>
  </si>
  <si>
    <t xml:space="preserve">NP_003458.1:p.Ser330=</t>
  </si>
  <si>
    <t xml:space="preserve">NM_003467.3:c.990C&gt;A</t>
  </si>
  <si>
    <t xml:space="preserve">CXCR4 synonymous_variant in exon 2
HGVSc: c.990C&gt;A
HGVSp: p.Ser330=
Allele Frequency (VAF): 10.4%</t>
  </si>
  <si>
    <t xml:space="preserve">DDX41</t>
  </si>
  <si>
    <t xml:space="preserve">NM_016222.4</t>
  </si>
  <si>
    <t xml:space="preserve">c.1200C&gt;T</t>
  </si>
  <si>
    <t xml:space="preserve">p.Arg400=</t>
  </si>
  <si>
    <t xml:space="preserve">NP_057306.2:p.Arg400=</t>
  </si>
  <si>
    <t xml:space="preserve">NM_016222.4:c.1200C&gt;T</t>
  </si>
  <si>
    <t xml:space="preserve">DDX41-related_hematologic_malignancy_predisposition_syndrome&amp;Inborn_genetic_diseases&amp;not_provided&amp;not_specified</t>
  </si>
  <si>
    <t xml:space="preserve">1198/1706</t>
  </si>
  <si>
    <t xml:space="preserve">DDX41 synonymous_variant in exon 11
HGVSc: c.1200C&gt;T
HGVSp: p.Arg400=
dbSNP: rs335438
Allele Frequency (VAF): 46.7%</t>
  </si>
  <si>
    <t xml:space="preserve">c.27+16G&gt;C</t>
  </si>
  <si>
    <t xml:space="preserve">NM_016222.4:c.27+16G&gt;C</t>
  </si>
  <si>
    <t xml:space="preserve">DDX41-related_hematologic_malignancy_predisposition_syndrome&amp;not_provided</t>
  </si>
  <si>
    <t xml:space="preserve">DDX41 intron_variant in intron 1
HGVSc: c.27+16G&gt;C
HGVSp: nan
dbSNP: rs112668086
Allele Frequency (VAF): 7.0%</t>
  </si>
  <si>
    <t xml:space="preserve">DNMT3A</t>
  </si>
  <si>
    <t xml:space="preserve">NM_022552.5</t>
  </si>
  <si>
    <t xml:space="preserve">7/23</t>
  </si>
  <si>
    <t xml:space="preserve">c.759C&gt;T</t>
  </si>
  <si>
    <t xml:space="preserve">p.Pro253=</t>
  </si>
  <si>
    <t xml:space="preserve">NP_072046.2:p.Pro253=</t>
  </si>
  <si>
    <t xml:space="preserve">NM_022552.5:c.759C&gt;T</t>
  </si>
  <si>
    <t xml:space="preserve">DNMT3A-related_disorder&amp;Inborn_genetic_diseases&amp;Tatton-Brown-Rahman_overgrowth_syndrome&amp;not_provided&amp;not_specified</t>
  </si>
  <si>
    <t xml:space="preserve">DNMT3A synonymous_variant in exon 7
HGVSc: c.759C&gt;T
HGVSp: p.Pro253=
dbSNP: rs77558739
Allele Frequency (VAF): 7.7%</t>
  </si>
  <si>
    <t xml:space="preserve">c.27C&gt;T</t>
  </si>
  <si>
    <t xml:space="preserve">p.Pro9=</t>
  </si>
  <si>
    <t xml:space="preserve">NP_072046.2:p.Pro9=</t>
  </si>
  <si>
    <t xml:space="preserve">NM_022552.5:c.27C&gt;T</t>
  </si>
  <si>
    <t xml:space="preserve">Tatton-Brown-Rahman_overgrowth_syndrome&amp;not_provided</t>
  </si>
  <si>
    <t xml:space="preserve">297/1706</t>
  </si>
  <si>
    <t xml:space="preserve">DNMT3A synonymous_variant in exon 2
HGVSc: c.27C&gt;T
HGVSp: p.Pro9=
dbSNP: rs41284843
Allele Frequency (VAF): 7.5%</t>
  </si>
  <si>
    <t xml:space="preserve">EIF6</t>
  </si>
  <si>
    <t xml:space="preserve">NM_002212.4</t>
  </si>
  <si>
    <t xml:space="preserve">2/7</t>
  </si>
  <si>
    <t xml:space="preserve">c.76G&gt;T</t>
  </si>
  <si>
    <t xml:space="preserve">p.Val26Leu</t>
  </si>
  <si>
    <t xml:space="preserve">NP_002203.1:p.Val26Leu</t>
  </si>
  <si>
    <t xml:space="preserve">NM_002212.4:c.76G&gt;T</t>
  </si>
  <si>
    <t xml:space="preserve">EIF6 missense_variant in exon 2
HGVSc: c.76G&gt;T
HGVSp: p.Val26Leu
dbSNP: rs1802241
Allele Frequency (VAF): 9.4%</t>
  </si>
  <si>
    <t xml:space="preserve">c.4026-17C&gt;A</t>
  </si>
  <si>
    <t xml:space="preserve">NM_001429.4:c.4026-17C&gt;A</t>
  </si>
  <si>
    <t xml:space="preserve">Rubinstein-Taybi_syndrome_due_to_EP300_haploinsufficiency&amp;not_provided&amp;not_specified</t>
  </si>
  <si>
    <t xml:space="preserve">EP300 intron_variant in intron 24
HGVSc: c.4026-17C&gt;A
HGVSp: nan
dbSNP: rs2294976
Allele Frequency (VAF): 31.1%</t>
  </si>
  <si>
    <t xml:space="preserve">24/31</t>
  </si>
  <si>
    <t xml:space="preserve">c.3927T&gt;C</t>
  </si>
  <si>
    <t xml:space="preserve">p.Phe1309=</t>
  </si>
  <si>
    <t xml:space="preserve">NP_001420.2:p.Phe1309=</t>
  </si>
  <si>
    <t xml:space="preserve">NM_001429.4:c.3927T&gt;C</t>
  </si>
  <si>
    <t xml:space="preserve">EP300 synonymous_variant in exon 24
HGVSc: c.3927T&gt;C
HGVSp: p.Phe1309=
dbSNP: rs753032571
Allele Frequency (VAF): 6.8%</t>
  </si>
  <si>
    <t xml:space="preserve">c.3143-4dup</t>
  </si>
  <si>
    <t xml:space="preserve">NM_001429.4:c.3143-4dup</t>
  </si>
  <si>
    <t xml:space="preserve">EP300 intron_variant&amp;splice_region_variant in intron 16
HGVSc: c.3143-4dup
HGVSp: nan
dbSNP: rs757931697
Allele Frequency (VAF): 3.5%</t>
  </si>
  <si>
    <t xml:space="preserve">c.3143-4del</t>
  </si>
  <si>
    <t xml:space="preserve">NM_001429.4:c.3143-4del</t>
  </si>
  <si>
    <t xml:space="preserve">Inborn_genetic_diseases&amp;Rubinstein-Taybi_syndrome_due_to_CREBBP_mutations&amp;Rubinstein-Taybi_syndrome_due_to_EP300_haploinsufficiency&amp;not_specified</t>
  </si>
  <si>
    <t xml:space="preserve">EP300 intron_variant&amp;splice_region_variant in intron 16
HGVSc: c.3143-4del
HGVSp: nan
dbSNP: rs757931697
Allele Frequency (VAF): 19.4%</t>
  </si>
  <si>
    <t xml:space="preserve">c.2242-4del</t>
  </si>
  <si>
    <t xml:space="preserve">NM_001429.4:c.2242-4del</t>
  </si>
  <si>
    <t xml:space="preserve">EP300 intron_variant&amp;splice_region_variant in intron 12
HGVSc: c.2242-4del
HGVSp: nan
dbSNP: rs747710183
Allele Frequency (VAF): 3.4%</t>
  </si>
  <si>
    <t xml:space="preserve">c.3502+17A&gt;C</t>
  </si>
  <si>
    <t xml:space="preserve">NM_001982.4:c.3502+17A&gt;C</t>
  </si>
  <si>
    <t xml:space="preserve">ERBB3 intron_variant in intron 27
HGVSc: c.3502+17A&gt;C
HGVSp: nan
dbSNP: rs75064496
Allele Frequency (VAF): 6.5%</t>
  </si>
  <si>
    <t xml:space="preserve">ETV6</t>
  </si>
  <si>
    <t xml:space="preserve">NM_001987.5</t>
  </si>
  <si>
    <t xml:space="preserve">c.1009+19C&gt;T</t>
  </si>
  <si>
    <t xml:space="preserve">NM_001987.5:c.1009+19C&gt;T</t>
  </si>
  <si>
    <t xml:space="preserve">ETV6 intron_variant in intron 5
HGVSc: c.1009+19C&gt;T
HGVSp: nan
dbSNP: rs61229425
Allele Frequency (VAF): 7.7%</t>
  </si>
  <si>
    <t xml:space="preserve">c.489G&gt;A</t>
  </si>
  <si>
    <t xml:space="preserve">p.Arg163=</t>
  </si>
  <si>
    <t xml:space="preserve">NP_001978.1:p.Arg163=</t>
  </si>
  <si>
    <t xml:space="preserve">NM_001987.5:c.489G&gt;A</t>
  </si>
  <si>
    <t xml:space="preserve">ETV6 synonymous_variant in exon 5
HGVSc: c.489G&gt;A
HGVSp: p.Arg163=
dbSNP: rs1255318252
Allele Frequency (VAF): 31.6%</t>
  </si>
  <si>
    <t xml:space="preserve">c.118-5_118-4del</t>
  </si>
  <si>
    <t xml:space="preserve">NM_004456.5:c.118-5_118-4del</t>
  </si>
  <si>
    <t xml:space="preserve">Weaver_syndrome&amp;not_provided</t>
  </si>
  <si>
    <t xml:space="preserve">1076/1706</t>
  </si>
  <si>
    <t xml:space="preserve">EZH2 intron_variant&amp;splice_region_variant in intron 2
HGVSc: c.118-5_118-4del
HGVSp: nan
dbSNP: rs3214332
Allele Frequency (VAF): 15.7%</t>
  </si>
  <si>
    <t xml:space="preserve">c.485-7G&gt;A</t>
  </si>
  <si>
    <t xml:space="preserve">NM_004456.5:c.485-7G&gt;A</t>
  </si>
  <si>
    <t xml:space="preserve">Weaver_syndrome&amp;not_specified</t>
  </si>
  <si>
    <t xml:space="preserve">EZH2 intron_variant&amp;splice_region_variant in intron 5
HGVSc: c.485-7G&gt;A
HGVSp: nan
dbSNP: rs112932272
Allele Frequency (VAF): 9.4%</t>
  </si>
  <si>
    <t xml:space="preserve">c.553G&gt;C</t>
  </si>
  <si>
    <t xml:space="preserve">p.Asp185His</t>
  </si>
  <si>
    <t xml:space="preserve">NP_004447.2:p.Asp185His</t>
  </si>
  <si>
    <t xml:space="preserve">NM_004456.5:c.553G&gt;C</t>
  </si>
  <si>
    <t xml:space="preserve">Weaver_syndrome&amp;not_provided&amp;not_specified</t>
  </si>
  <si>
    <t xml:space="preserve">261/1706</t>
  </si>
  <si>
    <t xml:space="preserve">EZH2 missense_variant in exon 6
HGVSc: c.553G&gt;C
HGVSp: p.Asp185His
dbSNP: rs2302427
Allele Frequency (VAF): 7.2%</t>
  </si>
  <si>
    <t xml:space="preserve">c.585-6_585-5del</t>
  </si>
  <si>
    <t xml:space="preserve">NM_001349798.2:c.585-6_585-5del</t>
  </si>
  <si>
    <t xml:space="preserve">FBXW7 intron_variant&amp;splice_region_variant in intron 5
HGVSc: c.585-6_585-5del
HGVSp: nan
dbSNP: rs745908066
Allele Frequency (VAF): 38.0%</t>
  </si>
  <si>
    <t xml:space="preserve">c.585-5del</t>
  </si>
  <si>
    <t xml:space="preserve">NM_001349798.2:c.585-5del</t>
  </si>
  <si>
    <t xml:space="preserve">FBXW7 intron_variant&amp;splice_region_variant in intron 5
HGVSc: c.585-5del
HGVSp: nan
dbSNP: rs745908066
Allele Frequency (VAF): 19.0%</t>
  </si>
  <si>
    <t xml:space="preserve">c.456G&gt;A</t>
  </si>
  <si>
    <t xml:space="preserve">p.Leu152=</t>
  </si>
  <si>
    <t xml:space="preserve">NP_001336727.1:p.Leu152=</t>
  </si>
  <si>
    <t xml:space="preserve">NM_001349798.2:c.456G&gt;A</t>
  </si>
  <si>
    <t xml:space="preserve">FBXW7 synonymous_variant in exon 4
HGVSc: c.456G&gt;A
HGVSp: p.Leu152=
Allele Frequency (VAF): 31.3%</t>
  </si>
  <si>
    <t xml:space="preserve">c.1419-4dup</t>
  </si>
  <si>
    <t xml:space="preserve">NM_004119.3:c.1419-4dup</t>
  </si>
  <si>
    <t xml:space="preserve">FLT3 intron_variant&amp;splice_region_variant in intron 11
HGVSc: c.1419-4dup
HGVSp: nan
dbSNP: rs552505380
Allele Frequency (VAF): 4.2%</t>
  </si>
  <si>
    <t xml:space="preserve">16/24</t>
  </si>
  <si>
    <t xml:space="preserve">c.2001G&gt;A</t>
  </si>
  <si>
    <t xml:space="preserve">p.Gln667=</t>
  </si>
  <si>
    <t xml:space="preserve">NP_004110.2:p.Gln667=</t>
  </si>
  <si>
    <t xml:space="preserve">NM_004119.3:c.2001G&gt;A</t>
  </si>
  <si>
    <t xml:space="preserve">FLT3 synonymous_variant in exon 16
HGVSc: c.2001G&gt;A
HGVSp: p.Gln667=
Allele Frequency (VAF): 10.5%</t>
  </si>
  <si>
    <t xml:space="preserve">c.1419-4del</t>
  </si>
  <si>
    <t xml:space="preserve">NM_004119.3:c.1419-4del</t>
  </si>
  <si>
    <t xml:space="preserve">1661/1706</t>
  </si>
  <si>
    <t xml:space="preserve">FLT3 intron_variant&amp;splice_region_variant in intron 11
HGVSc: c.1419-4del
HGVSp: nan
dbSNP: rs552505380
Allele Frequency (VAF): 35.4%</t>
  </si>
  <si>
    <t xml:space="preserve">c.1018-589G&gt;T</t>
  </si>
  <si>
    <t xml:space="preserve">NM_032638.5:c.1018-589G&gt;T</t>
  </si>
  <si>
    <t xml:space="preserve">GATA2 intron_variant in intron 4
HGVSc: c.1018-589G&gt;T
HGVSp: nan
dbSNP: rs55686439
Allele Frequency (VAF): 41.3%</t>
  </si>
  <si>
    <t xml:space="preserve">c.1018-744G&gt;A</t>
  </si>
  <si>
    <t xml:space="preserve">NM_032638.5:c.1018-744G&gt;A</t>
  </si>
  <si>
    <t xml:space="preserve">GATA2 intron_variant in intron 4
HGVSc: c.1018-744G&gt;A
HGVSp: nan
dbSNP: rs77307721
Allele Frequency (VAF): 32.8%</t>
  </si>
  <si>
    <t xml:space="preserve">c.1018-745C&gt;T</t>
  </si>
  <si>
    <t xml:space="preserve">NM_032638.5:c.1018-745C&gt;T</t>
  </si>
  <si>
    <t xml:space="preserve">GATA2 intron_variant in intron 4
HGVSc: c.1018-745C&gt;T
HGVSp: nan
dbSNP: rs12488487
Allele Frequency (VAF): 41.5%</t>
  </si>
  <si>
    <t xml:space="preserve">c.3042C&gt;T</t>
  </si>
  <si>
    <t xml:space="preserve">p.Asn1014=</t>
  </si>
  <si>
    <t xml:space="preserve">NP_536350.2:p.Asn1014=</t>
  </si>
  <si>
    <t xml:space="preserve">NM_080425.4:c.3042C&gt;T</t>
  </si>
  <si>
    <t xml:space="preserve">not_provided&amp;not_specified</t>
  </si>
  <si>
    <t xml:space="preserve">36/1706</t>
  </si>
  <si>
    <t xml:space="preserve">GNAS synonymous_variant in exon 13
HGVSc: c.3042C&gt;T
HGVSp: p.Asn1014=
dbSNP: rs8386
Allele Frequency (VAF): 6.3%</t>
  </si>
  <si>
    <t xml:space="preserve">c.*1019C&gt;T</t>
  </si>
  <si>
    <t xml:space="preserve">NM_016592.5:c.*1019C&gt;T</t>
  </si>
  <si>
    <t xml:space="preserve">GNAS 3_prime_UTR_variant in exon 13
HGVSc: c.*1019C&gt;T
HGVSp: nan
dbSNP: rs8386
Allele Frequency (VAF): 6.3%</t>
  </si>
  <si>
    <t xml:space="preserve">7/13</t>
  </si>
  <si>
    <t xml:space="preserve">c.2484C&gt;T</t>
  </si>
  <si>
    <t xml:space="preserve">p.Ile828=</t>
  </si>
  <si>
    <t xml:space="preserve">NP_536350.2:p.Ile828=</t>
  </si>
  <si>
    <t xml:space="preserve">NM_080425.4:c.2484C&gt;T</t>
  </si>
  <si>
    <t xml:space="preserve">GNAS synonymous_variant in exon 7
HGVSc: c.2484C&gt;T
HGVSp: p.Ile828=
dbSNP: rs8620
Allele Frequency (VAF): 19.7%</t>
  </si>
  <si>
    <t xml:space="preserve">c.*461C&gt;T</t>
  </si>
  <si>
    <t xml:space="preserve">NM_016592.5:c.*461C&gt;T</t>
  </si>
  <si>
    <t xml:space="preserve">GNAS 3_prime_UTR_variant in exon 7
HGVSc: c.*461C&gt;T
HGVSp: nan
dbSNP: rs8620
Allele Frequency (VAF): 19.7%</t>
  </si>
  <si>
    <t xml:space="preserve">c.*42+13773_*42+13774insCGACTCCGGGGCGGCCCGTGACGCCCCAGCCGATCC</t>
  </si>
  <si>
    <t xml:space="preserve">NM_016592.5:c.*42+13773_*42+13774insCGACTCCGGGGCGGCCCGTGACGCCCCAGCCGATCC</t>
  </si>
  <si>
    <t xml:space="preserve">92/1706</t>
  </si>
  <si>
    <t xml:space="preserve">GNAS intron_variant in intron 1
HGVSc: c.*42+13773_*42+13774insCGACTCCGGGGCGGCCCGTGACGCCCCAGCCGATCC
HGVSp: nan
dbSNP: rs1196950915
Allele Frequency (VAF): 23.3%</t>
  </si>
  <si>
    <t xml:space="preserve">c.294C&gt;T</t>
  </si>
  <si>
    <t xml:space="preserve">p.Pro98=</t>
  </si>
  <si>
    <t xml:space="preserve">NP_057676.1:p.Pro98=</t>
  </si>
  <si>
    <t xml:space="preserve">NM_016592.5:c.294C&gt;T</t>
  </si>
  <si>
    <t xml:space="preserve">99/1706</t>
  </si>
  <si>
    <t xml:space="preserve">GNAS synonymous_variant in exon 1
HGVSc: c.294C&gt;T
HGVSp: p.Pro98=
dbSNP: rs1800902
Allele Frequency (VAF): 13.8%</t>
  </si>
  <si>
    <t xml:space="preserve">c.1029A&gt;C</t>
  </si>
  <si>
    <t xml:space="preserve">p.Pro343=</t>
  </si>
  <si>
    <t xml:space="preserve">NP_536350.2:p.Pro343=</t>
  </si>
  <si>
    <t xml:space="preserve">NM_080425.4:c.1029A&gt;C</t>
  </si>
  <si>
    <t xml:space="preserve">GNAS synonymous_variant in exon 1
HGVSc: c.1029A&gt;C
HGVSp: p.Pro343=
Allele Frequency (VAF): 14.3%</t>
  </si>
  <si>
    <t xml:space="preserve">c.1307C&gt;A</t>
  </si>
  <si>
    <t xml:space="preserve">p.Ala436Asp</t>
  </si>
  <si>
    <t xml:space="preserve">NP_536350.2:p.Ala436Asp</t>
  </si>
  <si>
    <t xml:space="preserve">NM_080425.4:c.1307C&gt;A</t>
  </si>
  <si>
    <t xml:space="preserve">ACTH-independent_macronodular_adrenal_hyperplasia_1&amp;McCune-Albright_syndrome&amp;Pituitary_adenoma_3&amp;Progressive_osseous_heteroplasia&amp;Pseudohypoparathyroidism_type_1B&amp;Pseudohypoparathyroidism_type_1C&amp;Pseudohypoparathyroidism_type_I_A&amp;Pseudopseudohypoparathyroidism&amp;_multiple_types&amp;not_provided&amp;not_specified</t>
  </si>
  <si>
    <t xml:space="preserve">96/1706</t>
  </si>
  <si>
    <t xml:space="preserve">GNAS missense_variant in exon 1
HGVSc: c.1307C&gt;A
HGVSp: p.Ala436Asp
dbSNP: rs61749698
Allele Frequency (VAF): 21.2%</t>
  </si>
  <si>
    <t xml:space="preserve">c.*42+13686C&gt;A</t>
  </si>
  <si>
    <t xml:space="preserve">NM_016592.5:c.*42+13686C&gt;A</t>
  </si>
  <si>
    <t xml:space="preserve">GNAS intron_variant in intron 1
HGVSc: c.*42+13686C&gt;A
HGVSp: nan
dbSNP: rs61749698
Allele Frequency (VAF): 21.2%</t>
  </si>
  <si>
    <t xml:space="preserve">GNB1</t>
  </si>
  <si>
    <t xml:space="preserve">NM_002074.5</t>
  </si>
  <si>
    <t xml:space="preserve">c.267+19C&gt;T</t>
  </si>
  <si>
    <t xml:space="preserve">NM_002074.5:c.267+19C&gt;T</t>
  </si>
  <si>
    <t xml:space="preserve">GNB1 intron_variant in intron 6
HGVSc: c.267+19C&gt;T
HGVSp: nan
dbSNP: rs77354509
Allele Frequency (VAF): 29.0%</t>
  </si>
  <si>
    <t xml:space="preserve">c.267+14G&gt;A</t>
  </si>
  <si>
    <t xml:space="preserve">NM_002074.5:c.267+14G&gt;A</t>
  </si>
  <si>
    <t xml:space="preserve">GNB1 intron_variant in intron 6
HGVSc: c.267+14G&gt;A
HGVSp: nan
dbSNP: rs17363334
Allele Frequency (VAF): 29.0%</t>
  </si>
  <si>
    <t xml:space="preserve">c.851-13C&gt;G</t>
  </si>
  <si>
    <t xml:space="preserve">NM_005896.4:c.851-13C&gt;G</t>
  </si>
  <si>
    <t xml:space="preserve">IDH1 intron_variant in intron 7
HGVSc: c.851-13C&gt;G
HGVSp: nan
dbSNP: rs16840789
Allele Frequency (VAF): 31.4%</t>
  </si>
  <si>
    <t xml:space="preserve">c.992-13del</t>
  </si>
  <si>
    <t xml:space="preserve">NM_005896.4:c.992-13del</t>
  </si>
  <si>
    <t xml:space="preserve">IDH1 intron_variant in intron 8
HGVSc: c.992-13del
HGVSp: nan
dbSNP: rs139521409
Allele Frequency (VAF): 7.1%</t>
  </si>
  <si>
    <t xml:space="preserve">6/10</t>
  </si>
  <si>
    <t xml:space="preserve">c.532G&gt;A</t>
  </si>
  <si>
    <t xml:space="preserve">p.Val178Ile</t>
  </si>
  <si>
    <t xml:space="preserve">NP_005887.2:p.Val178Ile</t>
  </si>
  <si>
    <t xml:space="preserve">NM_005896.4:c.532G&gt;A</t>
  </si>
  <si>
    <t xml:space="preserve">181/1706</t>
  </si>
  <si>
    <t xml:space="preserve">IDH1 missense_variant in exon 6
HGVSc: c.532G&gt;A
HGVSp: p.Val178Ile
dbSNP: rs34218846
Allele Frequency (VAF): 7.0%</t>
  </si>
  <si>
    <t xml:space="preserve">c.315C&gt;T</t>
  </si>
  <si>
    <t xml:space="preserve">p.Gly105=</t>
  </si>
  <si>
    <t xml:space="preserve">NP_005887.2:p.Gly105=</t>
  </si>
  <si>
    <t xml:space="preserve">NM_005896.4:c.315C&gt;T</t>
  </si>
  <si>
    <t xml:space="preserve">IDH1 synonymous_variant in exon 4
HGVSc: c.315C&gt;T
HGVSp: p.Gly105=
dbSNP: rs11554137
Allele Frequency (VAF): 6.7%</t>
  </si>
  <si>
    <t xml:space="preserve">4/11</t>
  </si>
  <si>
    <t xml:space="preserve">c.528C&gt;T</t>
  </si>
  <si>
    <t xml:space="preserve">p.Gly176=</t>
  </si>
  <si>
    <t xml:space="preserve">NP_002159.2:p.Gly176=</t>
  </si>
  <si>
    <t xml:space="preserve">NM_002168.4:c.528C&gt;T</t>
  </si>
  <si>
    <t xml:space="preserve">IDH2 synonymous_variant in exon 4
HGVSc: c.528C&gt;T
HGVSp: p.Gly176=
dbSNP: rs764224566
Allele Frequency (VAF): 10.4%</t>
  </si>
  <si>
    <t xml:space="preserve">c.1050C&gt;T</t>
  </si>
  <si>
    <t xml:space="preserve">p.Thr350=</t>
  </si>
  <si>
    <t xml:space="preserve">NP_002159.2:p.Thr350=</t>
  </si>
  <si>
    <t xml:space="preserve">NM_002168.4:c.1050C&gt;T</t>
  </si>
  <si>
    <t xml:space="preserve">D-2-hydroxyglutaric_aciduria_2&amp;not_provided&amp;not_specified</t>
  </si>
  <si>
    <t xml:space="preserve">IDH2 synonymous_variant in exon 8
HGVSc: c.1050C&gt;T
HGVSp: p.Thr350=
dbSNP: rs11540478
Allele Frequency (VAF): 7.4%</t>
  </si>
  <si>
    <t xml:space="preserve">c.589+15T&gt;C</t>
  </si>
  <si>
    <t xml:space="preserve">NM_006060.6:c.589+15T&gt;C</t>
  </si>
  <si>
    <t xml:space="preserve">Pancytopenia_due_to_IKZF1_mutations&amp;not_provided&amp;not_specified</t>
  </si>
  <si>
    <t xml:space="preserve">IKZF1 intron_variant in intron 5
HGVSc: c.589+15T&gt;C
HGVSp: nan
dbSNP: rs7789106
Allele Frequency (VAF): 5.7%</t>
  </si>
  <si>
    <t xml:space="preserve">8/8</t>
  </si>
  <si>
    <t xml:space="preserve">c.1320C&gt;T</t>
  </si>
  <si>
    <t xml:space="preserve">p.Ala440=</t>
  </si>
  <si>
    <t xml:space="preserve">NP_006051.1:p.Ala440=</t>
  </si>
  <si>
    <t xml:space="preserve">NM_006060.6:c.1320C&gt;T</t>
  </si>
  <si>
    <t xml:space="preserve">IKZF1 synonymous_variant in exon 8
HGVSc: c.1320C&gt;T
HGVSp: p.Ala440=
Allele Frequency (VAF): 4.9%</t>
  </si>
  <si>
    <t xml:space="preserve">JAK1</t>
  </si>
  <si>
    <t xml:space="preserve">NM_002227.4</t>
  </si>
  <si>
    <t xml:space="preserve">7/25</t>
  </si>
  <si>
    <t xml:space="preserve">c.843C&gt;T</t>
  </si>
  <si>
    <t xml:space="preserve">p.Tyr281=</t>
  </si>
  <si>
    <t xml:space="preserve">NP_002218.2:p.Tyr281=</t>
  </si>
  <si>
    <t xml:space="preserve">NM_002227.4:c.843C&gt;T</t>
  </si>
  <si>
    <t xml:space="preserve">JAK1 synonymous_variant in exon 7
HGVSc: c.843C&gt;T
HGVSp: p.Tyr281=
dbSNP: rs759326576
Allele Frequency (VAF): 10.1%</t>
  </si>
  <si>
    <t xml:space="preserve">14/25</t>
  </si>
  <si>
    <t xml:space="preserve">c.1977C&gt;T</t>
  </si>
  <si>
    <t xml:space="preserve">p.Arg659=</t>
  </si>
  <si>
    <t xml:space="preserve">NP_002218.2:p.Arg659=</t>
  </si>
  <si>
    <t xml:space="preserve">NM_002227.4:c.1977C&gt;T</t>
  </si>
  <si>
    <t xml:space="preserve">JAK1-related_disorder&amp;not_provided&amp;not_specified</t>
  </si>
  <si>
    <t xml:space="preserve">102/1706</t>
  </si>
  <si>
    <t xml:space="preserve">JAK1 synonymous_variant in exon 14
HGVSc: c.1977C&gt;T
HGVSp: p.Arg659=
dbSNP: rs17127063
Allele Frequency (VAF): 30.1%</t>
  </si>
  <si>
    <t xml:space="preserve">2/21</t>
  </si>
  <si>
    <t xml:space="preserve">c.252G&gt;T</t>
  </si>
  <si>
    <t xml:space="preserve">p.Thr84=</t>
  </si>
  <si>
    <t xml:space="preserve">NP_000213.1:p.Thr84=</t>
  </si>
  <si>
    <t xml:space="preserve">NM_000222.3:c.252G&gt;T</t>
  </si>
  <si>
    <t xml:space="preserve">Gastrointestinal_stromal_tumor&amp;Hereditary_cancer-predisposing_syndrome&amp;Mastocytosis&amp;Piebaldism&amp;not_provided&amp;not_specified</t>
  </si>
  <si>
    <t xml:space="preserve">KIT synonymous_variant in exon 2
HGVSc: c.252G&gt;T
HGVSp: p.Thr84=
dbSNP: rs56411694
Allele Frequency (VAF): 7.6%</t>
  </si>
  <si>
    <t xml:space="preserve">c.1199A&gt;G</t>
  </si>
  <si>
    <t xml:space="preserve">p.Asn400Ser</t>
  </si>
  <si>
    <t xml:space="preserve">NP_000213.1:p.Asn400Ser</t>
  </si>
  <si>
    <t xml:space="preserve">NM_000222.3:c.1199A&gt;G</t>
  </si>
  <si>
    <t xml:space="preserve">Gastrointestinal_stromal_tumor&amp;Hereditary_cancer-predisposing_syndrome&amp;KIT-related_disorder&amp;not_provided</t>
  </si>
  <si>
    <t xml:space="preserve">KIT missense_variant in exon 7
HGVSc: c.1199A&gt;G
HGVSp: p.Asn400Ser
dbSNP: rs72549294
Allele Frequency (VAF): 7.9%</t>
  </si>
  <si>
    <t xml:space="preserve">c.2901C&gt;A</t>
  </si>
  <si>
    <t xml:space="preserve">p.Ser967=</t>
  </si>
  <si>
    <t xml:space="preserve">NP_000213.1:p.Ser967=</t>
  </si>
  <si>
    <t xml:space="preserve">NM_000222.3:c.2901C&gt;A</t>
  </si>
  <si>
    <t xml:space="preserve">KIT synonymous_variant in exon 21
HGVSc: c.2901C&gt;A
HGVSp: p.Ser967=
Allele Frequency (VAF): 30.6%</t>
  </si>
  <si>
    <t xml:space="preserve">1/36</t>
  </si>
  <si>
    <t xml:space="preserve">c.200_202del</t>
  </si>
  <si>
    <t xml:space="preserve">p.Ala67del</t>
  </si>
  <si>
    <t xml:space="preserve">NP_001184033.1:p.Ala67del</t>
  </si>
  <si>
    <t xml:space="preserve">NM_001197104.2:c.200_202del</t>
  </si>
  <si>
    <t xml:space="preserve">1703/1706</t>
  </si>
  <si>
    <t xml:space="preserve">KMT2A inframe_deletion in exon 1
HGVSc: c.200_202del
HGVSp: p.Ala67del
dbSNP: rs781936420
Allele Frequency (VAF): 4.6%</t>
  </si>
  <si>
    <t xml:space="preserve">c.4218+20A&gt;G</t>
  </si>
  <si>
    <t xml:space="preserve">NM_001197104.2:c.4218+20A&gt;G</t>
  </si>
  <si>
    <t xml:space="preserve">KMT2A intron_variant in intron 9
HGVSc: c.4218+20A&gt;G
HGVSp: nan
dbSNP: rs9332798
Allele Frequency (VAF): 5.5%</t>
  </si>
  <si>
    <t xml:space="preserve">c.2963G&gt;T</t>
  </si>
  <si>
    <t xml:space="preserve">p.Cys988Phe</t>
  </si>
  <si>
    <t xml:space="preserve">NP_733751.2:p.Cys988Phe</t>
  </si>
  <si>
    <t xml:space="preserve">NM_170606.3:c.2963G&gt;T</t>
  </si>
  <si>
    <t xml:space="preserve">clustered_events;haplotype;</t>
  </si>
  <si>
    <t xml:space="preserve">1706/1706</t>
  </si>
  <si>
    <t xml:space="preserve">KMT2C missense_variant in exon 18
HGVSc: c.2963G&gt;T
HGVSp: p.Cys988Phe
dbSNP: rs28522267
Allele Frequency (VAF): 39.3%</t>
  </si>
  <si>
    <t xml:space="preserve">24/59</t>
  </si>
  <si>
    <t xml:space="preserve">c.3780A&gt;G</t>
  </si>
  <si>
    <t xml:space="preserve">p.Glu1260=</t>
  </si>
  <si>
    <t xml:space="preserve">NP_733751.2:p.Glu1260=</t>
  </si>
  <si>
    <t xml:space="preserve">NM_170606.3:c.3780A&gt;G</t>
  </si>
  <si>
    <t xml:space="preserve">KMT2C synonymous_variant in exon 24
HGVSc: c.3780A&gt;G
HGVSp: p.Glu1260=
dbSNP: rs1415458403
Allele Frequency (VAF): 3.0%</t>
  </si>
  <si>
    <t xml:space="preserve">c.7443-12_7443-6del</t>
  </si>
  <si>
    <t xml:space="preserve">NM_170606.3:c.7443-12_7443-6del</t>
  </si>
  <si>
    <t xml:space="preserve">KMT2C intron_variant&amp;splice_region_variant in intron 37
HGVSc: c.7443-12_7443-6del
HGVSp: nan
dbSNP: rs746018833
Allele Frequency (VAF): 3.5%</t>
  </si>
  <si>
    <t xml:space="preserve">c.2958A&gt;G</t>
  </si>
  <si>
    <t xml:space="preserve">p.Pro986=</t>
  </si>
  <si>
    <t xml:space="preserve">NP_733751.2:p.Pro986=</t>
  </si>
  <si>
    <t xml:space="preserve">NM_170606.3:c.2958A&gt;G</t>
  </si>
  <si>
    <t xml:space="preserve">KMT2C synonymous_variant in exon 18
HGVSc: c.2958A&gt;G
HGVSp: p.Pro986=
dbSNP: rs28439884
Allele Frequency (VAF): 39.1%</t>
  </si>
  <si>
    <t xml:space="preserve">c.162-7del</t>
  </si>
  <si>
    <t xml:space="preserve">NM_170606.3:c.162-7del</t>
  </si>
  <si>
    <t xml:space="preserve">Kleefstra_syndrome_2&amp;not_provided</t>
  </si>
  <si>
    <t xml:space="preserve">KMT2C intron_variant&amp;splice_region_variant in intron 1
HGVSc: c.162-7del
HGVSp: nan
dbSNP: rs376309362
Allele Frequency (VAF): 38.6%</t>
  </si>
  <si>
    <t xml:space="preserve">c.7443-18_7443-6del</t>
  </si>
  <si>
    <t xml:space="preserve">NM_170606.3:c.7443-18_7443-6del</t>
  </si>
  <si>
    <t xml:space="preserve">Inborn_genetic_diseases&amp;not_provided</t>
  </si>
  <si>
    <t xml:space="preserve">KMT2C intron_variant&amp;splice_region_variant in intron 37
HGVSc: c.7443-18_7443-6del
HGVSp: nan
dbSNP: rs746018833
Allele Frequency (VAF): 6.3%</t>
  </si>
  <si>
    <t xml:space="preserve">c.8390del</t>
  </si>
  <si>
    <t xml:space="preserve">p.Lys2797ArgfsTer26</t>
  </si>
  <si>
    <t xml:space="preserve">NP_733751.2:p.Lys2797ArgfsTer26</t>
  </si>
  <si>
    <t xml:space="preserve">NM_170606.3:c.8390del</t>
  </si>
  <si>
    <t xml:space="preserve">1509/1706</t>
  </si>
  <si>
    <t xml:space="preserve">KMT2C frameshift_variant in exon 38
HGVSc: c.8390del
HGVSp: p.Lys2797ArgfsTer26
dbSNP: rs747256476
Allele Frequency (VAF): 66.9%</t>
  </si>
  <si>
    <t xml:space="preserve">c.9138T&gt;A</t>
  </si>
  <si>
    <t xml:space="preserve">p.Leu3046=</t>
  </si>
  <si>
    <t xml:space="preserve">NP_733751.2:p.Leu3046=</t>
  </si>
  <si>
    <t xml:space="preserve">NM_170606.3:c.9138T&gt;A</t>
  </si>
  <si>
    <t xml:space="preserve">KMT2C synonymous_variant in exon 38
HGVSc: c.9138T&gt;A
HGVSp: p.Leu3046=
dbSNP: rs138871839
Allele Frequency (VAF): 7.2%</t>
  </si>
  <si>
    <t xml:space="preserve">c.2769+5G&gt;T</t>
  </si>
  <si>
    <t xml:space="preserve">NM_170606.3:c.2769+5G&gt;T</t>
  </si>
  <si>
    <t xml:space="preserve">1389/1706</t>
  </si>
  <si>
    <t xml:space="preserve">KMT2C intron_variant&amp;splice_region_variant in intron 16
HGVSc: c.2769+5G&gt;T
HGVSp: nan
dbSNP: rs73728782
Allele Frequency (VAF): 4.7%</t>
  </si>
  <si>
    <t xml:space="preserve">43/59</t>
  </si>
  <si>
    <t xml:space="preserve">c.10944A&gt;G</t>
  </si>
  <si>
    <t xml:space="preserve">p.Thr3648=</t>
  </si>
  <si>
    <t xml:space="preserve">NP_733751.2:p.Thr3648=</t>
  </si>
  <si>
    <t xml:space="preserve">NM_170606.3:c.10944A&gt;G</t>
  </si>
  <si>
    <t xml:space="preserve">KMT2C synonymous_variant in exon 43
HGVSc: c.10944A&gt;G
HGVSp: p.Thr3648=
Allele Frequency (VAF): 7.0%</t>
  </si>
  <si>
    <t xml:space="preserve">8/59</t>
  </si>
  <si>
    <t xml:space="preserve">c.1038G&gt;A</t>
  </si>
  <si>
    <t xml:space="preserve">p.Val346=</t>
  </si>
  <si>
    <t xml:space="preserve">NP_733751.2:p.Val346=</t>
  </si>
  <si>
    <t xml:space="preserve">NM_170606.3:c.1038G&gt;A</t>
  </si>
  <si>
    <t xml:space="preserve">1011/1706</t>
  </si>
  <si>
    <t xml:space="preserve">KMT2C synonymous_variant in exon 8
HGVSc: c.1038G&gt;A
HGVSp: p.Val346=
dbSNP: rs770240292
Allele Frequency (VAF): 4.7%</t>
  </si>
  <si>
    <t xml:space="preserve">c.7443-16_7443-6del</t>
  </si>
  <si>
    <t xml:space="preserve">NM_170606.3:c.7443-16_7443-6del</t>
  </si>
  <si>
    <t xml:space="preserve">KMT2C intron_variant&amp;splice_region_variant in intron 37
HGVSc: c.7443-16_7443-6del
HGVSp: nan
dbSNP: rs746018833
Allele Frequency (VAF): 31.9%</t>
  </si>
  <si>
    <t xml:space="preserve">16/59</t>
  </si>
  <si>
    <t xml:space="preserve">c.2763A&gt;G</t>
  </si>
  <si>
    <t xml:space="preserve">p.Leu921=</t>
  </si>
  <si>
    <t xml:space="preserve">NP_733751.2:p.Leu921=</t>
  </si>
  <si>
    <t xml:space="preserve">NM_170606.3:c.2763A&gt;G</t>
  </si>
  <si>
    <t xml:space="preserve">clustered_events;map_qual;</t>
  </si>
  <si>
    <t xml:space="preserve">1676/1706</t>
  </si>
  <si>
    <t xml:space="preserve">KMT2C synonymous_variant in exon 16
HGVSc: c.2763A&gt;G
HGVSp: p.Leu921=
dbSNP: rs112326730
Allele Frequency (VAF): 4.9%</t>
  </si>
  <si>
    <t xml:space="preserve">c.7443-14_7443-6del</t>
  </si>
  <si>
    <t xml:space="preserve">NM_170606.3:c.7443-14_7443-6del</t>
  </si>
  <si>
    <t xml:space="preserve">KMT2C intron_variant&amp;splice_region_variant in intron 37
HGVSc: c.7443-14_7443-6del
HGVSp: nan
dbSNP: rs746018833
Allele Frequency (VAF): 5.5%</t>
  </si>
  <si>
    <t xml:space="preserve">c.2706G&gt;A</t>
  </si>
  <si>
    <t xml:space="preserve">p.Ser902=</t>
  </si>
  <si>
    <t xml:space="preserve">NP_733751.2:p.Ser902=</t>
  </si>
  <si>
    <t xml:space="preserve">NM_170606.3:c.2706G&gt;A</t>
  </si>
  <si>
    <t xml:space="preserve">1691/1706</t>
  </si>
  <si>
    <t xml:space="preserve">KMT2C synonymous_variant in exon 16
HGVSc: c.2706G&gt;A
HGVSp: p.Ser902=
dbSNP: rs78472109
Allele Frequency (VAF): 6.5%</t>
  </si>
  <si>
    <t xml:space="preserve">15/59</t>
  </si>
  <si>
    <t xml:space="preserve">c.2613C&gt;T</t>
  </si>
  <si>
    <t xml:space="preserve">p.Pro871=</t>
  </si>
  <si>
    <t xml:space="preserve">NP_733751.2:p.Pro871=</t>
  </si>
  <si>
    <t xml:space="preserve">NM_170606.3:c.2613C&gt;T</t>
  </si>
  <si>
    <t xml:space="preserve">1561/1706</t>
  </si>
  <si>
    <t xml:space="preserve">KMT2C synonymous_variant in exon 15
HGVSc: c.2613C&gt;T
HGVSp: p.Pro871=
dbSNP: rs62478303
Allele Frequency (VAF): 3.1%</t>
  </si>
  <si>
    <t xml:space="preserve">c.2591A&gt;G</t>
  </si>
  <si>
    <t xml:space="preserve">p.Glu864Gly</t>
  </si>
  <si>
    <t xml:space="preserve">NP_733751.2:p.Glu864Gly</t>
  </si>
  <si>
    <t xml:space="preserve">NM_170606.3:c.2591A&gt;G</t>
  </si>
  <si>
    <t xml:space="preserve">clustered_events;strand_bias;</t>
  </si>
  <si>
    <t xml:space="preserve">KMT2C missense_variant in exon 15
HGVSc: c.2591A&gt;G
HGVSp: p.Glu864Gly
dbSNP: rs4024420
Allele Frequency (VAF): 11.4%</t>
  </si>
  <si>
    <t xml:space="preserve">c.2447dup</t>
  </si>
  <si>
    <t xml:space="preserve">p.Tyr816Ter</t>
  </si>
  <si>
    <t xml:space="preserve">NP_733751.2:p.Tyr816Ter</t>
  </si>
  <si>
    <t xml:space="preserve">frameshift_variant&amp;stop_gained</t>
  </si>
  <si>
    <t xml:space="preserve">NM_170606.3:c.2447dup</t>
  </si>
  <si>
    <t xml:space="preserve">Intellectual_disability&amp;not_specified</t>
  </si>
  <si>
    <t xml:space="preserve">1684/1706</t>
  </si>
  <si>
    <t xml:space="preserve">KMT2C frameshift_variant&amp;stop_gained in exon 14
HGVSc: c.2447dup
HGVSp: p.Tyr816Ter
dbSNP: rs150073007
Allele Frequency (VAF): 31.1%</t>
  </si>
  <si>
    <t xml:space="preserve">c.2418C&gt;G</t>
  </si>
  <si>
    <t xml:space="preserve">p.Ser806=</t>
  </si>
  <si>
    <t xml:space="preserve">NP_733751.2:p.Ser806=</t>
  </si>
  <si>
    <t xml:space="preserve">NM_170606.3:c.2418C&gt;G</t>
  </si>
  <si>
    <t xml:space="preserve">1668/1706</t>
  </si>
  <si>
    <t xml:space="preserve">KMT2C synonymous_variant in exon 14
HGVSc: c.2418C&gt;G
HGVSp: p.Ser806=
dbSNP: rs3896406
Allele Frequency (VAF): 4.8%</t>
  </si>
  <si>
    <t xml:space="preserve">c.1042G&gt;A</t>
  </si>
  <si>
    <t xml:space="preserve">p.Asp348Asn</t>
  </si>
  <si>
    <t xml:space="preserve">NP_733751.2:p.Asp348Asn</t>
  </si>
  <si>
    <t xml:space="preserve">NM_170606.3:c.1042G&gt;A</t>
  </si>
  <si>
    <t xml:space="preserve">1529/1706</t>
  </si>
  <si>
    <t xml:space="preserve">KMT2C missense_variant in exon 8
HGVSc: c.1042G&gt;A
HGVSp: p.Asp348Asn
dbSNP: rs201834857
Allele Frequency (VAF): 4.4%</t>
  </si>
  <si>
    <t xml:space="preserve">c.2315C&gt;T</t>
  </si>
  <si>
    <t xml:space="preserve">p.Ser772Leu</t>
  </si>
  <si>
    <t xml:space="preserve">NP_733751.2:p.Ser772Leu</t>
  </si>
  <si>
    <t xml:space="preserve">NM_170606.3:c.2315C&gt;T</t>
  </si>
  <si>
    <t xml:space="preserve">1697/1706</t>
  </si>
  <si>
    <t xml:space="preserve">KMT2C missense_variant in exon 14
HGVSc: c.2315C&gt;T
HGVSp: p.Ser772Leu
dbSNP: rs4024453
Allele Frequency (VAF): 15.2%</t>
  </si>
  <si>
    <t xml:space="preserve">c.2304A&gt;G</t>
  </si>
  <si>
    <t xml:space="preserve">p.Ser768=</t>
  </si>
  <si>
    <t xml:space="preserve">NP_733751.2:p.Ser768=</t>
  </si>
  <si>
    <t xml:space="preserve">NM_170606.3:c.2304A&gt;G</t>
  </si>
  <si>
    <t xml:space="preserve">1677/1706</t>
  </si>
  <si>
    <t xml:space="preserve">KMT2C synonymous_variant in exon 14
HGVSc: c.2304A&gt;G
HGVSp: p.Ser768=
dbSNP: rs594178
Allele Frequency (VAF): 11.1%</t>
  </si>
  <si>
    <t xml:space="preserve">c.2185A&gt;G</t>
  </si>
  <si>
    <t xml:space="preserve">p.Asn729Asp</t>
  </si>
  <si>
    <t xml:space="preserve">NP_733751.2:p.Asn729Asp</t>
  </si>
  <si>
    <t xml:space="preserve">NM_170606.3:c.2185A&gt;G</t>
  </si>
  <si>
    <t xml:space="preserve">clustered_events;haplotype;strand_bias;</t>
  </si>
  <si>
    <t xml:space="preserve">955/1706</t>
  </si>
  <si>
    <t xml:space="preserve">KMT2C missense_variant in exon 14
HGVSc: c.2185A&gt;G
HGVSp: p.Asn729Asp
dbSNP: rs4639425
Allele Frequency (VAF): 4.4%</t>
  </si>
  <si>
    <t xml:space="preserve">12/59</t>
  </si>
  <si>
    <t xml:space="preserve">c.1668A&gt;G</t>
  </si>
  <si>
    <t xml:space="preserve">p.Val556=</t>
  </si>
  <si>
    <t xml:space="preserve">NP_733751.2:p.Val556=</t>
  </si>
  <si>
    <t xml:space="preserve">NM_170606.3:c.1668A&gt;G</t>
  </si>
  <si>
    <t xml:space="preserve">KMT2C synonymous_variant in exon 12
HGVSc: c.1668A&gt;G
HGVSp: p.Val556=
Allele Frequency (VAF): 5.2%</t>
  </si>
  <si>
    <t xml:space="preserve">c.1173C&gt;A</t>
  </si>
  <si>
    <t xml:space="preserve">p.Cys391Ter</t>
  </si>
  <si>
    <t xml:space="preserve">NP_733751.2:p.Cys391Ter</t>
  </si>
  <si>
    <t xml:space="preserve">NM_170606.3:c.1173C&gt;A</t>
  </si>
  <si>
    <t xml:space="preserve">1022/1706</t>
  </si>
  <si>
    <t xml:space="preserve">KMT2C stop_gained in exon 8
HGVSc: c.1173C&gt;A
HGVSp: p.Cys391Ter
dbSNP: rs146238849
Allele Frequency (VAF): 6.5%</t>
  </si>
  <si>
    <t xml:space="preserve">c.2726G&gt;A</t>
  </si>
  <si>
    <t xml:space="preserve">p.Arg909Lys</t>
  </si>
  <si>
    <t xml:space="preserve">NP_733751.2:p.Arg909Lys</t>
  </si>
  <si>
    <t xml:space="preserve">NM_170606.3:c.2726G&gt;A</t>
  </si>
  <si>
    <t xml:space="preserve">1693/1706</t>
  </si>
  <si>
    <t xml:space="preserve">KMT2C missense_variant in exon 16
HGVSc: c.2726G&gt;A
HGVSp: p.Arg909Lys
dbSNP: rs199504848
Allele Frequency (VAF): 6.5%</t>
  </si>
  <si>
    <t xml:space="preserve">c.1050G&gt;A</t>
  </si>
  <si>
    <t xml:space="preserve">p.Pro350=</t>
  </si>
  <si>
    <t xml:space="preserve">NP_733751.2:p.Pro350=</t>
  </si>
  <si>
    <t xml:space="preserve">NM_170606.3:c.1050G&gt;A</t>
  </si>
  <si>
    <t xml:space="preserve">KMT2C synonymous_variant in exon 8
HGVSc: c.1050G&gt;A
HGVSp: p.Pro350=
dbSNP: rs62478357
Allele Frequency (VAF): 4.5%</t>
  </si>
  <si>
    <t xml:space="preserve">c.1139G&gt;T</t>
  </si>
  <si>
    <t xml:space="preserve">p.Arg380Leu</t>
  </si>
  <si>
    <t xml:space="preserve">NP_733751.2:p.Arg380Leu</t>
  </si>
  <si>
    <t xml:space="preserve">NM_170606.3:c.1139G&gt;T</t>
  </si>
  <si>
    <t xml:space="preserve">Kleefstra_syndrome_2&amp;not_provided&amp;not_specified</t>
  </si>
  <si>
    <t xml:space="preserve">1021/1706</t>
  </si>
  <si>
    <t xml:space="preserve">KMT2C missense_variant in exon 8
HGVSc: c.1139G&gt;T
HGVSp: p.Arg380Leu
dbSNP: rs138908625
Allele Frequency (VAF): 7.1%</t>
  </si>
  <si>
    <t xml:space="preserve">c.451-9G&gt;A</t>
  </si>
  <si>
    <t xml:space="preserve">NM_004985.5:c.451-9G&gt;A</t>
  </si>
  <si>
    <t xml:space="preserve">Noonan_syndrome_3&amp;RASopathy&amp;not_provided&amp;not_specified</t>
  </si>
  <si>
    <t xml:space="preserve">KRAS intron_variant in intron 4
HGVSc: c.451-9G&gt;A
HGVSp: nan
dbSNP: rs12313763
Allele Frequency (VAF): 7.1%</t>
  </si>
  <si>
    <t xml:space="preserve">c.757_758del</t>
  </si>
  <si>
    <t xml:space="preserve">p.Glu253ArgfsTer34</t>
  </si>
  <si>
    <t xml:space="preserve">NP_057103.2:p.Glu253ArgfsTer34</t>
  </si>
  <si>
    <t xml:space="preserve">NM_016019.5:c.757_758del</t>
  </si>
  <si>
    <t xml:space="preserve">LUC7L2 frameshift_variant in exon 7
HGVSc: c.757_758del
HGVSp: p.Glu253ArgfsTer34
dbSNP: rs368249579
Allele Frequency (VAF): 8.2%</t>
  </si>
  <si>
    <t xml:space="preserve">c.780-14T&gt;C</t>
  </si>
  <si>
    <t xml:space="preserve">NM_016019.5:c.780-14T&gt;C</t>
  </si>
  <si>
    <t xml:space="preserve">LUC7L2 intron_variant in intron 7
HGVSc: c.780-14T&gt;C
HGVSp: nan
dbSNP: rs200596529
Allele Frequency (VAF): 82.2%</t>
  </si>
  <si>
    <t xml:space="preserve">c.1023-8C&gt;T</t>
  </si>
  <si>
    <t xml:space="preserve">NM_002755.4:c.1023-8C&gt;T</t>
  </si>
  <si>
    <t xml:space="preserve">RASopathy&amp;not_provided&amp;not_specified</t>
  </si>
  <si>
    <t xml:space="preserve">MAP2K1 intron_variant&amp;splice_region_variant in intron 9
HGVSc: c.1023-8C&gt;T
HGVSp: nan
dbSNP: rs41306345
Allele Frequency (VAF): 7.2%</t>
  </si>
  <si>
    <t xml:space="preserve">c.1093G&gt;A</t>
  </si>
  <si>
    <t xml:space="preserve">p.Gly365Ser</t>
  </si>
  <si>
    <t xml:space="preserve">NP_001139257.1:p.Gly365Ser</t>
  </si>
  <si>
    <t xml:space="preserve">NM_001145785.2:c.1093G&gt;A</t>
  </si>
  <si>
    <t xml:space="preserve">MEF2B missense_variant in exon 9
HGVSc: c.1093G&gt;A
HGVSp: p.Gly365Ser
dbSNP: rs2228198
Allele Frequency (VAF): 7.8%</t>
  </si>
  <si>
    <t xml:space="preserve">c.259-15C&gt;T</t>
  </si>
  <si>
    <t xml:space="preserve">NM_001145785.2:c.259-15C&gt;T</t>
  </si>
  <si>
    <t xml:space="preserve">MEF2B intron_variant in intron 3
HGVSc: c.259-15C&gt;T
HGVSp: nan
dbSNP: rs3729767
Allele Frequency (VAF): 29.8%</t>
  </si>
  <si>
    <t xml:space="preserve">c.61-4dup</t>
  </si>
  <si>
    <t xml:space="preserve">NM_001042492.3:c.61-4dup</t>
  </si>
  <si>
    <t xml:space="preserve">Hereditary_cancer-predisposing_syndrome&amp;Neurofibromatosis&amp;_type_1&amp;not_provided&amp;not_specified</t>
  </si>
  <si>
    <t xml:space="preserve">NF1 intron_variant&amp;splice_region_variant in intron 1
HGVSc: c.61-4dup
HGVSp: nan
dbSNP: rs551568608
Allele Frequency (VAF): 3.8%</t>
  </si>
  <si>
    <t xml:space="preserve">c.3198-11_3198-4del</t>
  </si>
  <si>
    <t xml:space="preserve">NM_001042492.3:c.3198-11_3198-4del</t>
  </si>
  <si>
    <t xml:space="preserve">Neurofibromatosis&amp;_type_1&amp;not_provided</t>
  </si>
  <si>
    <t xml:space="preserve">NF1 intron_variant&amp;splice_region_variant in intron 24
HGVSc: c.3198-11_3198-4del
HGVSp: nan
dbSNP: rs371047262
Allele Frequency (VAF): 24.9%</t>
  </si>
  <si>
    <t xml:space="preserve">21/58</t>
  </si>
  <si>
    <t xml:space="preserve">c.2544G&gt;A</t>
  </si>
  <si>
    <t xml:space="preserve">p.Gly848=</t>
  </si>
  <si>
    <t xml:space="preserve">NP_001035957.1:p.Gly848=</t>
  </si>
  <si>
    <t xml:space="preserve">NM_001042492.3:c.2544G&gt;A</t>
  </si>
  <si>
    <t xml:space="preserve">Café-au-lait_macules_with_pulmonary_stenosis&amp;Cardiovascular_phenotype&amp;Hereditary_cancer-predisposing_syndrome&amp;Neurofibromatosis&amp;Neurofibromatosis-Noonan_syndrome&amp;_familial_spinal&amp;_type_1&amp;not_provided&amp;not_specified</t>
  </si>
  <si>
    <t xml:space="preserve">NF1 synonymous_variant in exon 21
HGVSc: c.2544G&gt;A
HGVSp: p.Gly848=
dbSNP: rs17883704
Allele Frequency (VAF): 6.9%</t>
  </si>
  <si>
    <t xml:space="preserve">c.3198-8_3198-4del</t>
  </si>
  <si>
    <t xml:space="preserve">NM_001042492.3:c.3198-8_3198-4del</t>
  </si>
  <si>
    <t xml:space="preserve">NF1 intron_variant&amp;splice_region_variant in intron 24
HGVSc: c.3198-8_3198-4del
HGVSp: nan
dbSNP: rs371047262
Allele Frequency (VAF): 3.6%</t>
  </si>
  <si>
    <t xml:space="preserve">c.730+31_730+32del</t>
  </si>
  <si>
    <t xml:space="preserve">NM_001042492.3:c.730+31_730+32del</t>
  </si>
  <si>
    <t xml:space="preserve">NF1 intron_variant in intron 7
HGVSc: c.730+31_730+32del
HGVSp: nan
dbSNP: rs71142032
Allele Frequency (VAF): 4.5%</t>
  </si>
  <si>
    <t xml:space="preserve">c.1845+13A&gt;T</t>
  </si>
  <si>
    <t xml:space="preserve">NM_001042492.3:c.1845+13A&gt;T</t>
  </si>
  <si>
    <t xml:space="preserve">Neurofibromatosis&amp;_familial_spinal&amp;_type_1&amp;not_provided&amp;not_specified</t>
  </si>
  <si>
    <t xml:space="preserve">NF1 intron_variant in intron 16
HGVSc: c.1845+13A&gt;T
HGVSp: nan
dbSNP: rs17885739
Allele Frequency (VAF): 6.4%</t>
  </si>
  <si>
    <t xml:space="preserve">c.*4G&gt;A</t>
  </si>
  <si>
    <t xml:space="preserve">NM_001136023.3:c.*4G&gt;A</t>
  </si>
  <si>
    <t xml:space="preserve">NFE2 3_prime_UTR_variant in exon 3
HGVSc: c.*4G&gt;A
HGVSp: nan
dbSNP: rs34357477
Allele Frequency (VAF): 7.4%</t>
  </si>
  <si>
    <t xml:space="preserve">6/34</t>
  </si>
  <si>
    <t xml:space="preserve">c.873C&gt;T</t>
  </si>
  <si>
    <t xml:space="preserve">p.Tyr291=</t>
  </si>
  <si>
    <t xml:space="preserve">NP_060087.3:p.Tyr291=</t>
  </si>
  <si>
    <t xml:space="preserve">NM_017617.5:c.873C&gt;T</t>
  </si>
  <si>
    <t xml:space="preserve">Adams-Oliver_syndrome_5&amp;Aortic_valve_disease_1&amp;Familial_thoracic_aortic_aneurysm_and_aortic_dissection&amp;not_provided&amp;not_specified</t>
  </si>
  <si>
    <t xml:space="preserve">NOTCH1 synonymous_variant in exon 6
HGVSc: c.873C&gt;T
HGVSp: p.Tyr291=
dbSNP: rs143654474
Allele Frequency (VAF): 13.8%</t>
  </si>
  <si>
    <t xml:space="preserve">c.3780G&gt;C</t>
  </si>
  <si>
    <t xml:space="preserve">p.Val1260=</t>
  </si>
  <si>
    <t xml:space="preserve">NP_060087.3:p.Val1260=</t>
  </si>
  <si>
    <t xml:space="preserve">NM_017617.5:c.3780G&gt;C</t>
  </si>
  <si>
    <t xml:space="preserve">NOTCH1 synonymous_variant in exon 23
HGVSc: c.3780G&gt;C
HGVSp: p.Val1260=
dbSNP: rs201354526
Allele Frequency (VAF): 6.4%</t>
  </si>
  <si>
    <t xml:space="preserve">c.*136A&gt;G</t>
  </si>
  <si>
    <t xml:space="preserve">NM_017617.5:c.*136A&gt;G</t>
  </si>
  <si>
    <t xml:space="preserve">NOTCH1 3_prime_UTR_variant in exon 34
HGVSc: c.*136A&gt;G
HGVSp: nan
dbSNP: rs11574912
Allele Frequency (VAF): 12.5%</t>
  </si>
  <si>
    <t xml:space="preserve">c.2868C&gt;T</t>
  </si>
  <si>
    <t xml:space="preserve">p.Asn956=</t>
  </si>
  <si>
    <t xml:space="preserve">NP_060087.3:p.Asn956=</t>
  </si>
  <si>
    <t xml:space="preserve">NM_017617.5:c.2868C&gt;T</t>
  </si>
  <si>
    <t xml:space="preserve">Adams-Oliver_syndrome_5&amp;Aortic_valve_disease_1&amp;Familial_thoracic_aortic_aneurysm_and_aortic_dissection&amp;not_provided</t>
  </si>
  <si>
    <t xml:space="preserve">NOTCH1 synonymous_variant in exon 18
HGVSc: c.2868C&gt;T
HGVSp: p.Asn956=
dbSNP: rs760227470
Allele Frequency (VAF): 9.5%</t>
  </si>
  <si>
    <t xml:space="preserve">c.5639-12C&gt;T</t>
  </si>
  <si>
    <t xml:space="preserve">NM_017617.5:c.5639-12C&gt;T</t>
  </si>
  <si>
    <t xml:space="preserve">Adams-Oliver_syndrome_5&amp;Aortic_valve_disease_1&amp;not_provided&amp;not_specified</t>
  </si>
  <si>
    <t xml:space="preserve">NOTCH1 intron_variant in intron 30
HGVSc: c.5639-12C&gt;T
HGVSp: nan
dbSNP: rs11574908
Allele Frequency (VAF): 9.1%</t>
  </si>
  <si>
    <t xml:space="preserve">c.139-9dup</t>
  </si>
  <si>
    <t xml:space="preserve">NM_002520.7:c.139-9dup</t>
  </si>
  <si>
    <t xml:space="preserve">NPM1 intron_variant in intron 2
HGVSc: c.139-9dup
HGVSp: nan
dbSNP: rs752582321
Allele Frequency (VAF): 4.5%</t>
  </si>
  <si>
    <t xml:space="preserve">c.847-6_847-5del</t>
  </si>
  <si>
    <t xml:space="preserve">NM_002520.7:c.847-6_847-5del</t>
  </si>
  <si>
    <t xml:space="preserve">NPM1-related_disorder</t>
  </si>
  <si>
    <t xml:space="preserve">NPM1 intron_variant&amp;splice_region_variant in intron 10
HGVSc: c.847-6_847-5del
HGVSp: nan
dbSNP: rs34323200
Allele Frequency (VAF): 34.0%</t>
  </si>
  <si>
    <t xml:space="preserve">c.139-9del</t>
  </si>
  <si>
    <t xml:space="preserve">NM_002520.7:c.139-9del</t>
  </si>
  <si>
    <t xml:space="preserve">NPM1 intron_variant in intron 2
HGVSc: c.139-9del
HGVSp: nan
dbSNP: rs752582321
Allele Frequency (VAF): 9.8%</t>
  </si>
  <si>
    <t xml:space="preserve">8/17</t>
  </si>
  <si>
    <t xml:space="preserve">c.969T&gt;C</t>
  </si>
  <si>
    <t xml:space="preserve">p.Asn323=</t>
  </si>
  <si>
    <t xml:space="preserve">NP_002520.2:p.Asn323=</t>
  </si>
  <si>
    <t xml:space="preserve">NM_002529.4:c.969T&gt;C</t>
  </si>
  <si>
    <t xml:space="preserve">Hereditary_insensitivity_to_pain_with_anhidrosis</t>
  </si>
  <si>
    <t xml:space="preserve">NTRK1 synonymous_variant in exon 8
HGVSc: c.969T&gt;C
HGVSp: p.Asn323=
dbSNP: rs542786663
Allele Frequency (VAF): 7.2%</t>
  </si>
  <si>
    <t xml:space="preserve">c.1173A&gt;G</t>
  </si>
  <si>
    <t xml:space="preserve">p.Ile391Met</t>
  </si>
  <si>
    <t xml:space="preserve">NP_006209.2:p.Ile391Met</t>
  </si>
  <si>
    <t xml:space="preserve">NM_006218.4:c.1173A&gt;G</t>
  </si>
  <si>
    <t xml:space="preserve">Cowden_syndrome&amp;Cowden_syndrome_5&amp;Overgrowth_syndrome_and/or_cerebral_malformations_due_to_abnormalities_in_MTOR_pathway_genes&amp;not_provided&amp;not_specified</t>
  </si>
  <si>
    <t xml:space="preserve">PIK3CA missense_variant in exon 7
HGVSc: c.1173A&gt;G
HGVSp: p.Ile391Met
dbSNP: rs2230461
Allele Frequency (VAF): 6.9%</t>
  </si>
  <si>
    <t xml:space="preserve">c.931-9G&gt;C</t>
  </si>
  <si>
    <t xml:space="preserve">NM_005026.5:c.931-9G&gt;C</t>
  </si>
  <si>
    <t xml:space="preserve">Immunodeficiency_14&amp;not_provided&amp;not_specified</t>
  </si>
  <si>
    <t xml:space="preserve">PIK3CD intron_variant in intron 7
HGVSc: c.931-9G&gt;C
HGVSp: nan
dbSNP: rs28730669
Allele Frequency (VAF): 9.3%</t>
  </si>
  <si>
    <t xml:space="preserve">c.1689+20T&gt;C</t>
  </si>
  <si>
    <t xml:space="preserve">NM_005026.5:c.1689+20T&gt;C</t>
  </si>
  <si>
    <t xml:space="preserve">PIK3CD intron_variant in intron 13
HGVSc: c.1689+20T&gt;C
HGVSp: nan
dbSNP: rs181919452
Allele Frequency (VAF): 10.1%</t>
  </si>
  <si>
    <t xml:space="preserve">c.411C&gt;T</t>
  </si>
  <si>
    <t xml:space="preserve">p.Asn137=</t>
  </si>
  <si>
    <t xml:space="preserve">NP_005017.3:p.Asn137=</t>
  </si>
  <si>
    <t xml:space="preserve">NM_005026.5:c.411C&gt;T</t>
  </si>
  <si>
    <t xml:space="preserve">Immunodeficiency_14</t>
  </si>
  <si>
    <t xml:space="preserve">PIK3CD synonymous_variant in exon 5
HGVSc: c.411C&gt;T
HGVSp: p.Asn137=
Allele Frequency (VAF): 6.5%</t>
  </si>
  <si>
    <t xml:space="preserve">c.1386+6G&gt;C</t>
  </si>
  <si>
    <t xml:space="preserve">NM_002660.3:c.1386+6G&gt;C</t>
  </si>
  <si>
    <t xml:space="preserve">PLCG1 intron_variant&amp;splice_region_variant in intron 13
HGVSc: c.1386+6G&gt;C
HGVSp: nan
dbSNP: rs6016521
Allele Frequency (VAF): 14.0%</t>
  </si>
  <si>
    <t xml:space="preserve">22/32</t>
  </si>
  <si>
    <t xml:space="preserve">c.2553C&gt;T</t>
  </si>
  <si>
    <t xml:space="preserve">p.Asn851=</t>
  </si>
  <si>
    <t xml:space="preserve">NP_002651.2:p.Asn851=</t>
  </si>
  <si>
    <t xml:space="preserve">NM_002660.3:c.2553C&gt;T</t>
  </si>
  <si>
    <t xml:space="preserve">PLCG1 synonymous_variant in exon 22
HGVSc: c.2553C&gt;T
HGVSp: p.Asn851=
dbSNP: rs34012203
Allele Frequency (VAF): 29.5%</t>
  </si>
  <si>
    <t xml:space="preserve">c.565-10A&gt;G</t>
  </si>
  <si>
    <t xml:space="preserve">NM_002661.5:c.565-10A&gt;G</t>
  </si>
  <si>
    <t xml:space="preserve">Familial_cold_autoinflammatory_syndrome_3&amp;not_provided&amp;not_specified</t>
  </si>
  <si>
    <t xml:space="preserve">PLCG2 intron_variant in intron 6
HGVSc: c.565-10A&gt;G
HGVSp: nan
dbSNP: rs62046684
Allele Frequency (VAF): 17.9%</t>
  </si>
  <si>
    <t xml:space="preserve">32/33</t>
  </si>
  <si>
    <t xml:space="preserve">c.3726C&gt;A</t>
  </si>
  <si>
    <t xml:space="preserve">p.Leu1242=</t>
  </si>
  <si>
    <t xml:space="preserve">NP_002652.2:p.Leu1242=</t>
  </si>
  <si>
    <t xml:space="preserve">NM_002661.5:c.3726C&gt;A</t>
  </si>
  <si>
    <t xml:space="preserve">Autoinflammation-PLCG2-associated_antibody_deficiency-immune_dysregulation&amp;Familial_cold_autoinflammatory_syndrome_3&amp;not_provided&amp;not_specified</t>
  </si>
  <si>
    <t xml:space="preserve">PLCG2 synonymous_variant in exon 32
HGVSc: c.3726C&gt;A
HGVSp: p.Leu1242=
dbSNP: rs76506409
Allele Frequency (VAF): 6.9%</t>
  </si>
  <si>
    <t xml:space="preserve">c.3482-3C&gt;T</t>
  </si>
  <si>
    <t xml:space="preserve">NM_002661.5:c.3482-3C&gt;T</t>
  </si>
  <si>
    <t xml:space="preserve">PLCG2 intron_variant&amp;splice_region_variant in intron 30
HGVSc: c.3482-3C&gt;T
HGVSp: nan
dbSNP: rs74856898
Allele Frequency (VAF): 6.4%</t>
  </si>
  <si>
    <t xml:space="preserve">17/43</t>
  </si>
  <si>
    <t xml:space="preserve">c.2409G&gt;A</t>
  </si>
  <si>
    <t xml:space="preserve">p.Ala803=</t>
  </si>
  <si>
    <t xml:space="preserve">NP_006436.3:p.Ala803=</t>
  </si>
  <si>
    <t xml:space="preserve">NM_006445.4:c.2409G&gt;A</t>
  </si>
  <si>
    <t xml:space="preserve">Retinitis_pigmentosa&amp;not_provided</t>
  </si>
  <si>
    <t xml:space="preserve">PRPF8 synonymous_variant in exon 17
HGVSc: c.2409G&gt;A
HGVSp: p.Ala803=
dbSNP: rs114284408
Allele Frequency (VAF): 6.6%</t>
  </si>
  <si>
    <t xml:space="preserve">c.993-7A&gt;G</t>
  </si>
  <si>
    <t xml:space="preserve">NM_006445.4:c.993-7A&gt;G</t>
  </si>
  <si>
    <t xml:space="preserve">PRPF8 intron_variant&amp;splice_region_variant in intron 7
HGVSc: c.993-7A&gt;G
HGVSp: nan
dbSNP: rs62089988
Allele Frequency (VAF): 10.0%</t>
  </si>
  <si>
    <t xml:space="preserve">c.3061-11T&gt;G</t>
  </si>
  <si>
    <t xml:space="preserve">NM_006445.4:c.3061-11T&gt;G</t>
  </si>
  <si>
    <t xml:space="preserve">Retinal_dystrophy&amp;Retinitis_pigmentosa&amp;not_provided</t>
  </si>
  <si>
    <t xml:space="preserve">PRPF8 intron_variant in intron 20
HGVSc: c.3061-11T&gt;G
HGVSp: nan
dbSNP: rs11652160
Allele Frequency (VAF): 9.7%</t>
  </si>
  <si>
    <t xml:space="preserve">c.3775-14T&gt;C</t>
  </si>
  <si>
    <t xml:space="preserve">NM_006445.4:c.3775-14T&gt;C</t>
  </si>
  <si>
    <t xml:space="preserve">PRPF8 intron_variant in intron 24
HGVSc: c.3775-14T&gt;C
HGVSp: nan
dbSNP: rs3814969
Allele Frequency (VAF): 80.2%</t>
  </si>
  <si>
    <t xml:space="preserve">25/43</t>
  </si>
  <si>
    <t xml:space="preserve">c.3939G&gt;A</t>
  </si>
  <si>
    <t xml:space="preserve">p.Pro1313=</t>
  </si>
  <si>
    <t xml:space="preserve">NP_006436.3:p.Pro1313=</t>
  </si>
  <si>
    <t xml:space="preserve">NM_006445.4:c.3939G&gt;A</t>
  </si>
  <si>
    <t xml:space="preserve">PRPF8 synonymous_variant in exon 25
HGVSc: c.3939G&gt;A
HGVSp: p.Pro1313=
dbSNP: rs35169383
Allele Frequency (VAF): 9.8%</t>
  </si>
  <si>
    <t xml:space="preserve">c.4639-13G&gt;A</t>
  </si>
  <si>
    <t xml:space="preserve">NM_006445.4:c.4639-13G&gt;A</t>
  </si>
  <si>
    <t xml:space="preserve">PRPF8 intron_variant in intron 29
HGVSc: c.4639-13G&gt;A
HGVSp: nan
dbSNP: rs62088058
Allele Frequency (VAF): 9.4%</t>
  </si>
  <si>
    <t xml:space="preserve">39/43</t>
  </si>
  <si>
    <t xml:space="preserve">c.6294G&gt;A</t>
  </si>
  <si>
    <t xml:space="preserve">p.Lys2098=</t>
  </si>
  <si>
    <t xml:space="preserve">NP_006436.3:p.Lys2098=</t>
  </si>
  <si>
    <t xml:space="preserve">NM_006445.4:c.6294G&gt;A</t>
  </si>
  <si>
    <t xml:space="preserve">PRPF8 synonymous_variant in exon 39
HGVSc: c.6294G&gt;A
HGVSp: p.Lys2098=
dbSNP: rs11559309
Allele Frequency (VAF): 8.8%</t>
  </si>
  <si>
    <t xml:space="preserve">41/43</t>
  </si>
  <si>
    <t xml:space="preserve">c.6588T&gt;C</t>
  </si>
  <si>
    <t xml:space="preserve">p.His2196=</t>
  </si>
  <si>
    <t xml:space="preserve">NP_006436.3:p.His2196=</t>
  </si>
  <si>
    <t xml:space="preserve">NM_006445.4:c.6588T&gt;C</t>
  </si>
  <si>
    <t xml:space="preserve">PRPF8 synonymous_variant in exon 41
HGVSc: c.6588T&gt;C
HGVSp: p.His2196=
dbSNP: rs1802491
Allele Frequency (VAF): 90.0%</t>
  </si>
  <si>
    <t xml:space="preserve">18/43</t>
  </si>
  <si>
    <t xml:space="preserve">c.2631G&gt;A</t>
  </si>
  <si>
    <t xml:space="preserve">p.Ala877=</t>
  </si>
  <si>
    <t xml:space="preserve">NP_006436.3:p.Ala877=</t>
  </si>
  <si>
    <t xml:space="preserve">NM_006445.4:c.2631G&gt;A</t>
  </si>
  <si>
    <t xml:space="preserve">Retinitis_pigmentosa&amp;Retinitis_pigmentosa_13&amp;not_provided</t>
  </si>
  <si>
    <t xml:space="preserve">PRPF8 synonymous_variant in exon 18
HGVSc: c.2631G&gt;A
HGVSp: p.Ala877=
dbSNP: rs35420265
Allele Frequency (VAF): 7.4%</t>
  </si>
  <si>
    <t xml:space="preserve">c.802-4_802-3del</t>
  </si>
  <si>
    <t xml:space="preserve">NM_000314.8:c.802-4_802-3del</t>
  </si>
  <si>
    <t xml:space="preserve">Breast_and/or_ovarian_cancer&amp;Cowden_syndrome_1&amp;Hereditary_cancer-predisposing_syndrome&amp;not_provided&amp;not_specified</t>
  </si>
  <si>
    <t xml:space="preserve">PTEN intron_variant&amp;splice_region_variant in intron 7
HGVSc: c.802-4_802-3del
HGVSp: nan
dbSNP: rs34003473
Allele Frequency (VAF): 21.2%</t>
  </si>
  <si>
    <t xml:space="preserve">c.802-3del</t>
  </si>
  <si>
    <t xml:space="preserve">NM_000314.8:c.802-3del</t>
  </si>
  <si>
    <t xml:space="preserve">Breast_and/or_ovarian_cancer&amp;Hereditary_cancer-predisposing_syndrome&amp;PTEN_hamartoma_tumor_syndrome&amp;not_provided&amp;not_specified</t>
  </si>
  <si>
    <t xml:space="preserve">PTEN intron_variant&amp;splice_region_variant in intron 7
HGVSc: c.802-3del
HGVSp: nan
dbSNP: rs34003473
Allele Frequency (VAF): 6.2%</t>
  </si>
  <si>
    <t xml:space="preserve">c.459T&gt;C</t>
  </si>
  <si>
    <t xml:space="preserve">p.Thr153=</t>
  </si>
  <si>
    <t xml:space="preserve">NP_002825.3:p.Thr153=</t>
  </si>
  <si>
    <t xml:space="preserve">NM_002834.5:c.459T&gt;C</t>
  </si>
  <si>
    <t xml:space="preserve">PTPN11 synonymous_variant in exon 4
HGVSc: c.459T&gt;C
HGVSp: p.Thr153=
Allele Frequency (VAF): 28.6%</t>
  </si>
  <si>
    <t xml:space="preserve">c.1093-9C&gt;A</t>
  </si>
  <si>
    <t xml:space="preserve">NM_002834.5:c.1093-9C&gt;A</t>
  </si>
  <si>
    <t xml:space="preserve">Juvenile_myelomonocytic_leukemia&amp;LEOPARD_syndrome_1&amp;Metachondromatosis&amp;Noonan_syndrome_1&amp;Noonan_syndrome_and_Noonan-related_syndrome&amp;RASopathy&amp;not_provided&amp;not_specified</t>
  </si>
  <si>
    <t xml:space="preserve">PTPN11 intron_variant in intron 9
HGVSc: c.1093-9C&gt;A
HGVSp: nan
dbSNP: rs12301915
Allele Frequency (VAF): 6.5%</t>
  </si>
  <si>
    <t xml:space="preserve">c.815-9_815-5del</t>
  </si>
  <si>
    <t xml:space="preserve">NM_006265.3:c.815-9_815-5del</t>
  </si>
  <si>
    <t xml:space="preserve">967/1706</t>
  </si>
  <si>
    <t xml:space="preserve">RAD21 intron_variant&amp;splice_region_variant in intron 7
HGVSc: c.815-9_815-5del
HGVSp: nan
dbSNP: rs35902828
Allele Frequency (VAF): 5.1%</t>
  </si>
  <si>
    <t xml:space="preserve">c.815-8_815-5del</t>
  </si>
  <si>
    <t xml:space="preserve">NM_006265.3:c.815-8_815-5del</t>
  </si>
  <si>
    <t xml:space="preserve">1666/1706</t>
  </si>
  <si>
    <t xml:space="preserve">RAD21 intron_variant&amp;splice_region_variant in intron 7
HGVSc: c.815-8_815-5del
HGVSp: nan
dbSNP: rs35902828
Allele Frequency (VAF): 3.4%</t>
  </si>
  <si>
    <t xml:space="preserve">RPL11</t>
  </si>
  <si>
    <t xml:space="preserve">NM_000975.5</t>
  </si>
  <si>
    <t xml:space="preserve">c.339C&gt;T</t>
  </si>
  <si>
    <t xml:space="preserve">p.Ile113=</t>
  </si>
  <si>
    <t xml:space="preserve">NP_000966.2:p.Ile113=</t>
  </si>
  <si>
    <t xml:space="preserve">NM_000975.5:c.339C&gt;T</t>
  </si>
  <si>
    <t xml:space="preserve">Diamond-Blackfan_anemia&amp;Diamond-Blackfan_anemia_7&amp;not_provided</t>
  </si>
  <si>
    <t xml:space="preserve">RPL11 synonymous_variant in exon 4
HGVSc: c.339C&gt;T
HGVSp: p.Ile113=
dbSNP: rs8880
Allele Frequency (VAF): 30.5%</t>
  </si>
  <si>
    <t xml:space="preserve">c.1270T&gt;C</t>
  </si>
  <si>
    <t xml:space="preserve">p.Ser424Pro</t>
  </si>
  <si>
    <t xml:space="preserve">NP_001745.2:p.Ser424Pro</t>
  </si>
  <si>
    <t xml:space="preserve">NM_001754.5:c.1270T&gt;C</t>
  </si>
  <si>
    <t xml:space="preserve">base_qual;clustered_events;multiallelic;</t>
  </si>
  <si>
    <t xml:space="preserve">Abnormal_bleeding&amp;Hereditary_cancer-predisposing_syndrome&amp;Hereditary_thrombocytopenia_and_hematologic_cancer_predisposition_syndrome&amp;Hereditary_thrombocytopenia_and_hematological_cancer_predisposition_syndrome_associated_with_RUNX1&amp;Thrombocytopenia&amp;not_provided&amp;not_specified</t>
  </si>
  <si>
    <t xml:space="preserve">450/1706</t>
  </si>
  <si>
    <t xml:space="preserve">RUNX1 missense_variant in exon 9
HGVSc: c.1270T&gt;C
HGVSp: p.Ser424Pro
Allele Frequency (VAF): 6.9%</t>
  </si>
  <si>
    <t xml:space="preserve">c.1389C&gt;G</t>
  </si>
  <si>
    <t xml:space="preserve">p.Pro463=</t>
  </si>
  <si>
    <t xml:space="preserve">NP_001745.2:p.Pro463=</t>
  </si>
  <si>
    <t xml:space="preserve">NM_001754.5:c.1389C&gt;G</t>
  </si>
  <si>
    <t xml:space="preserve">26/1706</t>
  </si>
  <si>
    <t xml:space="preserve">RUNX1 synonymous_variant in exon 9
HGVSc: c.1389C&gt;G
HGVSp: p.Pro463=
dbSNP: rs61750222
Allele Frequency (VAF): 6.1%</t>
  </si>
  <si>
    <t xml:space="preserve">c.969G&gt;A</t>
  </si>
  <si>
    <t xml:space="preserve">p.Lys323=</t>
  </si>
  <si>
    <t xml:space="preserve">NP_056374.2:p.Lys323=</t>
  </si>
  <si>
    <t xml:space="preserve">NM_015559.3:c.969G&gt;A</t>
  </si>
  <si>
    <t xml:space="preserve">SETBP1-related_disorder&amp;not_provided</t>
  </si>
  <si>
    <t xml:space="preserve">SETBP1 synonymous_variant in exon 4
HGVSc: c.969G&gt;A
HGVSp: p.Lys323=
dbSNP: rs138913968
Allele Frequency (VAF): 68.1%</t>
  </si>
  <si>
    <t xml:space="preserve">c.3216T&gt;C</t>
  </si>
  <si>
    <t xml:space="preserve">p.Ala1072=</t>
  </si>
  <si>
    <t xml:space="preserve">NP_036565.2:p.Ala1072=</t>
  </si>
  <si>
    <t xml:space="preserve">NM_012433.4:c.3216T&gt;C</t>
  </si>
  <si>
    <t xml:space="preserve">SF3B1 synonymous_variant in exon 22
HGVSc: c.3216T&gt;C
HGVSp: p.Ala1072=
dbSNP: rs111736429
Allele Frequency (VAF): 8.4%</t>
  </si>
  <si>
    <t xml:space="preserve">SH2B3</t>
  </si>
  <si>
    <t xml:space="preserve">NM_005475.3</t>
  </si>
  <si>
    <t xml:space="preserve">2/8</t>
  </si>
  <si>
    <t xml:space="preserve">c.238C&gt;T</t>
  </si>
  <si>
    <t xml:space="preserve">p.Arg80Cys</t>
  </si>
  <si>
    <t xml:space="preserve">NP_005466.1:p.Arg80Cys</t>
  </si>
  <si>
    <t xml:space="preserve">NM_005475.3:c.238C&gt;T</t>
  </si>
  <si>
    <t xml:space="preserve">SH2B3-related_disorder&amp;not_provided</t>
  </si>
  <si>
    <t xml:space="preserve">SH2B3 missense_variant in exon 2
HGVSc: c.238C&gt;T
HGVSp: p.Arg80Cys
dbSNP: rs73428142
Allele Frequency (VAF): 7.3%</t>
  </si>
  <si>
    <t xml:space="preserve">c.1641G&gt;A</t>
  </si>
  <si>
    <t xml:space="preserve">p.Val547=</t>
  </si>
  <si>
    <t xml:space="preserve">NP_005466.1:p.Val547=</t>
  </si>
  <si>
    <t xml:space="preserve">NM_005475.3:c.1641G&gt;A</t>
  </si>
  <si>
    <t xml:space="preserve">SH2B3 synonymous_variant in exon 8
HGVSc: c.1641G&gt;A
HGVSp: p.Val547=
Allele Frequency (VAF): 10.1%</t>
  </si>
  <si>
    <t xml:space="preserve">c.2197-5T&gt;C</t>
  </si>
  <si>
    <t xml:space="preserve">NM_006306.4:c.2197-5T&gt;C</t>
  </si>
  <si>
    <t xml:space="preserve">Congenital_muscular_hypertrophy-cerebral_syndrome&amp;De_Lange_syndrome&amp;Inborn_genetic_diseases&amp;not_provided&amp;not_specified</t>
  </si>
  <si>
    <t xml:space="preserve">SMC1A intron_variant&amp;splice_region_variant in intron 13
HGVSc: c.2197-5T&gt;C
HGVSp: nan
dbSNP: rs2297104
Allele Frequency (VAF): 9.0%</t>
  </si>
  <si>
    <t xml:space="preserve">14/29</t>
  </si>
  <si>
    <t xml:space="preserve">c.1365T&gt;C</t>
  </si>
  <si>
    <t xml:space="preserve">p.Tyr455=</t>
  </si>
  <si>
    <t xml:space="preserve">NP_005436.1:p.Tyr455=</t>
  </si>
  <si>
    <t xml:space="preserve">NM_005445.4:c.1365T&gt;C</t>
  </si>
  <si>
    <t xml:space="preserve">Cornelia_de_Lange_syndrome_3&amp;Inborn_genetic_diseases&amp;not_provided&amp;not_specified</t>
  </si>
  <si>
    <t xml:space="preserve">SMC3 synonymous_variant in exon 14
HGVSc: c.1365T&gt;C
HGVSp: p.Tyr455=
dbSNP: rs75323904
Allele Frequency (VAF): 39.3%</t>
  </si>
  <si>
    <t xml:space="preserve">c.351-9T&gt;C</t>
  </si>
  <si>
    <t xml:space="preserve">NM_005445.4:c.351-9T&gt;C</t>
  </si>
  <si>
    <t xml:space="preserve">Cornelia_de_Lange_syndrome_3&amp;not_provided&amp;not_specified</t>
  </si>
  <si>
    <t xml:space="preserve">SMC3 intron_variant in intron 6
HGVSc: c.351-9T&gt;C
HGVSp: nan
dbSNP: rs78663177
Allele Frequency (VAF): 38.2%</t>
  </si>
  <si>
    <t xml:space="preserve">c.548-5_548-4dup</t>
  </si>
  <si>
    <t xml:space="preserve">NM_005445.4:c.548-5_548-4dup</t>
  </si>
  <si>
    <t xml:space="preserve">Cornelia_de_Lange_syndrome_3&amp;De_Lange_syndrome&amp;Inborn_genetic_diseases&amp;not_provided&amp;not_specified</t>
  </si>
  <si>
    <t xml:space="preserve">SMC3 intron_variant&amp;splice_region_variant in intron 8
HGVSc: c.548-5_548-4dup
HGVSp: nan
dbSNP: rs199906378
Allele Frequency (VAF): 39.7%</t>
  </si>
  <si>
    <t xml:space="preserve">c.724-6dup</t>
  </si>
  <si>
    <t xml:space="preserve">NM_005445.4:c.724-6dup</t>
  </si>
  <si>
    <t xml:space="preserve">Cornelia_de_Lange_syndrome_3&amp;De_Lange_syndrome&amp;not_provided&amp;not_specified</t>
  </si>
  <si>
    <t xml:space="preserve">SMC3 intron_variant&amp;splice_region_variant in intron 9
HGVSc: c.724-6dup
HGVSp: nan
dbSNP: rs11380915
Allele Frequency (VAF): 9.3%</t>
  </si>
  <si>
    <t xml:space="preserve">25/29</t>
  </si>
  <si>
    <t xml:space="preserve">c.3039A&gt;G</t>
  </si>
  <si>
    <t xml:space="preserve">p.Ser1013=</t>
  </si>
  <si>
    <t xml:space="preserve">NP_005436.1:p.Ser1013=</t>
  </si>
  <si>
    <t xml:space="preserve">NM_005445.4:c.3039A&gt;G</t>
  </si>
  <si>
    <t xml:space="preserve">SMC3 synonymous_variant in exon 25
HGVSc: c.3039A&gt;G
HGVSp: p.Ser1013=
dbSNP: rs2419565
Allele Frequency (VAF): 99.9%</t>
  </si>
  <si>
    <t xml:space="preserve">c.9444T&gt;C</t>
  </si>
  <si>
    <t xml:space="preserve">p.Ser3148=</t>
  </si>
  <si>
    <t xml:space="preserve">NP_006653.2:p.Ser3148=</t>
  </si>
  <si>
    <t xml:space="preserve">NM_006662.3:c.9444T&gt;C</t>
  </si>
  <si>
    <t xml:space="preserve">Developmental_delay&amp;Floating-Harbor_syndrome&amp;_and_behavioral_abnormalities&amp;_hypotonia&amp;_musculoskeletal_defects&amp;not_provided&amp;not_specified</t>
  </si>
  <si>
    <t xml:space="preserve">SRCAP synonymous_variant in exon 34
HGVSc: c.9444T&gt;C
HGVSp: p.Ser3148=
dbSNP: rs142948420
Allele Frequency (VAF): 7.4%</t>
  </si>
  <si>
    <t xml:space="preserve">25/34</t>
  </si>
  <si>
    <t xml:space="preserve">c.4293C&gt;G</t>
  </si>
  <si>
    <t xml:space="preserve">p.Val1431=</t>
  </si>
  <si>
    <t xml:space="preserve">NP_006653.2:p.Val1431=</t>
  </si>
  <si>
    <t xml:space="preserve">NM_006662.3:c.4293C&gt;G</t>
  </si>
  <si>
    <t xml:space="preserve">SRCAP synonymous_variant in exon 25
HGVSc: c.4293C&gt;G
HGVSp: p.Val1431=
dbSNP: rs79597785
Allele Frequency (VAF): 9.7%</t>
  </si>
  <si>
    <t xml:space="preserve">c.1725C&gt;T</t>
  </si>
  <si>
    <t xml:space="preserve">p.Pro575=</t>
  </si>
  <si>
    <t xml:space="preserve">NP_006653.2:p.Pro575=</t>
  </si>
  <si>
    <t xml:space="preserve">NM_006662.3:c.1725C&gt;T</t>
  </si>
  <si>
    <t xml:space="preserve">SRCAP synonymous_variant in exon 12
HGVSc: c.1725C&gt;T
HGVSp: p.Pro575=
Allele Frequency (VAF): 34.4%</t>
  </si>
  <si>
    <t xml:space="preserve">c.2097-9_2097-5del</t>
  </si>
  <si>
    <t xml:space="preserve">NM_001042750.2:c.2097-9_2097-5del</t>
  </si>
  <si>
    <t xml:space="preserve">STAG2 intron_variant&amp;splice_region_variant in intron 21
HGVSc: c.2097-9_2097-5del
HGVSp: nan
Allele Frequency (VAF): 3.7%</t>
  </si>
  <si>
    <t xml:space="preserve">c.2097-10_2097-5del</t>
  </si>
  <si>
    <t xml:space="preserve">NM_001042750.2:c.2097-10_2097-5del</t>
  </si>
  <si>
    <t xml:space="preserve">STAG2 intron_variant&amp;splice_region_variant in intron 21
HGVSc: c.2097-10_2097-5del
HGVSp: nan
dbSNP: rs748906058
Allele Frequency (VAF): 5.9%</t>
  </si>
  <si>
    <t xml:space="preserve">c.1535-12_1535-3del</t>
  </si>
  <si>
    <t xml:space="preserve">NM_001042750.2:c.1535-12_1535-3del</t>
  </si>
  <si>
    <t xml:space="preserve">Inborn_genetic_diseases&amp;STAG2-related_disorder&amp;not_provided</t>
  </si>
  <si>
    <t xml:space="preserve">STAG2 intron_variant&amp;splice_region_variant in intron 16
HGVSc: c.1535-12_1535-3del
HGVSp: nan
dbSNP: rs36097834
Allele Frequency (VAF): 25.2%</t>
  </si>
  <si>
    <t xml:space="preserve">c.1018-4_1018-3del</t>
  </si>
  <si>
    <t xml:space="preserve">NM_001042750.2:c.1018-4_1018-3del</t>
  </si>
  <si>
    <t xml:space="preserve">STAG2 intron_variant&amp;splice_region_variant in intron 11
HGVSc: c.1018-4_1018-3del
HGVSp: nan
dbSNP: rs747648873
Allele Frequency (VAF): 16.9%</t>
  </si>
  <si>
    <t xml:space="preserve">c.1018-5_1018-3del</t>
  </si>
  <si>
    <t xml:space="preserve">NM_001042750.2:c.1018-5_1018-3del</t>
  </si>
  <si>
    <t xml:space="preserve">STAG2 intron_variant&amp;splice_region_variant in intron 11
HGVSc: c.1018-5_1018-3del
HGVSp: nan
dbSNP: rs747648873
Allele Frequency (VAF): 29.0%</t>
  </si>
  <si>
    <t xml:space="preserve">c.1018-6_1018-3del</t>
  </si>
  <si>
    <t xml:space="preserve">NM_001042750.2:c.1018-6_1018-3del</t>
  </si>
  <si>
    <t xml:space="preserve">STAG2 intron_variant&amp;splice_region_variant in intron 11
HGVSc: c.1018-6_1018-3del
HGVSp: nan
dbSNP: rs747648873
Allele Frequency (VAF): 17.7%</t>
  </si>
  <si>
    <t xml:space="preserve">c.456-3del</t>
  </si>
  <si>
    <t xml:space="preserve">NM_015355.4:c.456-3del</t>
  </si>
  <si>
    <t xml:space="preserve">SUZ12 intron_variant&amp;splice_region_variant in intron 4
HGVSc: c.456-3del
HGVSp: nan
dbSNP: rs79205882
Allele Frequency (VAF): 8.2%</t>
  </si>
  <si>
    <t xml:space="preserve">c.823+15del</t>
  </si>
  <si>
    <t xml:space="preserve">NM_015355.4:c.823+15del</t>
  </si>
  <si>
    <t xml:space="preserve">SUZ12 intron_variant in intron 7
HGVSc: c.823+15del
HGVSp: nan
dbSNP: rs763857580
Allele Frequency (VAF): 63.9%</t>
  </si>
  <si>
    <t xml:space="preserve">c.5333A&gt;G</t>
  </si>
  <si>
    <t xml:space="preserve">p.His1778Arg</t>
  </si>
  <si>
    <t xml:space="preserve">NP_001120680.1:p.His1778Arg</t>
  </si>
  <si>
    <t xml:space="preserve">NM_001127208.3:c.5333A&gt;G</t>
  </si>
  <si>
    <t xml:space="preserve">87/1706</t>
  </si>
  <si>
    <t xml:space="preserve">TET2 missense_variant in exon 11
HGVSc: c.5333A&gt;G
HGVSp: p.His1778Arg
dbSNP: rs62621450
Allele Frequency (VAF): 6.6%</t>
  </si>
  <si>
    <t xml:space="preserve">9/11</t>
  </si>
  <si>
    <t xml:space="preserve">c.4140T&gt;C</t>
  </si>
  <si>
    <t xml:space="preserve">p.His1380=</t>
  </si>
  <si>
    <t xml:space="preserve">NP_001120680.1:p.His1380=</t>
  </si>
  <si>
    <t xml:space="preserve">NM_001127208.3:c.4140T&gt;C</t>
  </si>
  <si>
    <t xml:space="preserve">TET2 synonymous_variant in exon 9
HGVSc: c.4140T&gt;C
HGVSp: p.His1380=
dbSNP: rs3733609
Allele Frequency (VAF): 7.4%</t>
  </si>
  <si>
    <t xml:space="preserve">c.3595-4G&gt;A</t>
  </si>
  <si>
    <t xml:space="preserve">NM_001127208.3:c.3595-4G&gt;A</t>
  </si>
  <si>
    <t xml:space="preserve">TET2-related_disorder&amp;not_provided</t>
  </si>
  <si>
    <t xml:space="preserve">TET2 intron_variant&amp;splice_region_variant in intron 5
HGVSc: c.3595-4G&gt;A
HGVSp: nan
dbSNP: rs72963007
Allele Frequency (VAF): 7.2%</t>
  </si>
  <si>
    <t xml:space="preserve">c.3117G&gt;A</t>
  </si>
  <si>
    <t xml:space="preserve">p.Ser1039=</t>
  </si>
  <si>
    <t xml:space="preserve">NP_001120680.1:p.Ser1039=</t>
  </si>
  <si>
    <t xml:space="preserve">NM_001127208.3:c.3117G&gt;A</t>
  </si>
  <si>
    <t xml:space="preserve">TET2 synonymous_variant in exon 3
HGVSc: c.3117G&gt;A
HGVSp: p.Ser1039=
dbSNP: rs3796927
Allele Frequency (VAF): 7.6%</t>
  </si>
  <si>
    <t xml:space="preserve">c.652G&gt;A</t>
  </si>
  <si>
    <t xml:space="preserve">p.Val218Met</t>
  </si>
  <si>
    <t xml:space="preserve">NP_001120680.1:p.Val218Met</t>
  </si>
  <si>
    <t xml:space="preserve">NM_001127208.3:c.652G&gt;A</t>
  </si>
  <si>
    <t xml:space="preserve">57/1706</t>
  </si>
  <si>
    <t xml:space="preserve">TET2 missense_variant in exon 3
HGVSc: c.652G&gt;A
HGVSp: p.Val218Met
dbSNP: rs6843141
Allele Frequency (VAF): 8.2%</t>
  </si>
  <si>
    <t xml:space="preserve">U2AF2</t>
  </si>
  <si>
    <t xml:space="preserve">NM_007279.3</t>
  </si>
  <si>
    <t xml:space="preserve">8/12</t>
  </si>
  <si>
    <t xml:space="preserve">c.789C&gt;T</t>
  </si>
  <si>
    <t xml:space="preserve">p.Ile263=</t>
  </si>
  <si>
    <t xml:space="preserve">NP_009210.1:p.Ile263=</t>
  </si>
  <si>
    <t xml:space="preserve">NM_007279.3:c.789C&gt;T</t>
  </si>
  <si>
    <t xml:space="preserve">U2AF2 synonymous_variant in exon 8
HGVSc: c.789C&gt;T
HGVSp: p.Ile263=
dbSNP: rs80011152
Allele Frequency (VAF): 7.8%</t>
  </si>
  <si>
    <t xml:space="preserve">23/26</t>
  </si>
  <si>
    <t xml:space="preserve">c.2749C&gt;A</t>
  </si>
  <si>
    <t xml:space="preserve">p.Arg917=</t>
  </si>
  <si>
    <t xml:space="preserve">NP_003325.2:p.Arg917=</t>
  </si>
  <si>
    <t xml:space="preserve">NM_003334.4:c.2749C&gt;A</t>
  </si>
  <si>
    <t xml:space="preserve">UBA1 synonymous_variant in exon 23
HGVSc: c.2749C&gt;A
HGVSp: p.Arg917=
Allele Frequency (VAF): 12.4%</t>
  </si>
  <si>
    <t xml:space="preserve">24/27</t>
  </si>
  <si>
    <t xml:space="preserve">c.2216C&gt;T</t>
  </si>
  <si>
    <t xml:space="preserve">p.Thr739Met</t>
  </si>
  <si>
    <t xml:space="preserve">NP_005419.2:p.Thr739Met</t>
  </si>
  <si>
    <t xml:space="preserve">missense_variant&amp;splice_region_variant</t>
  </si>
  <si>
    <t xml:space="preserve">NM_005428.4:c.2216C&gt;T</t>
  </si>
  <si>
    <t xml:space="preserve">VAV1-related_disorder&amp;not_provided</t>
  </si>
  <si>
    <t xml:space="preserve">VAV1 missense_variant&amp;splice_region_variant in exon 24
HGVSc: c.2216C&gt;T
HGVSp: p.Thr739Met
dbSNP: rs36097961
Allele Frequency (VAF): 33.9%</t>
  </si>
  <si>
    <t xml:space="preserve">c.724-7C&gt;T</t>
  </si>
  <si>
    <t xml:space="preserve">NM_005428.4:c.724-7C&gt;T</t>
  </si>
  <si>
    <t xml:space="preserve">VAV1 intron_variant&amp;splice_region_variant in intron 7
HGVSc: c.724-7C&gt;T
HGVSp: nan
dbSNP: rs2288545
Allele Frequency (VAF): 7.8%</t>
  </si>
  <si>
    <t xml:space="preserve">c.54G&gt;A</t>
  </si>
  <si>
    <t xml:space="preserve">p.Pro18=</t>
  </si>
  <si>
    <t xml:space="preserve">NP_062535.2:p.Pro18=</t>
  </si>
  <si>
    <t xml:space="preserve">NM_019589.3:c.54G&gt;A</t>
  </si>
  <si>
    <t xml:space="preserve">YLPM1 synonymous_variant in exon 1
HGVSc: c.54G&gt;A
HGVSp: p.Pro18=
dbSNP: rs777005603
Allele Frequency (VAF): 3.9%</t>
  </si>
  <si>
    <t xml:space="preserve">c.4599T&gt;C</t>
  </si>
  <si>
    <t xml:space="preserve">p.Ser1533=</t>
  </si>
  <si>
    <t xml:space="preserve">NP_055160.2:p.Ser1533=</t>
  </si>
  <si>
    <t xml:space="preserve">NM_014345.3:c.4599T&gt;C</t>
  </si>
  <si>
    <t xml:space="preserve">ZNF318 synonymous_variant in exon 10
HGVSc: c.4599T&gt;C
HGVSp: p.Ser1533=
dbSNP: rs9472035
Allele Frequency (VAF): 14.4%</t>
  </si>
  <si>
    <t xml:space="preserve">c.3496-17A&gt;G</t>
  </si>
  <si>
    <t xml:space="preserve">NM_014345.3:c.3496-17A&gt;G</t>
  </si>
  <si>
    <t xml:space="preserve">ZNF318 intron_variant in intron 9
HGVSc: c.3496-17A&gt;G
HGVSp: nan
dbSNP: rs9472036
Allele Frequency (VAF): 13.9%</t>
  </si>
  <si>
    <t xml:space="preserve">c.864C&gt;T</t>
  </si>
  <si>
    <t xml:space="preserve">p.Asn288=</t>
  </si>
  <si>
    <t xml:space="preserve">NP_005080.1:p.Asn288=</t>
  </si>
  <si>
    <t xml:space="preserve">NM_005089.4:c.864C&gt;T</t>
  </si>
  <si>
    <t xml:space="preserve">1003/1706</t>
  </si>
  <si>
    <t xml:space="preserve">ZRSR2 synonymous_variant in exon 10
HGVSc: c.864C&gt;T
HGVSp: p.Asn288=
dbSNP: rs2301724
Allele Frequency (VAF): 63.3%</t>
  </si>
  <si>
    <t xml:space="preserve">c.228G&gt;A</t>
  </si>
  <si>
    <t xml:space="preserve">p.Leu76=</t>
  </si>
  <si>
    <t xml:space="preserve">NP_005080.1:p.Leu76=</t>
  </si>
  <si>
    <t xml:space="preserve">NM_005089.4:c.228G&gt;A</t>
  </si>
  <si>
    <t xml:space="preserve">ZRSR2 synonymous_variant in exon 4
HGVSc: c.228G&gt;A
HGVSp: p.Leu76=
Allele Frequency (VAF): 10.6%</t>
  </si>
  <si>
    <t xml:space="preserve">c.1142_1144del</t>
  </si>
  <si>
    <t xml:space="preserve">p.Glu381del</t>
  </si>
  <si>
    <t xml:space="preserve">NP_004334.1:p.Glu381del</t>
  </si>
  <si>
    <t xml:space="preserve">NM_004343.4:c.1142_1144del</t>
  </si>
  <si>
    <t xml:space="preserve">2024-07-25</t>
  </si>
  <si>
    <t xml:space="preserve">24187K0036</t>
  </si>
  <si>
    <t xml:space="preserve">uncertain_significance(2)</t>
  </si>
  <si>
    <t xml:space="preserve">CALR inframe_deletion in exon 9
HGVSc: c.1142_1144del
HGVSp: p.Glu381del
dbSNP: rs573652087
Allele Frequency (VAF): 0.1%</t>
  </si>
  <si>
    <t xml:space="preserve">c.584_589del</t>
  </si>
  <si>
    <t xml:space="preserve">p.His195_Pro196del</t>
  </si>
  <si>
    <t xml:space="preserve">NP_004355.2:p.His195_Pro196del</t>
  </si>
  <si>
    <t xml:space="preserve">NM_004364.5:c.584_589del</t>
  </si>
  <si>
    <t xml:space="preserve">Acute_myeloid_leukemia&amp;CEBPA-related_disorder&amp;Hereditary_cancer-predisposing_syndrome&amp;Inborn_genetic_diseases&amp;not_provided&amp;not_specified</t>
  </si>
  <si>
    <t xml:space="preserve">CEBPA inframe_deletion in exon 1
HGVSc: c.584_589del
HGVSp: p.His195_Pro196del
dbSNP: rs762459325
Allele Frequency (VAF): 0.1%</t>
  </si>
  <si>
    <t xml:space="preserve">CEBPA inframe_deletion in exon 1
HGVSc: c.564_566del
HGVSp: p.Pro189del
dbSNP: rs746430067
Allele Frequency (VAF): 3.2%</t>
  </si>
  <si>
    <t xml:space="preserve">c.311_313del</t>
  </si>
  <si>
    <t xml:space="preserve">p.Gly104del</t>
  </si>
  <si>
    <t xml:space="preserve">NP_004355.2:p.Gly104del</t>
  </si>
  <si>
    <t xml:space="preserve">NM_004364.5:c.311_313del</t>
  </si>
  <si>
    <t xml:space="preserve">Acute_myeloid_leukemia&amp;Inborn_genetic_diseases</t>
  </si>
  <si>
    <t xml:space="preserve">CEBPA inframe_deletion in exon 1
HGVSc: c.311_313del
HGVSp: p.Gly104del
dbSNP: rs780345232
Allele Frequency (VAF): 1.2%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</si>
</sst>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%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7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7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S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4.9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5"/>
    <col collapsed="false" customWidth="true" hidden="false" outlineLevel="0" max="33" min="33" style="0" width="29.9"/>
    <col collapsed="false" customWidth="true" hidden="false" outlineLevel="0" max="34" min="34" style="0" width="20.7"/>
    <col collapsed="false" customWidth="true" hidden="false" outlineLevel="0" max="35" min="35" style="0" width="24.15"/>
    <col collapsed="false" customWidth="true" hidden="false" outlineLevel="0" max="36" min="36" style="0" width="14.94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3" customFormat="false" ht="15" hidden="false" customHeight="false" outlineLevel="0" collapsed="false">
      <c r="A3" s="1" t="s">
        <v>2</v>
      </c>
      <c r="B3" s="2" t="s">
        <v>3</v>
      </c>
    </row>
    <row r="4" customFormat="false" ht="15" hidden="false" customHeight="false" outlineLevel="0" collapsed="false">
      <c r="A4" s="1" t="s">
        <v>4</v>
      </c>
      <c r="B4" s="3" t="n">
        <v>46096</v>
      </c>
    </row>
    <row r="5" customFormat="false" ht="15" hidden="false" customHeight="false" outlineLevel="0" collapsed="false">
      <c r="A5" s="1" t="s">
        <v>5</v>
      </c>
      <c r="B5" s="2" t="s">
        <v>6</v>
      </c>
    </row>
    <row r="6" customFormat="false" ht="15" hidden="false" customHeight="false" outlineLevel="0" collapsed="false">
      <c r="A6" s="1" t="s">
        <v>7</v>
      </c>
      <c r="B6" s="2" t="s">
        <v>8</v>
      </c>
    </row>
    <row r="8" customFormat="false" ht="15" hidden="false" customHeight="false" outlineLevel="0" collapsed="false">
      <c r="A8" s="1" t="s">
        <v>9</v>
      </c>
      <c r="D8" s="1" t="s">
        <v>10</v>
      </c>
    </row>
    <row r="9" customFormat="false" ht="15" hidden="false" customHeight="false" outlineLevel="0" collapsed="false">
      <c r="A9" s="0" t="s">
        <v>11</v>
      </c>
      <c r="B9" s="4" t="n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</row>
    <row r="10" customFormat="false" ht="15" hidden="false" customHeight="false" outlineLevel="0" collapsed="false">
      <c r="A10" s="0" t="s">
        <v>12</v>
      </c>
      <c r="B10" s="2" t="n">
        <v>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</row>
    <row r="11" customFormat="false" ht="15" hidden="false" customHeight="false" outlineLevel="0" collapsed="false">
      <c r="A11" s="0" t="s">
        <v>13</v>
      </c>
      <c r="B11" s="2" t="n">
        <v>150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</row>
    <row r="12" customFormat="false" ht="15" hidden="false" customHeight="false" outlineLevel="0" collapsed="false">
      <c r="A12" s="0" t="s">
        <v>14</v>
      </c>
      <c r="B12" s="2" t="n">
        <v>30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</row>
    <row r="13" customFormat="false" ht="15" hidden="false" customHeight="false" outlineLevel="0" collapsed="false">
      <c r="A13" s="0" t="s">
        <v>15</v>
      </c>
      <c r="B13" s="2" t="n">
        <v>20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</row>
    <row r="14" customFormat="false" ht="15" hidden="false" customHeight="false" outlineLevel="0" collapsed="false">
      <c r="A14" s="0" t="s">
        <v>16</v>
      </c>
      <c r="B14" s="2" t="s">
        <v>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</row>
    <row r="15" customFormat="false" ht="15" hidden="false" customHeight="false" outlineLevel="0" collapsed="false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</row>
    <row r="16" customFormat="false" ht="15" hidden="false" customHeight="false" outlineLevel="0" collapsed="false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</row>
    <row r="17" customFormat="false" ht="15" hidden="false" customHeight="fals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</row>
    <row r="18" customFormat="false" ht="15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</row>
    <row r="19" customFormat="false" ht="15" hidden="false" customHeight="false" outlineLevel="0" collapsed="false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</row>
    <row r="20" customFormat="false" ht="15" hidden="false" customHeight="false" outlineLevel="0" collapsed="false">
      <c r="A20" s="1" t="s">
        <v>18</v>
      </c>
      <c r="B20" s="0" t="s">
        <v>19</v>
      </c>
    </row>
    <row r="23" customFormat="false" ht="15" hidden="false" customHeight="false" outlineLevel="0" collapsed="false">
      <c r="A23" s="1" t="s">
        <v>20</v>
      </c>
      <c r="B23" s="0" t="s">
        <v>21</v>
      </c>
    </row>
    <row r="27" customFormat="false" ht="15" hidden="false" customHeight="false" outlineLevel="0" collapsed="false">
      <c r="A27" s="1" t="s">
        <v>22</v>
      </c>
      <c r="B27" s="0" t="s">
        <v>23</v>
      </c>
    </row>
    <row r="28" customFormat="false" ht="15" hidden="false" customHeight="false" outlineLevel="0" collapsed="false">
      <c r="A28" s="1" t="s">
        <v>24</v>
      </c>
      <c r="B28" s="0" t="s">
        <v>25</v>
      </c>
    </row>
    <row r="29" customFormat="false" ht="15" hidden="false" customHeight="false" outlineLevel="0" collapsed="false">
      <c r="A29" s="1" t="s">
        <v>26</v>
      </c>
      <c r="B29" s="0" t="s">
        <v>27</v>
      </c>
    </row>
    <row r="31" customFormat="false" ht="15" hidden="false" customHeight="false" outlineLevel="0" collapsed="false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39</v>
      </c>
      <c r="M31" s="1" t="s">
        <v>40</v>
      </c>
      <c r="N31" s="1" t="s">
        <v>41</v>
      </c>
      <c r="O31" s="1" t="s">
        <v>42</v>
      </c>
      <c r="P31" s="1" t="s">
        <v>43</v>
      </c>
      <c r="Q31" s="1" t="s">
        <v>44</v>
      </c>
      <c r="R31" s="1" t="s">
        <v>45</v>
      </c>
      <c r="S31" s="1" t="s">
        <v>46</v>
      </c>
      <c r="T31" s="1" t="s">
        <v>47</v>
      </c>
      <c r="U31" s="1" t="s">
        <v>48</v>
      </c>
      <c r="V31" s="1" t="s">
        <v>49</v>
      </c>
      <c r="W31" s="1" t="s">
        <v>50</v>
      </c>
      <c r="X31" s="1" t="s">
        <v>51</v>
      </c>
      <c r="Y31" s="1" t="s">
        <v>52</v>
      </c>
      <c r="Z31" s="1" t="s">
        <v>53</v>
      </c>
      <c r="AA31" s="1" t="s">
        <v>54</v>
      </c>
      <c r="AB31" s="1" t="s">
        <v>55</v>
      </c>
      <c r="AC31" s="1" t="s">
        <v>56</v>
      </c>
      <c r="AD31" s="1" t="s">
        <v>57</v>
      </c>
      <c r="AE31" s="1" t="s">
        <v>58</v>
      </c>
      <c r="AF31" s="1" t="s">
        <v>59</v>
      </c>
      <c r="AG31" s="1" t="s">
        <v>60</v>
      </c>
      <c r="AH31" s="1" t="s">
        <v>61</v>
      </c>
      <c r="AI31" s="1" t="s">
        <v>62</v>
      </c>
      <c r="AJ31" s="1" t="s">
        <v>63</v>
      </c>
      <c r="AK31" s="1" t="s">
        <v>64</v>
      </c>
      <c r="AL31" s="1" t="s">
        <v>65</v>
      </c>
      <c r="AM31" s="1" t="s">
        <v>66</v>
      </c>
      <c r="AN31" s="1" t="s">
        <v>67</v>
      </c>
      <c r="AO31" s="1" t="s">
        <v>68</v>
      </c>
      <c r="AP31" s="1" t="s">
        <v>69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</row>
  </sheetData>
  <sheetProtection sheet="true" password="c8bf" formatCells="false" formatColumns="false" formatRows="false" autoFilter="false"/>
  <dataValidations count="1">
    <dataValidation allowBlank="true" errorStyle="stop" operator="between" prompt="M-code associated with sample" promptTitle="M-code" showDropDown="false" showErrorMessage="true" showInputMessage="true" sqref="B6" type="list">
      <formula1>m_codes!A1:A45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70</v>
      </c>
    </row>
    <row r="2" customFormat="false" ht="15" hidden="false" customHeight="false" outlineLevel="0" collapsed="false">
      <c r="A2" s="0" t="s">
        <v>71</v>
      </c>
    </row>
    <row r="3" customFormat="false" ht="15" hidden="false" customHeight="false" outlineLevel="0" collapsed="false">
      <c r="A3" s="0" t="s">
        <v>72</v>
      </c>
    </row>
    <row r="4" customFormat="false" ht="15" hidden="false" customHeight="false" outlineLevel="0" collapsed="false">
      <c r="A4" s="0" t="s">
        <v>73</v>
      </c>
    </row>
    <row r="5" customFormat="false" ht="15" hidden="false" customHeight="false" outlineLevel="0" collapsed="false">
      <c r="A5" s="0" t="s">
        <v>74</v>
      </c>
    </row>
    <row r="6" customFormat="false" ht="15" hidden="false" customHeight="false" outlineLevel="0" collapsed="false">
      <c r="A6" s="0" t="s">
        <v>75</v>
      </c>
    </row>
    <row r="7" customFormat="false" ht="15" hidden="false" customHeight="false" outlineLevel="0" collapsed="false">
      <c r="A7" s="0" t="s">
        <v>76</v>
      </c>
    </row>
    <row r="8" customFormat="false" ht="15" hidden="false" customHeight="false" outlineLevel="0" collapsed="false">
      <c r="A8" s="0" t="s">
        <v>8</v>
      </c>
    </row>
    <row r="9" customFormat="false" ht="15" hidden="false" customHeight="false" outlineLevel="0" collapsed="false">
      <c r="A9" s="0" t="s">
        <v>77</v>
      </c>
    </row>
    <row r="10" customFormat="false" ht="15" hidden="false" customHeight="false" outlineLevel="0" collapsed="false">
      <c r="A10" s="0" t="s">
        <v>78</v>
      </c>
    </row>
    <row r="11" customFormat="false" ht="15" hidden="false" customHeight="false" outlineLevel="0" collapsed="false">
      <c r="A11" s="0" t="s">
        <v>79</v>
      </c>
    </row>
    <row r="12" customFormat="false" ht="15" hidden="false" customHeight="false" outlineLevel="0" collapsed="false">
      <c r="A12" s="0" t="s">
        <v>80</v>
      </c>
    </row>
    <row r="13" customFormat="false" ht="15" hidden="false" customHeight="false" outlineLevel="0" collapsed="false">
      <c r="A13" s="0" t="s">
        <v>81</v>
      </c>
    </row>
    <row r="14" customFormat="false" ht="15" hidden="false" customHeight="false" outlineLevel="0" collapsed="false">
      <c r="A14" s="0" t="s">
        <v>82</v>
      </c>
    </row>
    <row r="15" customFormat="false" ht="15" hidden="false" customHeight="false" outlineLevel="0" collapsed="false">
      <c r="A15" s="0" t="s">
        <v>83</v>
      </c>
    </row>
    <row r="16" customFormat="false" ht="15" hidden="false" customHeight="false" outlineLevel="0" collapsed="false">
      <c r="A16" s="0" t="s">
        <v>84</v>
      </c>
    </row>
    <row r="17" customFormat="false" ht="15" hidden="false" customHeight="false" outlineLevel="0" collapsed="false">
      <c r="A17" s="0" t="s">
        <v>85</v>
      </c>
    </row>
    <row r="18" customFormat="false" ht="15" hidden="false" customHeight="false" outlineLevel="0" collapsed="false">
      <c r="A18" s="0" t="s">
        <v>86</v>
      </c>
    </row>
    <row r="19" customFormat="false" ht="15" hidden="false" customHeight="false" outlineLevel="0" collapsed="false">
      <c r="A19" s="0" t="s">
        <v>87</v>
      </c>
    </row>
    <row r="20" customFormat="false" ht="15" hidden="false" customHeight="false" outlineLevel="0" collapsed="false">
      <c r="A20" s="0" t="s">
        <v>88</v>
      </c>
    </row>
    <row r="21" customFormat="false" ht="15" hidden="false" customHeight="false" outlineLevel="0" collapsed="false">
      <c r="A21" s="0" t="s">
        <v>89</v>
      </c>
    </row>
    <row r="22" customFormat="false" ht="15" hidden="false" customHeight="false" outlineLevel="0" collapsed="false">
      <c r="A22" s="0" t="s">
        <v>90</v>
      </c>
    </row>
    <row r="23" customFormat="false" ht="15" hidden="false" customHeight="false" outlineLevel="0" collapsed="false">
      <c r="A23" s="0" t="s">
        <v>91</v>
      </c>
    </row>
    <row r="24" customFormat="false" ht="15" hidden="false" customHeight="false" outlineLevel="0" collapsed="false">
      <c r="A24" s="0" t="s">
        <v>92</v>
      </c>
    </row>
    <row r="25" customFormat="false" ht="15" hidden="false" customHeight="false" outlineLevel="0" collapsed="false">
      <c r="A25" s="0" t="s">
        <v>93</v>
      </c>
    </row>
    <row r="26" customFormat="false" ht="15" hidden="false" customHeight="false" outlineLevel="0" collapsed="false">
      <c r="A26" s="0" t="s">
        <v>94</v>
      </c>
    </row>
    <row r="27" customFormat="false" ht="15" hidden="false" customHeight="false" outlineLevel="0" collapsed="false">
      <c r="A27" s="0" t="s">
        <v>95</v>
      </c>
    </row>
    <row r="28" customFormat="false" ht="15" hidden="false" customHeight="false" outlineLevel="0" collapsed="false">
      <c r="A28" s="0" t="s">
        <v>96</v>
      </c>
    </row>
    <row r="29" customFormat="false" ht="15" hidden="false" customHeight="false" outlineLevel="0" collapsed="false">
      <c r="A29" s="0" t="s">
        <v>97</v>
      </c>
    </row>
    <row r="30" customFormat="false" ht="15" hidden="false" customHeight="false" outlineLevel="0" collapsed="false">
      <c r="A30" s="0" t="s">
        <v>98</v>
      </c>
    </row>
    <row r="31" customFormat="false" ht="15" hidden="false" customHeight="false" outlineLevel="0" collapsed="false">
      <c r="A31" s="0" t="s">
        <v>99</v>
      </c>
    </row>
    <row r="32" customFormat="false" ht="15" hidden="false" customHeight="false" outlineLevel="0" collapsed="false">
      <c r="A32" s="0" t="s">
        <v>100</v>
      </c>
    </row>
    <row r="33" customFormat="false" ht="15" hidden="false" customHeight="false" outlineLevel="0" collapsed="false">
      <c r="A33" s="0" t="s">
        <v>101</v>
      </c>
    </row>
    <row r="34" customFormat="false" ht="15" hidden="false" customHeight="false" outlineLevel="0" collapsed="false">
      <c r="A34" s="0" t="s">
        <v>102</v>
      </c>
    </row>
    <row r="35" customFormat="false" ht="15" hidden="false" customHeight="false" outlineLevel="0" collapsed="false">
      <c r="A35" s="0" t="s">
        <v>103</v>
      </c>
    </row>
    <row r="36" customFormat="false" ht="15" hidden="false" customHeight="false" outlineLevel="0" collapsed="false">
      <c r="A36" s="0" t="s">
        <v>104</v>
      </c>
    </row>
    <row r="37" customFormat="false" ht="15" hidden="false" customHeight="false" outlineLevel="0" collapsed="false">
      <c r="A37" s="0" t="s">
        <v>105</v>
      </c>
    </row>
    <row r="38" customFormat="false" ht="15" hidden="false" customHeight="false" outlineLevel="0" collapsed="false">
      <c r="A38" s="0" t="s">
        <v>106</v>
      </c>
    </row>
    <row r="39" customFormat="false" ht="15" hidden="false" customHeight="false" outlineLevel="0" collapsed="false">
      <c r="A39" s="0" t="s">
        <v>107</v>
      </c>
    </row>
    <row r="40" customFormat="false" ht="15" hidden="false" customHeight="false" outlineLevel="0" collapsed="false">
      <c r="A40" s="0" t="s">
        <v>108</v>
      </c>
    </row>
    <row r="41" customFormat="false" ht="15" hidden="false" customHeight="false" outlineLevel="0" collapsed="false">
      <c r="A41" s="0" t="s">
        <v>109</v>
      </c>
    </row>
    <row r="42" customFormat="false" ht="15" hidden="false" customHeight="false" outlineLevel="0" collapsed="false">
      <c r="A42" s="0" t="s">
        <v>110</v>
      </c>
    </row>
    <row r="43" customFormat="false" ht="15" hidden="false" customHeight="false" outlineLevel="0" collapsed="false">
      <c r="A43" s="0" t="s">
        <v>111</v>
      </c>
    </row>
    <row r="44" customFormat="false" ht="15" hidden="false" customHeight="false" outlineLevel="0" collapsed="false">
      <c r="A44" s="0" t="s">
        <v>112</v>
      </c>
    </row>
    <row r="45" customFormat="false" ht="15" hidden="false" customHeight="false" outlineLevel="0" collapsed="false">
      <c r="A45" s="0" t="s">
        <v>113</v>
      </c>
    </row>
  </sheetData>
  <sheetProtection sheet="true" password="c8bf" formatCells="false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H8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1" topLeftCell="S2" activePane="bottomRight" state="frozen"/>
      <selection pane="topLeft" activeCell="A1" activeCellId="0" sqref="A1"/>
      <selection pane="topRight" activeCell="S1" activeCellId="0" sqref="S1"/>
      <selection pane="bottomLeft" activeCell="A2" activeCellId="0" sqref="A2"/>
      <selection pane="bottomRight" activeCell="AN312" activeCellId="0" sqref="AN3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4.9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5"/>
    <col collapsed="false" customWidth="true" hidden="false" outlineLevel="0" max="33" min="33" style="0" width="29.9"/>
    <col collapsed="false" customWidth="true" hidden="false" outlineLevel="0" max="34" min="34" style="0" width="20.7"/>
    <col collapsed="false" customWidth="true" hidden="false" outlineLevel="0" max="35" min="35" style="0" width="24.15"/>
    <col collapsed="false" customWidth="true" hidden="false" outlineLevel="0" max="36" min="36" style="0" width="14.94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 t="s">
        <v>50</v>
      </c>
      <c r="X1" s="5" t="s">
        <v>51</v>
      </c>
      <c r="Y1" s="5" t="s">
        <v>52</v>
      </c>
      <c r="Z1" s="5" t="s">
        <v>53</v>
      </c>
      <c r="AA1" s="5" t="s">
        <v>54</v>
      </c>
      <c r="AB1" s="5" t="s">
        <v>55</v>
      </c>
      <c r="AC1" s="5" t="s">
        <v>56</v>
      </c>
      <c r="AD1" s="5" t="s">
        <v>57</v>
      </c>
      <c r="AE1" s="5" t="s">
        <v>58</v>
      </c>
      <c r="AF1" s="5" t="s">
        <v>59</v>
      </c>
      <c r="AG1" s="5" t="s">
        <v>60</v>
      </c>
      <c r="AH1" s="5" t="s">
        <v>61</v>
      </c>
      <c r="AI1" s="5" t="s">
        <v>62</v>
      </c>
      <c r="AJ1" s="5" t="s">
        <v>63</v>
      </c>
      <c r="AK1" s="5" t="s">
        <v>64</v>
      </c>
      <c r="AL1" s="5" t="s">
        <v>65</v>
      </c>
      <c r="AM1" s="5" t="s">
        <v>66</v>
      </c>
      <c r="AN1" s="5" t="s">
        <v>67</v>
      </c>
      <c r="AO1" s="5" t="s">
        <v>68</v>
      </c>
      <c r="AP1" s="5" t="s">
        <v>69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63.75" hidden="true" customHeight="true" outlineLevel="0" collapsed="false">
      <c r="A2" s="6" t="s">
        <v>1</v>
      </c>
      <c r="B2" s="6" t="n">
        <v>10</v>
      </c>
      <c r="C2" s="6" t="n">
        <v>27017777</v>
      </c>
      <c r="D2" s="6" t="s">
        <v>114</v>
      </c>
      <c r="E2" s="6" t="s">
        <v>6</v>
      </c>
      <c r="F2" s="6" t="s">
        <v>115</v>
      </c>
      <c r="G2" s="6" t="s">
        <v>116</v>
      </c>
      <c r="H2" s="6" t="s">
        <v>117</v>
      </c>
      <c r="I2" s="6" t="s">
        <v>118</v>
      </c>
      <c r="J2" s="6" t="s">
        <v>119</v>
      </c>
      <c r="K2" s="6" t="s">
        <v>120</v>
      </c>
      <c r="L2" s="6" t="s">
        <v>121</v>
      </c>
      <c r="M2" s="6" t="n">
        <v>2563</v>
      </c>
      <c r="N2" s="7" t="n">
        <v>0.0832</v>
      </c>
      <c r="O2" s="6" t="s">
        <v>122</v>
      </c>
      <c r="P2" s="6" t="s">
        <v>123</v>
      </c>
      <c r="Q2" s="6" t="s">
        <v>123</v>
      </c>
      <c r="R2" s="6" t="s">
        <v>123</v>
      </c>
      <c r="S2" s="6" t="s">
        <v>123</v>
      </c>
      <c r="T2" s="6" t="s">
        <v>123</v>
      </c>
      <c r="U2" s="6" t="s">
        <v>123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-4</v>
      </c>
      <c r="AA2" s="6" t="n">
        <v>-1</v>
      </c>
      <c r="AB2" s="6" t="n">
        <v>-4</v>
      </c>
      <c r="AC2" s="6" t="n">
        <v>-1</v>
      </c>
      <c r="AD2" s="6" t="n">
        <v>13.88</v>
      </c>
      <c r="AE2" s="6" t="s">
        <v>124</v>
      </c>
      <c r="AF2" s="6" t="s">
        <v>123</v>
      </c>
      <c r="AG2" s="6" t="s">
        <v>123</v>
      </c>
      <c r="AH2" s="6" t="s">
        <v>123</v>
      </c>
      <c r="AI2" s="6" t="s">
        <v>123</v>
      </c>
      <c r="AJ2" s="8"/>
      <c r="AK2" s="8"/>
      <c r="AL2" s="8"/>
      <c r="AM2" s="8"/>
      <c r="AN2" s="8"/>
      <c r="AO2" s="8"/>
      <c r="AP2" s="9" t="s">
        <v>125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63.75" hidden="true" customHeight="true" outlineLevel="0" collapsed="false">
      <c r="A3" s="6" t="s">
        <v>1</v>
      </c>
      <c r="B3" s="6" t="n">
        <v>10</v>
      </c>
      <c r="C3" s="6" t="n">
        <v>27044192</v>
      </c>
      <c r="D3" s="6" t="s">
        <v>114</v>
      </c>
      <c r="E3" s="6" t="s">
        <v>6</v>
      </c>
      <c r="F3" s="6" t="s">
        <v>115</v>
      </c>
      <c r="G3" s="6" t="s">
        <v>123</v>
      </c>
      <c r="H3" s="6" t="s">
        <v>126</v>
      </c>
      <c r="I3" s="6"/>
      <c r="J3" s="6" t="s">
        <v>123</v>
      </c>
      <c r="K3" s="6" t="s">
        <v>127</v>
      </c>
      <c r="L3" s="6" t="s">
        <v>128</v>
      </c>
      <c r="M3" s="6" t="n">
        <v>2217</v>
      </c>
      <c r="N3" s="7" t="n">
        <v>0.231</v>
      </c>
      <c r="O3" s="6" t="s">
        <v>129</v>
      </c>
      <c r="P3" s="10" t="n">
        <f aca="false">HYPERLINK("https://www.ncbi.nlm.nih.gov/clinvar/variation/4283270", 4283270)</f>
        <v>4283270</v>
      </c>
      <c r="Q3" s="6" t="s">
        <v>123</v>
      </c>
      <c r="R3" s="6" t="s">
        <v>123</v>
      </c>
      <c r="S3" s="6" t="s">
        <v>123</v>
      </c>
      <c r="T3" s="6" t="s">
        <v>123</v>
      </c>
      <c r="U3" s="10" t="n">
        <f aca="false">HYPERLINK("https://gnomad.broadinstitute.org/variant/10-27044192-TAAA-T?dataset=gnomad_r4", 0.0000305464)</f>
        <v>3.05464E-005</v>
      </c>
      <c r="V3" s="6" t="n">
        <v>0</v>
      </c>
      <c r="W3" s="6" t="n">
        <v>0.74</v>
      </c>
      <c r="X3" s="6" t="n">
        <v>0</v>
      </c>
      <c r="Y3" s="6" t="n">
        <v>0</v>
      </c>
      <c r="Z3" s="6" t="n">
        <v>-35</v>
      </c>
      <c r="AA3" s="6" t="n">
        <v>-2</v>
      </c>
      <c r="AB3" s="6" t="n">
        <v>28</v>
      </c>
      <c r="AC3" s="6" t="n">
        <v>-35</v>
      </c>
      <c r="AD3" s="6" t="n">
        <v>13.69</v>
      </c>
      <c r="AE3" s="6" t="s">
        <v>124</v>
      </c>
      <c r="AF3" s="6" t="s">
        <v>123</v>
      </c>
      <c r="AG3" s="6" t="s">
        <v>123</v>
      </c>
      <c r="AH3" s="6" t="s">
        <v>123</v>
      </c>
      <c r="AI3" s="6" t="s">
        <v>123</v>
      </c>
      <c r="AJ3" s="8"/>
      <c r="AK3" s="8"/>
      <c r="AL3" s="8"/>
      <c r="AM3" s="8"/>
      <c r="AN3" s="8"/>
      <c r="AO3" s="8"/>
      <c r="AP3" s="9" t="s">
        <v>130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76.5" hidden="true" customHeight="true" outlineLevel="0" collapsed="false">
      <c r="A4" s="6" t="s">
        <v>1</v>
      </c>
      <c r="B4" s="6" t="n">
        <v>10</v>
      </c>
      <c r="C4" s="6" t="n">
        <v>27044192</v>
      </c>
      <c r="D4" s="6" t="s">
        <v>114</v>
      </c>
      <c r="E4" s="6" t="s">
        <v>6</v>
      </c>
      <c r="F4" s="6" t="s">
        <v>115</v>
      </c>
      <c r="G4" s="6" t="s">
        <v>123</v>
      </c>
      <c r="H4" s="6" t="s">
        <v>131</v>
      </c>
      <c r="I4" s="6"/>
      <c r="J4" s="6" t="s">
        <v>123</v>
      </c>
      <c r="K4" s="6" t="s">
        <v>127</v>
      </c>
      <c r="L4" s="6" t="s">
        <v>132</v>
      </c>
      <c r="M4" s="6" t="n">
        <v>2217</v>
      </c>
      <c r="N4" s="7" t="n">
        <v>0.719</v>
      </c>
      <c r="O4" s="6" t="s">
        <v>129</v>
      </c>
      <c r="P4" s="10" t="n">
        <f aca="false">HYPERLINK("https://www.ncbi.nlm.nih.gov/clinvar/variation/4283271", 4283271)</f>
        <v>4283271</v>
      </c>
      <c r="Q4" s="6" t="s">
        <v>123</v>
      </c>
      <c r="R4" s="6" t="s">
        <v>123</v>
      </c>
      <c r="S4" s="10" t="str">
        <f aca="false">HYPERLINK("https://www.ncbi.nlm.nih.gov/snp/rs113123391", "rs113123391")</f>
        <v>rs113123391</v>
      </c>
      <c r="T4" s="10" t="n">
        <f aca="false">HYPERLINK("https://gnomad.broadinstitute.org/variant/10-27044192-TAA-T?dataset=gnomad_r4", 0.000110166)</f>
        <v>0.000110166</v>
      </c>
      <c r="U4" s="10" t="n">
        <f aca="false">HYPERLINK("https://gnomad.broadinstitute.org/variant/10-27044192-TAA-T?dataset=gnomad_r4", 0.00184658)</f>
        <v>0.00184658</v>
      </c>
      <c r="V4" s="6" t="n">
        <v>0</v>
      </c>
      <c r="W4" s="6" t="n">
        <v>0.53</v>
      </c>
      <c r="X4" s="6" t="n">
        <v>0</v>
      </c>
      <c r="Y4" s="6" t="n">
        <v>0</v>
      </c>
      <c r="Z4" s="6" t="n">
        <v>-35</v>
      </c>
      <c r="AA4" s="6" t="n">
        <v>-2</v>
      </c>
      <c r="AB4" s="6" t="n">
        <v>-2</v>
      </c>
      <c r="AC4" s="6" t="n">
        <v>-35</v>
      </c>
      <c r="AD4" s="6" t="n">
        <v>11.94</v>
      </c>
      <c r="AE4" s="6" t="s">
        <v>133</v>
      </c>
      <c r="AF4" s="6" t="s">
        <v>123</v>
      </c>
      <c r="AG4" s="6" t="s">
        <v>123</v>
      </c>
      <c r="AH4" s="6" t="s">
        <v>123</v>
      </c>
      <c r="AI4" s="6" t="s">
        <v>123</v>
      </c>
      <c r="AJ4" s="8"/>
      <c r="AK4" s="8"/>
      <c r="AL4" s="8"/>
      <c r="AM4" s="8"/>
      <c r="AN4" s="8"/>
      <c r="AO4" s="8"/>
      <c r="AP4" s="9" t="s">
        <v>134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63.75" hidden="true" customHeight="true" outlineLevel="0" collapsed="false">
      <c r="A5" s="6" t="s">
        <v>1</v>
      </c>
      <c r="B5" s="6" t="n">
        <v>10</v>
      </c>
      <c r="C5" s="6" t="n">
        <v>27100401</v>
      </c>
      <c r="D5" s="6" t="s">
        <v>114</v>
      </c>
      <c r="E5" s="6" t="s">
        <v>6</v>
      </c>
      <c r="F5" s="6" t="s">
        <v>115</v>
      </c>
      <c r="G5" s="6" t="s">
        <v>135</v>
      </c>
      <c r="H5" s="6" t="s">
        <v>136</v>
      </c>
      <c r="I5" s="6"/>
      <c r="J5" s="6" t="s">
        <v>123</v>
      </c>
      <c r="K5" s="6" t="s">
        <v>137</v>
      </c>
      <c r="L5" s="6" t="s">
        <v>138</v>
      </c>
      <c r="M5" s="6" t="n">
        <v>3290</v>
      </c>
      <c r="N5" s="7" t="n">
        <v>0.127</v>
      </c>
      <c r="O5" s="6" t="s">
        <v>122</v>
      </c>
      <c r="P5" s="6" t="s">
        <v>123</v>
      </c>
      <c r="Q5" s="6" t="s">
        <v>123</v>
      </c>
      <c r="R5" s="6" t="s">
        <v>123</v>
      </c>
      <c r="S5" s="6" t="s">
        <v>123</v>
      </c>
      <c r="T5" s="6" t="s">
        <v>123</v>
      </c>
      <c r="U5" s="6" t="s">
        <v>123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23</v>
      </c>
      <c r="AA5" s="6" t="n">
        <v>-20</v>
      </c>
      <c r="AB5" s="6" t="n">
        <v>-46</v>
      </c>
      <c r="AC5" s="6" t="n">
        <v>0</v>
      </c>
      <c r="AD5" s="6" t="n">
        <v>11.13</v>
      </c>
      <c r="AE5" s="6" t="s">
        <v>124</v>
      </c>
      <c r="AF5" s="6" t="s">
        <v>123</v>
      </c>
      <c r="AG5" s="6" t="s">
        <v>123</v>
      </c>
      <c r="AH5" s="6" t="s">
        <v>123</v>
      </c>
      <c r="AI5" s="6" t="s">
        <v>123</v>
      </c>
      <c r="AJ5" s="8"/>
      <c r="AK5" s="8"/>
      <c r="AL5" s="8"/>
      <c r="AM5" s="8"/>
      <c r="AN5" s="8"/>
      <c r="AO5" s="8"/>
      <c r="AP5" s="9" t="s">
        <v>139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76.5" hidden="true" customHeight="true" outlineLevel="0" collapsed="false">
      <c r="A6" s="6" t="s">
        <v>1</v>
      </c>
      <c r="B6" s="6" t="n">
        <v>10</v>
      </c>
      <c r="C6" s="6" t="n">
        <v>27029370</v>
      </c>
      <c r="D6" s="6" t="s">
        <v>114</v>
      </c>
      <c r="E6" s="6" t="s">
        <v>6</v>
      </c>
      <c r="F6" s="6" t="s">
        <v>115</v>
      </c>
      <c r="G6" s="6" t="s">
        <v>123</v>
      </c>
      <c r="H6" s="6" t="s">
        <v>140</v>
      </c>
      <c r="I6" s="6"/>
      <c r="J6" s="6" t="s">
        <v>123</v>
      </c>
      <c r="K6" s="6" t="s">
        <v>141</v>
      </c>
      <c r="L6" s="6" t="s">
        <v>142</v>
      </c>
      <c r="M6" s="6" t="n">
        <v>2639</v>
      </c>
      <c r="N6" s="7" t="n">
        <v>0.101</v>
      </c>
      <c r="O6" s="6" t="s">
        <v>143</v>
      </c>
      <c r="P6" s="10" t="n">
        <f aca="false">HYPERLINK("https://www.ncbi.nlm.nih.gov/clinvar/variation/4283269", 4283269)</f>
        <v>4283269</v>
      </c>
      <c r="Q6" s="6" t="s">
        <v>123</v>
      </c>
      <c r="R6" s="6" t="s">
        <v>123</v>
      </c>
      <c r="S6" s="10" t="str">
        <f aca="false">HYPERLINK("https://www.ncbi.nlm.nih.gov/snp/rs368301579", "rs368301579")</f>
        <v>rs368301579</v>
      </c>
      <c r="T6" s="10" t="n">
        <f aca="false">HYPERLINK("https://gnomad.broadinstitute.org/variant/10-27029370-TA-T?dataset=gnomad_r4", 0.00000657843)</f>
        <v>6.57843E-006</v>
      </c>
      <c r="U6" s="10" t="n">
        <f aca="false">HYPERLINK("https://gnomad.broadinstitute.org/variant/10-27029370-TA-T?dataset=gnomad_r4", 0.0000171821)</f>
        <v>1.71821E-005</v>
      </c>
      <c r="V6" s="6" t="n">
        <v>0</v>
      </c>
      <c r="W6" s="6" t="n">
        <v>0.01</v>
      </c>
      <c r="X6" s="6" t="n">
        <v>0</v>
      </c>
      <c r="Y6" s="6" t="n">
        <v>0</v>
      </c>
      <c r="Z6" s="6" t="n">
        <v>-21</v>
      </c>
      <c r="AA6" s="6" t="n">
        <v>-14</v>
      </c>
      <c r="AB6" s="6" t="n">
        <v>48</v>
      </c>
      <c r="AC6" s="6" t="n">
        <v>-14</v>
      </c>
      <c r="AD6" s="6" t="n">
        <v>1.491</v>
      </c>
      <c r="AE6" s="6" t="s">
        <v>124</v>
      </c>
      <c r="AF6" s="6" t="s">
        <v>123</v>
      </c>
      <c r="AG6" s="6" t="s">
        <v>123</v>
      </c>
      <c r="AH6" s="6" t="s">
        <v>123</v>
      </c>
      <c r="AI6" s="6" t="s">
        <v>123</v>
      </c>
      <c r="AJ6" s="8"/>
      <c r="AK6" s="8"/>
      <c r="AL6" s="8"/>
      <c r="AM6" s="8"/>
      <c r="AN6" s="8"/>
      <c r="AO6" s="8"/>
      <c r="AP6" s="9" t="s">
        <v>144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63.75" hidden="true" customHeight="true" outlineLevel="0" collapsed="false">
      <c r="A7" s="6" t="s">
        <v>1</v>
      </c>
      <c r="B7" s="6" t="s">
        <v>145</v>
      </c>
      <c r="C7" s="6" t="n">
        <v>47567015</v>
      </c>
      <c r="D7" s="6" t="s">
        <v>146</v>
      </c>
      <c r="E7" s="6" t="s">
        <v>147</v>
      </c>
      <c r="F7" s="6" t="s">
        <v>148</v>
      </c>
      <c r="G7" s="6" t="s">
        <v>149</v>
      </c>
      <c r="H7" s="6" t="s">
        <v>150</v>
      </c>
      <c r="I7" s="6" t="s">
        <v>151</v>
      </c>
      <c r="J7" s="6" t="s">
        <v>152</v>
      </c>
      <c r="K7" s="6" t="s">
        <v>153</v>
      </c>
      <c r="L7" s="6" t="s">
        <v>154</v>
      </c>
      <c r="M7" s="6" t="n">
        <v>3042</v>
      </c>
      <c r="N7" s="7" t="n">
        <v>0.494</v>
      </c>
      <c r="O7" s="6" t="s">
        <v>155</v>
      </c>
      <c r="P7" s="6" t="s">
        <v>123</v>
      </c>
      <c r="Q7" s="6" t="s">
        <v>123</v>
      </c>
      <c r="R7" s="6" t="s">
        <v>123</v>
      </c>
      <c r="S7" s="6" t="s">
        <v>123</v>
      </c>
      <c r="T7" s="6" t="s">
        <v>123</v>
      </c>
      <c r="U7" s="6" t="s">
        <v>123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-29</v>
      </c>
      <c r="AA7" s="6" t="n">
        <v>20</v>
      </c>
      <c r="AB7" s="6" t="n">
        <v>-15</v>
      </c>
      <c r="AC7" s="6" t="n">
        <v>-12</v>
      </c>
      <c r="AD7" s="6" t="s">
        <v>123</v>
      </c>
      <c r="AE7" s="6" t="s">
        <v>124</v>
      </c>
      <c r="AF7" s="6" t="s">
        <v>123</v>
      </c>
      <c r="AG7" s="6" t="s">
        <v>123</v>
      </c>
      <c r="AH7" s="6" t="s">
        <v>123</v>
      </c>
      <c r="AI7" s="6" t="s">
        <v>123</v>
      </c>
      <c r="AJ7" s="8"/>
      <c r="AK7" s="8"/>
      <c r="AL7" s="8"/>
      <c r="AM7" s="8"/>
      <c r="AN7" s="8"/>
      <c r="AO7" s="8"/>
      <c r="AP7" s="9" t="s">
        <v>156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76.5" hidden="true" customHeight="true" outlineLevel="0" collapsed="false">
      <c r="A8" s="6" t="s">
        <v>1</v>
      </c>
      <c r="B8" s="6" t="n">
        <v>1</v>
      </c>
      <c r="C8" s="6" t="n">
        <v>26697412</v>
      </c>
      <c r="D8" s="6" t="s">
        <v>157</v>
      </c>
      <c r="E8" s="6" t="s">
        <v>158</v>
      </c>
      <c r="F8" s="6" t="s">
        <v>159</v>
      </c>
      <c r="G8" s="6" t="s">
        <v>160</v>
      </c>
      <c r="H8" s="6" t="s">
        <v>161</v>
      </c>
      <c r="I8" s="6" t="s">
        <v>162</v>
      </c>
      <c r="J8" s="6" t="s">
        <v>163</v>
      </c>
      <c r="K8" s="6" t="s">
        <v>153</v>
      </c>
      <c r="L8" s="6" t="s">
        <v>164</v>
      </c>
      <c r="M8" s="6" t="n">
        <v>3468</v>
      </c>
      <c r="N8" s="7" t="n">
        <v>0.34</v>
      </c>
      <c r="O8" s="6" t="s">
        <v>122</v>
      </c>
      <c r="P8" s="10" t="n">
        <f aca="false">HYPERLINK("https://www.ncbi.nlm.nih.gov/clinvar/variation/2442347", 2442347)</f>
        <v>2442347</v>
      </c>
      <c r="Q8" s="6" t="s">
        <v>165</v>
      </c>
      <c r="R8" s="6" t="s">
        <v>166</v>
      </c>
      <c r="S8" s="10" t="str">
        <f aca="false">HYPERLINK("https://www.ncbi.nlm.nih.gov/snp/rs1232964733", "rs1232964733")</f>
        <v>rs1232964733</v>
      </c>
      <c r="T8" s="6" t="s">
        <v>123</v>
      </c>
      <c r="U8" s="10" t="n">
        <f aca="false">HYPERLINK("https://gnomad.broadinstitute.org/variant/1-26697412-TG-T?dataset=gnomad_r4", 0.00000083445)</f>
        <v>8.3445E-007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22</v>
      </c>
      <c r="AA8" s="6" t="n">
        <v>46</v>
      </c>
      <c r="AB8" s="6" t="n">
        <v>21</v>
      </c>
      <c r="AC8" s="6" t="n">
        <v>-33</v>
      </c>
      <c r="AD8" s="6" t="s">
        <v>123</v>
      </c>
      <c r="AE8" s="6" t="s">
        <v>124</v>
      </c>
      <c r="AF8" s="6" t="s">
        <v>123</v>
      </c>
      <c r="AG8" s="6" t="s">
        <v>123</v>
      </c>
      <c r="AH8" s="6" t="s">
        <v>123</v>
      </c>
      <c r="AI8" s="6" t="s">
        <v>123</v>
      </c>
      <c r="AJ8" s="8"/>
      <c r="AK8" s="8"/>
      <c r="AL8" s="8"/>
      <c r="AM8" s="8"/>
      <c r="AN8" s="8"/>
      <c r="AO8" s="8"/>
      <c r="AP8" s="9" t="s">
        <v>167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customFormat="false" ht="63.75" hidden="true" customHeight="true" outlineLevel="0" collapsed="false">
      <c r="A9" s="6" t="s">
        <v>1</v>
      </c>
      <c r="B9" s="6" t="n">
        <v>1</v>
      </c>
      <c r="C9" s="6" t="n">
        <v>26771259</v>
      </c>
      <c r="D9" s="6" t="s">
        <v>157</v>
      </c>
      <c r="E9" s="6" t="s">
        <v>158</v>
      </c>
      <c r="F9" s="6" t="s">
        <v>159</v>
      </c>
      <c r="G9" s="6" t="s">
        <v>168</v>
      </c>
      <c r="H9" s="6" t="s">
        <v>169</v>
      </c>
      <c r="I9" s="6" t="s">
        <v>170</v>
      </c>
      <c r="J9" s="6" t="s">
        <v>171</v>
      </c>
      <c r="K9" s="6" t="s">
        <v>153</v>
      </c>
      <c r="L9" s="6" t="s">
        <v>172</v>
      </c>
      <c r="M9" s="6" t="n">
        <v>4154</v>
      </c>
      <c r="N9" s="7" t="n">
        <v>0.0696</v>
      </c>
      <c r="O9" s="6" t="s">
        <v>122</v>
      </c>
      <c r="P9" s="6" t="s">
        <v>123</v>
      </c>
      <c r="Q9" s="6" t="s">
        <v>123</v>
      </c>
      <c r="R9" s="6" t="s">
        <v>123</v>
      </c>
      <c r="S9" s="6" t="s">
        <v>123</v>
      </c>
      <c r="T9" s="6" t="s">
        <v>123</v>
      </c>
      <c r="U9" s="6" t="s">
        <v>123</v>
      </c>
      <c r="V9" s="6" t="n">
        <v>0.01</v>
      </c>
      <c r="W9" s="6" t="n">
        <v>0</v>
      </c>
      <c r="X9" s="6" t="n">
        <v>0</v>
      </c>
      <c r="Y9" s="6" t="n">
        <v>0</v>
      </c>
      <c r="Z9" s="6" t="n">
        <v>-20</v>
      </c>
      <c r="AA9" s="6" t="n">
        <v>8</v>
      </c>
      <c r="AB9" s="6" t="n">
        <v>-44</v>
      </c>
      <c r="AC9" s="6" t="n">
        <v>-20</v>
      </c>
      <c r="AD9" s="6" t="s">
        <v>123</v>
      </c>
      <c r="AE9" s="6" t="s">
        <v>124</v>
      </c>
      <c r="AF9" s="6" t="s">
        <v>123</v>
      </c>
      <c r="AG9" s="6" t="s">
        <v>123</v>
      </c>
      <c r="AH9" s="6" t="s">
        <v>123</v>
      </c>
      <c r="AI9" s="6" t="s">
        <v>123</v>
      </c>
      <c r="AJ9" s="8"/>
      <c r="AK9" s="8"/>
      <c r="AL9" s="8"/>
      <c r="AM9" s="8"/>
      <c r="AN9" s="8"/>
      <c r="AO9" s="8"/>
      <c r="AP9" s="9" t="s">
        <v>173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customFormat="false" ht="76.5" hidden="true" customHeight="true" outlineLevel="0" collapsed="false">
      <c r="A10" s="6" t="s">
        <v>1</v>
      </c>
      <c r="B10" s="6" t="n">
        <v>1</v>
      </c>
      <c r="C10" s="6" t="n">
        <v>26773690</v>
      </c>
      <c r="D10" s="6" t="s">
        <v>157</v>
      </c>
      <c r="E10" s="6" t="s">
        <v>158</v>
      </c>
      <c r="F10" s="6" t="s">
        <v>159</v>
      </c>
      <c r="G10" s="6" t="s">
        <v>174</v>
      </c>
      <c r="H10" s="6" t="s">
        <v>175</v>
      </c>
      <c r="I10" s="6" t="s">
        <v>176</v>
      </c>
      <c r="J10" s="6" t="s">
        <v>177</v>
      </c>
      <c r="K10" s="6" t="s">
        <v>120</v>
      </c>
      <c r="L10" s="6" t="s">
        <v>178</v>
      </c>
      <c r="M10" s="6" t="n">
        <v>5067</v>
      </c>
      <c r="N10" s="7" t="n">
        <v>0.305</v>
      </c>
      <c r="O10" s="6" t="s">
        <v>179</v>
      </c>
      <c r="P10" s="10" t="n">
        <f aca="false">HYPERLINK("https://www.ncbi.nlm.nih.gov/clinvar/variation/3615781", 3615781)</f>
        <v>3615781</v>
      </c>
      <c r="Q10" s="6" t="s">
        <v>180</v>
      </c>
      <c r="R10" s="6" t="s">
        <v>181</v>
      </c>
      <c r="S10" s="10" t="str">
        <f aca="false">HYPERLINK("https://www.ncbi.nlm.nih.gov/snp/rs912059538", "rs912059538")</f>
        <v>rs912059538</v>
      </c>
      <c r="T10" s="10" t="n">
        <f aca="false">HYPERLINK("https://gnomad.broadinstitute.org/variant/1-26773690-C-T?dataset=gnomad_r4", 0.0000131638)</f>
        <v>1.31638E-005</v>
      </c>
      <c r="U10" s="10" t="n">
        <f aca="false">HYPERLINK("https://gnomad.broadinstitute.org/variant/1-26773690-C-T?dataset=gnomad_r4", 0.0000171082)</f>
        <v>1.71082E-005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5</v>
      </c>
      <c r="AA10" s="6" t="n">
        <v>-33</v>
      </c>
      <c r="AB10" s="6" t="n">
        <v>27</v>
      </c>
      <c r="AC10" s="6" t="n">
        <v>31</v>
      </c>
      <c r="AD10" s="6" t="n">
        <v>21.8</v>
      </c>
      <c r="AE10" s="6" t="s">
        <v>124</v>
      </c>
      <c r="AF10" s="6" t="s">
        <v>123</v>
      </c>
      <c r="AG10" s="6" t="s">
        <v>123</v>
      </c>
      <c r="AH10" s="6" t="s">
        <v>123</v>
      </c>
      <c r="AI10" s="6" t="s">
        <v>123</v>
      </c>
      <c r="AJ10" s="8"/>
      <c r="AK10" s="8"/>
      <c r="AL10" s="8"/>
      <c r="AM10" s="8"/>
      <c r="AN10" s="8"/>
      <c r="AO10" s="8"/>
      <c r="AP10" s="9" t="s">
        <v>182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customFormat="false" ht="63.75" hidden="true" customHeight="true" outlineLevel="0" collapsed="false">
      <c r="A11" s="6" t="s">
        <v>1</v>
      </c>
      <c r="B11" s="6" t="n">
        <v>1</v>
      </c>
      <c r="C11" s="6" t="n">
        <v>26774910</v>
      </c>
      <c r="D11" s="6" t="s">
        <v>157</v>
      </c>
      <c r="E11" s="6" t="s">
        <v>158</v>
      </c>
      <c r="F11" s="6" t="s">
        <v>159</v>
      </c>
      <c r="G11" s="6" t="s">
        <v>183</v>
      </c>
      <c r="H11" s="6" t="s">
        <v>184</v>
      </c>
      <c r="I11" s="6" t="s">
        <v>185</v>
      </c>
      <c r="J11" s="6" t="s">
        <v>186</v>
      </c>
      <c r="K11" s="6" t="s">
        <v>153</v>
      </c>
      <c r="L11" s="6" t="s">
        <v>187</v>
      </c>
      <c r="M11" s="6" t="n">
        <v>1888</v>
      </c>
      <c r="N11" s="7" t="n">
        <v>0.359</v>
      </c>
      <c r="O11" s="6" t="s">
        <v>122</v>
      </c>
      <c r="P11" s="10" t="n">
        <f aca="false">HYPERLINK("https://www.ncbi.nlm.nih.gov/clinvar/variation/998126", 998126)</f>
        <v>998126</v>
      </c>
      <c r="Q11" s="6" t="s">
        <v>165</v>
      </c>
      <c r="R11" s="6" t="s">
        <v>188</v>
      </c>
      <c r="S11" s="6" t="s">
        <v>123</v>
      </c>
      <c r="T11" s="6" t="s">
        <v>123</v>
      </c>
      <c r="U11" s="6" t="s">
        <v>123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-17</v>
      </c>
      <c r="AA11" s="6" t="n">
        <v>37</v>
      </c>
      <c r="AB11" s="6" t="n">
        <v>-20</v>
      </c>
      <c r="AC11" s="6" t="n">
        <v>-17</v>
      </c>
      <c r="AD11" s="6" t="s">
        <v>123</v>
      </c>
      <c r="AE11" s="6" t="s">
        <v>124</v>
      </c>
      <c r="AF11" s="6" t="s">
        <v>123</v>
      </c>
      <c r="AG11" s="6" t="s">
        <v>123</v>
      </c>
      <c r="AH11" s="6" t="s">
        <v>123</v>
      </c>
      <c r="AI11" s="6" t="s">
        <v>123</v>
      </c>
      <c r="AJ11" s="8"/>
      <c r="AK11" s="8"/>
      <c r="AL11" s="8"/>
      <c r="AM11" s="8"/>
      <c r="AN11" s="8"/>
      <c r="AO11" s="8"/>
      <c r="AP11" s="9" t="s">
        <v>189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63.75" hidden="true" customHeight="true" outlineLevel="0" collapsed="false">
      <c r="A12" s="6" t="s">
        <v>1</v>
      </c>
      <c r="B12" s="6" t="n">
        <v>1</v>
      </c>
      <c r="C12" s="6" t="n">
        <v>26779439</v>
      </c>
      <c r="D12" s="6" t="s">
        <v>157</v>
      </c>
      <c r="E12" s="6" t="s">
        <v>158</v>
      </c>
      <c r="F12" s="6" t="s">
        <v>159</v>
      </c>
      <c r="G12" s="6" t="s">
        <v>190</v>
      </c>
      <c r="H12" s="6" t="s">
        <v>191</v>
      </c>
      <c r="I12" s="6" t="s">
        <v>192</v>
      </c>
      <c r="J12" s="6" t="s">
        <v>193</v>
      </c>
      <c r="K12" s="6" t="s">
        <v>153</v>
      </c>
      <c r="L12" s="6" t="s">
        <v>194</v>
      </c>
      <c r="M12" s="6" t="n">
        <v>4115</v>
      </c>
      <c r="N12" s="7" t="n">
        <v>0.0743</v>
      </c>
      <c r="O12" s="6" t="s">
        <v>122</v>
      </c>
      <c r="P12" s="10" t="n">
        <f aca="false">HYPERLINK("https://www.ncbi.nlm.nih.gov/clinvar/variation/3897927", 3897927)</f>
        <v>3897927</v>
      </c>
      <c r="Q12" s="6" t="s">
        <v>123</v>
      </c>
      <c r="R12" s="6" t="s">
        <v>123</v>
      </c>
      <c r="S12" s="6" t="s">
        <v>123</v>
      </c>
      <c r="T12" s="6" t="s">
        <v>123</v>
      </c>
      <c r="U12" s="6" t="s">
        <v>123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-35</v>
      </c>
      <c r="AA12" s="6" t="n">
        <v>28</v>
      </c>
      <c r="AB12" s="6" t="n">
        <v>-2</v>
      </c>
      <c r="AC12" s="6" t="n">
        <v>-44</v>
      </c>
      <c r="AD12" s="6" t="s">
        <v>123</v>
      </c>
      <c r="AE12" s="6" t="s">
        <v>124</v>
      </c>
      <c r="AF12" s="6" t="s">
        <v>123</v>
      </c>
      <c r="AG12" s="6" t="s">
        <v>123</v>
      </c>
      <c r="AH12" s="6" t="s">
        <v>123</v>
      </c>
      <c r="AI12" s="6" t="s">
        <v>123</v>
      </c>
      <c r="AJ12" s="8"/>
      <c r="AK12" s="8"/>
      <c r="AL12" s="8"/>
      <c r="AM12" s="8"/>
      <c r="AN12" s="8"/>
      <c r="AO12" s="8"/>
      <c r="AP12" s="9" t="s">
        <v>195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76.5" hidden="true" customHeight="true" outlineLevel="0" collapsed="false">
      <c r="A13" s="6" t="s">
        <v>1</v>
      </c>
      <c r="B13" s="6" t="n">
        <v>12</v>
      </c>
      <c r="C13" s="6" t="n">
        <v>45729942</v>
      </c>
      <c r="D13" s="6" t="s">
        <v>196</v>
      </c>
      <c r="E13" s="6" t="s">
        <v>6</v>
      </c>
      <c r="F13" s="6" t="s">
        <v>197</v>
      </c>
      <c r="G13" s="6" t="s">
        <v>123</v>
      </c>
      <c r="H13" s="6" t="s">
        <v>198</v>
      </c>
      <c r="I13" s="6"/>
      <c r="J13" s="6" t="s">
        <v>123</v>
      </c>
      <c r="K13" s="6" t="s">
        <v>141</v>
      </c>
      <c r="L13" s="6" t="s">
        <v>199</v>
      </c>
      <c r="M13" s="6" t="n">
        <v>3544</v>
      </c>
      <c r="N13" s="7" t="n">
        <v>0.165</v>
      </c>
      <c r="O13" s="6" t="s">
        <v>122</v>
      </c>
      <c r="P13" s="6" t="s">
        <v>123</v>
      </c>
      <c r="Q13" s="6" t="s">
        <v>123</v>
      </c>
      <c r="R13" s="6" t="s">
        <v>123</v>
      </c>
      <c r="S13" s="10" t="str">
        <f aca="false">HYPERLINK("https://www.ncbi.nlm.nih.gov/snp/rs757473305", "rs757473305")</f>
        <v>rs757473305</v>
      </c>
      <c r="T13" s="10" t="n">
        <f aca="false">HYPERLINK("https://gnomad.broadinstitute.org/variant/12-45729942-CG-C?dataset=gnomad_r4", 0.00000658025)</f>
        <v>6.58025E-006</v>
      </c>
      <c r="U13" s="10" t="n">
        <f aca="false">HYPERLINK("https://gnomad.broadinstitute.org/variant/12-45729942-CG-C?dataset=gnomad_r4", 0.0000337369)</f>
        <v>3.37369E-005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-39</v>
      </c>
      <c r="AA13" s="6" t="n">
        <v>-45</v>
      </c>
      <c r="AB13" s="6" t="n">
        <v>-16</v>
      </c>
      <c r="AC13" s="6" t="n">
        <v>-14</v>
      </c>
      <c r="AD13" s="6" t="n">
        <v>16.55</v>
      </c>
      <c r="AE13" s="6" t="s">
        <v>124</v>
      </c>
      <c r="AF13" s="6" t="s">
        <v>123</v>
      </c>
      <c r="AG13" s="6" t="s">
        <v>123</v>
      </c>
      <c r="AH13" s="6" t="s">
        <v>123</v>
      </c>
      <c r="AI13" s="6" t="s">
        <v>123</v>
      </c>
      <c r="AJ13" s="8"/>
      <c r="AK13" s="8"/>
      <c r="AL13" s="8"/>
      <c r="AM13" s="8"/>
      <c r="AN13" s="8"/>
      <c r="AO13" s="8"/>
      <c r="AP13" s="9" t="s">
        <v>200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76.5" hidden="true" customHeight="true" outlineLevel="0" collapsed="false">
      <c r="A14" s="6" t="s">
        <v>1</v>
      </c>
      <c r="B14" s="6" t="n">
        <v>12</v>
      </c>
      <c r="C14" s="6" t="n">
        <v>45817652</v>
      </c>
      <c r="D14" s="6" t="s">
        <v>196</v>
      </c>
      <c r="E14" s="6" t="s">
        <v>6</v>
      </c>
      <c r="F14" s="6" t="s">
        <v>197</v>
      </c>
      <c r="G14" s="6" t="s">
        <v>123</v>
      </c>
      <c r="H14" s="6" t="s">
        <v>201</v>
      </c>
      <c r="I14" s="6"/>
      <c r="J14" s="6" t="s">
        <v>123</v>
      </c>
      <c r="K14" s="6" t="s">
        <v>141</v>
      </c>
      <c r="L14" s="6" t="s">
        <v>202</v>
      </c>
      <c r="M14" s="6" t="n">
        <v>1578</v>
      </c>
      <c r="N14" s="7" t="n">
        <v>0.0839</v>
      </c>
      <c r="O14" s="6" t="s">
        <v>203</v>
      </c>
      <c r="P14" s="6" t="s">
        <v>123</v>
      </c>
      <c r="Q14" s="6" t="s">
        <v>123</v>
      </c>
      <c r="R14" s="6" t="s">
        <v>123</v>
      </c>
      <c r="S14" s="10" t="str">
        <f aca="false">HYPERLINK("https://www.ncbi.nlm.nih.gov/snp/rs752578353", "rs752578353")</f>
        <v>rs752578353</v>
      </c>
      <c r="T14" s="10" t="n">
        <f aca="false">HYPERLINK("https://gnomad.broadinstitute.org/variant/12-45817652-AT-A?dataset=gnomad_r4", 0.0000205677)</f>
        <v>2.05677E-005</v>
      </c>
      <c r="U14" s="10" t="n">
        <f aca="false">HYPERLINK("https://gnomad.broadinstitute.org/variant/12-45817652-AT-A?dataset=gnomad_r4", 0.0000473011)</f>
        <v>4.73011E-005</v>
      </c>
      <c r="V14" s="6" t="n">
        <v>0.01</v>
      </c>
      <c r="W14" s="6" t="n">
        <v>0.01</v>
      </c>
      <c r="X14" s="6" t="n">
        <v>0</v>
      </c>
      <c r="Y14" s="6" t="n">
        <v>0</v>
      </c>
      <c r="Z14" s="6" t="n">
        <v>-2</v>
      </c>
      <c r="AA14" s="6" t="n">
        <v>18</v>
      </c>
      <c r="AB14" s="6" t="n">
        <v>-3</v>
      </c>
      <c r="AC14" s="6" t="n">
        <v>32</v>
      </c>
      <c r="AD14" s="6" t="n">
        <v>5.253</v>
      </c>
      <c r="AE14" s="6" t="s">
        <v>124</v>
      </c>
      <c r="AF14" s="6" t="s">
        <v>123</v>
      </c>
      <c r="AG14" s="6" t="s">
        <v>123</v>
      </c>
      <c r="AH14" s="6" t="s">
        <v>123</v>
      </c>
      <c r="AI14" s="6" t="s">
        <v>123</v>
      </c>
      <c r="AJ14" s="8"/>
      <c r="AK14" s="8"/>
      <c r="AL14" s="8"/>
      <c r="AM14" s="8"/>
      <c r="AN14" s="8"/>
      <c r="AO14" s="8"/>
      <c r="AP14" s="9" t="s">
        <v>204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63.75" hidden="true" customHeight="true" outlineLevel="0" collapsed="false">
      <c r="A15" s="6" t="s">
        <v>1</v>
      </c>
      <c r="B15" s="6" t="n">
        <v>12</v>
      </c>
      <c r="C15" s="6" t="n">
        <v>45817733</v>
      </c>
      <c r="D15" s="6" t="s">
        <v>196</v>
      </c>
      <c r="E15" s="6" t="s">
        <v>6</v>
      </c>
      <c r="F15" s="6" t="s">
        <v>197</v>
      </c>
      <c r="G15" s="6" t="s">
        <v>205</v>
      </c>
      <c r="H15" s="6" t="s">
        <v>206</v>
      </c>
      <c r="I15" s="6" t="s">
        <v>207</v>
      </c>
      <c r="J15" s="6" t="s">
        <v>208</v>
      </c>
      <c r="K15" s="6" t="s">
        <v>120</v>
      </c>
      <c r="L15" s="6" t="s">
        <v>209</v>
      </c>
      <c r="M15" s="6" t="n">
        <v>2849</v>
      </c>
      <c r="N15" s="7" t="n">
        <v>0.0722</v>
      </c>
      <c r="O15" s="6" t="s">
        <v>155</v>
      </c>
      <c r="P15" s="6" t="s">
        <v>123</v>
      </c>
      <c r="Q15" s="6" t="s">
        <v>123</v>
      </c>
      <c r="R15" s="6" t="s">
        <v>123</v>
      </c>
      <c r="S15" s="6" t="s">
        <v>123</v>
      </c>
      <c r="T15" s="6" t="s">
        <v>123</v>
      </c>
      <c r="U15" s="6" t="s">
        <v>123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-47</v>
      </c>
      <c r="AA15" s="6" t="n">
        <v>36</v>
      </c>
      <c r="AB15" s="6" t="n">
        <v>1</v>
      </c>
      <c r="AC15" s="6" t="n">
        <v>36</v>
      </c>
      <c r="AD15" s="6" t="n">
        <v>27.6</v>
      </c>
      <c r="AE15" s="6" t="s">
        <v>124</v>
      </c>
      <c r="AF15" s="6" t="s">
        <v>123</v>
      </c>
      <c r="AG15" s="6" t="s">
        <v>123</v>
      </c>
      <c r="AH15" s="6" t="s">
        <v>123</v>
      </c>
      <c r="AI15" s="6" t="s">
        <v>123</v>
      </c>
      <c r="AJ15" s="8"/>
      <c r="AK15" s="8"/>
      <c r="AL15" s="8"/>
      <c r="AM15" s="8"/>
      <c r="AN15" s="8"/>
      <c r="AO15" s="8"/>
      <c r="AP15" s="9" t="s">
        <v>210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76.5" hidden="true" customHeight="true" outlineLevel="0" collapsed="false">
      <c r="A16" s="6" t="s">
        <v>1</v>
      </c>
      <c r="B16" s="6" t="n">
        <v>20</v>
      </c>
      <c r="C16" s="6" t="n">
        <v>32431565</v>
      </c>
      <c r="D16" s="6" t="s">
        <v>211</v>
      </c>
      <c r="E16" s="6" t="s">
        <v>6</v>
      </c>
      <c r="F16" s="6" t="s">
        <v>212</v>
      </c>
      <c r="G16" s="6" t="s">
        <v>123</v>
      </c>
      <c r="H16" s="6" t="s">
        <v>213</v>
      </c>
      <c r="I16" s="6"/>
      <c r="J16" s="6" t="s">
        <v>123</v>
      </c>
      <c r="K16" s="6" t="s">
        <v>141</v>
      </c>
      <c r="L16" s="6" t="s">
        <v>214</v>
      </c>
      <c r="M16" s="6" t="n">
        <v>4394</v>
      </c>
      <c r="N16" s="7" t="n">
        <v>0.0761</v>
      </c>
      <c r="O16" s="6" t="s">
        <v>122</v>
      </c>
      <c r="P16" s="10" t="n">
        <f aca="false">HYPERLINK("https://www.ncbi.nlm.nih.gov/clinvar/variation/1661333", 1661333)</f>
        <v>1661333</v>
      </c>
      <c r="Q16" s="6" t="s">
        <v>215</v>
      </c>
      <c r="R16" s="6" t="s">
        <v>181</v>
      </c>
      <c r="S16" s="10" t="str">
        <f aca="false">HYPERLINK("https://www.ncbi.nlm.nih.gov/snp/rs767111913", "rs767111913")</f>
        <v>rs767111913</v>
      </c>
      <c r="T16" s="6" t="s">
        <v>123</v>
      </c>
      <c r="U16" s="10" t="n">
        <f aca="false">HYPERLINK("https://gnomad.broadinstitute.org/variant/20-32431565-C-T?dataset=gnomad_r4", 0.0000164177)</f>
        <v>1.64177E-005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-9</v>
      </c>
      <c r="AA16" s="6" t="n">
        <v>-21</v>
      </c>
      <c r="AB16" s="6" t="n">
        <v>35</v>
      </c>
      <c r="AC16" s="6" t="n">
        <v>-45</v>
      </c>
      <c r="AD16" s="6" t="n">
        <v>0.131</v>
      </c>
      <c r="AE16" s="6" t="s">
        <v>124</v>
      </c>
      <c r="AF16" s="6" t="s">
        <v>123</v>
      </c>
      <c r="AG16" s="6" t="s">
        <v>123</v>
      </c>
      <c r="AH16" s="6" t="s">
        <v>123</v>
      </c>
      <c r="AI16" s="6" t="s">
        <v>123</v>
      </c>
      <c r="AJ16" s="8"/>
      <c r="AK16" s="8"/>
      <c r="AL16" s="8"/>
      <c r="AM16" s="8"/>
      <c r="AN16" s="8"/>
      <c r="AO16" s="8"/>
      <c r="AP16" s="9" t="s">
        <v>216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76.5" hidden="true" customHeight="true" outlineLevel="0" collapsed="false">
      <c r="A17" s="6" t="s">
        <v>1</v>
      </c>
      <c r="B17" s="6" t="n">
        <v>20</v>
      </c>
      <c r="C17" s="6" t="n">
        <v>32434638</v>
      </c>
      <c r="D17" s="6" t="s">
        <v>211</v>
      </c>
      <c r="E17" s="6" t="s">
        <v>6</v>
      </c>
      <c r="F17" s="6" t="s">
        <v>212</v>
      </c>
      <c r="G17" s="6" t="s">
        <v>217</v>
      </c>
      <c r="H17" s="6" t="s">
        <v>218</v>
      </c>
      <c r="I17" s="6" t="s">
        <v>219</v>
      </c>
      <c r="J17" s="6" t="s">
        <v>220</v>
      </c>
      <c r="K17" s="6" t="s">
        <v>153</v>
      </c>
      <c r="L17" s="6" t="s">
        <v>221</v>
      </c>
      <c r="M17" s="6" t="n">
        <v>5581</v>
      </c>
      <c r="N17" s="7" t="n">
        <v>0.0753</v>
      </c>
      <c r="O17" s="6" t="s">
        <v>129</v>
      </c>
      <c r="P17" s="10" t="n">
        <f aca="false">HYPERLINK("https://www.ncbi.nlm.nih.gov/clinvar/variation/426927", 426927)</f>
        <v>426927</v>
      </c>
      <c r="Q17" s="6" t="s">
        <v>222</v>
      </c>
      <c r="R17" s="6" t="s">
        <v>223</v>
      </c>
      <c r="S17" s="10" t="str">
        <f aca="false">HYPERLINK("https://www.ncbi.nlm.nih.gov/snp/rs750318549", "rs750318549")</f>
        <v>rs750318549</v>
      </c>
      <c r="T17" s="10" t="n">
        <f aca="false">HYPERLINK("https://gnomad.broadinstitute.org/variant/20-32434638-A-AG?dataset=gnomad_r4", 0.000644398)</f>
        <v>0.000644398</v>
      </c>
      <c r="U17" s="10" t="n">
        <f aca="false">HYPERLINK("https://gnomad.broadinstitute.org/variant/20-32434638-A-AG?dataset=gnomad_r4", 0.000405168)</f>
        <v>0.000405168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1</v>
      </c>
      <c r="AA17" s="6" t="n">
        <v>23</v>
      </c>
      <c r="AB17" s="6" t="n">
        <v>-26</v>
      </c>
      <c r="AC17" s="6" t="n">
        <v>-41</v>
      </c>
      <c r="AD17" s="6" t="n">
        <v>29.3</v>
      </c>
      <c r="AE17" s="6" t="s">
        <v>224</v>
      </c>
      <c r="AF17" s="6" t="s">
        <v>225</v>
      </c>
      <c r="AG17" s="6" t="s">
        <v>226</v>
      </c>
      <c r="AH17" s="6" t="s">
        <v>227</v>
      </c>
      <c r="AI17" s="6" t="s">
        <v>228</v>
      </c>
      <c r="AJ17" s="8"/>
      <c r="AK17" s="8"/>
      <c r="AL17" s="8"/>
      <c r="AM17" s="8"/>
      <c r="AN17" s="8"/>
      <c r="AO17" s="8"/>
      <c r="AP17" s="9" t="s">
        <v>229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customFormat="false" ht="76.5" hidden="true" customHeight="true" outlineLevel="0" collapsed="false">
      <c r="A18" s="6" t="s">
        <v>1</v>
      </c>
      <c r="B18" s="6" t="n">
        <v>20</v>
      </c>
      <c r="C18" s="6" t="n">
        <v>32434638</v>
      </c>
      <c r="D18" s="6" t="s">
        <v>211</v>
      </c>
      <c r="E18" s="6" t="s">
        <v>6</v>
      </c>
      <c r="F18" s="6" t="s">
        <v>212</v>
      </c>
      <c r="G18" s="6" t="s">
        <v>217</v>
      </c>
      <c r="H18" s="6" t="s">
        <v>230</v>
      </c>
      <c r="I18" s="6" t="s">
        <v>231</v>
      </c>
      <c r="J18" s="6" t="s">
        <v>232</v>
      </c>
      <c r="K18" s="6" t="s">
        <v>153</v>
      </c>
      <c r="L18" s="6" t="s">
        <v>233</v>
      </c>
      <c r="M18" s="6" t="n">
        <v>5581</v>
      </c>
      <c r="N18" s="7" t="n">
        <v>0.382</v>
      </c>
      <c r="O18" s="6" t="s">
        <v>129</v>
      </c>
      <c r="P18" s="10" t="n">
        <f aca="false">HYPERLINK("https://www.ncbi.nlm.nih.gov/clinvar/variation/4539539", 4539539)</f>
        <v>4539539</v>
      </c>
      <c r="Q18" s="6" t="s">
        <v>123</v>
      </c>
      <c r="R18" s="6" t="s">
        <v>123</v>
      </c>
      <c r="S18" s="10" t="str">
        <f aca="false">HYPERLINK("https://www.ncbi.nlm.nih.gov/snp/rs750318549", "rs750318549")</f>
        <v>rs750318549</v>
      </c>
      <c r="T18" s="6" t="s">
        <v>123</v>
      </c>
      <c r="U18" s="10" t="n">
        <f aca="false">HYPERLINK("https://gnomad.broadinstitute.org/variant/20-32434638-AG-A?dataset=gnomad_r4", 0.0000372007)</f>
        <v>3.72007E-005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3</v>
      </c>
      <c r="AA18" s="6" t="n">
        <v>2</v>
      </c>
      <c r="AB18" s="6" t="n">
        <v>-41</v>
      </c>
      <c r="AC18" s="6" t="n">
        <v>-21</v>
      </c>
      <c r="AD18" s="6" t="n">
        <v>28</v>
      </c>
      <c r="AE18" s="6" t="s">
        <v>234</v>
      </c>
      <c r="AF18" s="6" t="s">
        <v>225</v>
      </c>
      <c r="AG18" s="6" t="s">
        <v>235</v>
      </c>
      <c r="AH18" s="6" t="s">
        <v>236</v>
      </c>
      <c r="AI18" s="6" t="s">
        <v>237</v>
      </c>
      <c r="AJ18" s="8"/>
      <c r="AK18" s="8"/>
      <c r="AL18" s="8"/>
      <c r="AM18" s="8"/>
      <c r="AN18" s="8"/>
      <c r="AO18" s="8"/>
      <c r="AP18" s="9" t="s">
        <v>238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63.75" hidden="true" customHeight="true" outlineLevel="0" collapsed="false">
      <c r="A19" s="6" t="s">
        <v>1</v>
      </c>
      <c r="B19" s="6" t="n">
        <v>20</v>
      </c>
      <c r="C19" s="6" t="n">
        <v>32433285</v>
      </c>
      <c r="D19" s="6" t="s">
        <v>211</v>
      </c>
      <c r="E19" s="6" t="s">
        <v>6</v>
      </c>
      <c r="F19" s="6" t="s">
        <v>212</v>
      </c>
      <c r="G19" s="6" t="s">
        <v>239</v>
      </c>
      <c r="H19" s="6" t="s">
        <v>240</v>
      </c>
      <c r="I19" s="6" t="s">
        <v>241</v>
      </c>
      <c r="J19" s="6" t="s">
        <v>242</v>
      </c>
      <c r="K19" s="6" t="s">
        <v>243</v>
      </c>
      <c r="L19" s="6" t="s">
        <v>244</v>
      </c>
      <c r="M19" s="6" t="n">
        <v>3626</v>
      </c>
      <c r="N19" s="7" t="n">
        <v>0.0317</v>
      </c>
      <c r="O19" s="6" t="s">
        <v>122</v>
      </c>
      <c r="P19" s="6" t="s">
        <v>123</v>
      </c>
      <c r="Q19" s="6" t="s">
        <v>123</v>
      </c>
      <c r="R19" s="6" t="s">
        <v>123</v>
      </c>
      <c r="S19" s="6" t="s">
        <v>123</v>
      </c>
      <c r="T19" s="6" t="s">
        <v>123</v>
      </c>
      <c r="U19" s="6" t="s">
        <v>123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-1</v>
      </c>
      <c r="AA19" s="6" t="n">
        <v>30</v>
      </c>
      <c r="AB19" s="6" t="n">
        <v>-2</v>
      </c>
      <c r="AC19" s="6" t="n">
        <v>3</v>
      </c>
      <c r="AD19" s="6" t="n">
        <v>11.46</v>
      </c>
      <c r="AE19" s="6" t="s">
        <v>124</v>
      </c>
      <c r="AF19" s="6" t="s">
        <v>123</v>
      </c>
      <c r="AG19" s="6" t="s">
        <v>123</v>
      </c>
      <c r="AH19" s="6" t="s">
        <v>123</v>
      </c>
      <c r="AI19" s="6" t="s">
        <v>123</v>
      </c>
      <c r="AJ19" s="8"/>
      <c r="AK19" s="8"/>
      <c r="AL19" s="8"/>
      <c r="AM19" s="8"/>
      <c r="AN19" s="8"/>
      <c r="AO19" s="8"/>
      <c r="AP19" s="9" t="s">
        <v>245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63.75" hidden="true" customHeight="true" outlineLevel="0" collapsed="false">
      <c r="A20" s="6" t="s">
        <v>1</v>
      </c>
      <c r="B20" s="6" t="n">
        <v>11</v>
      </c>
      <c r="C20" s="6" t="n">
        <v>108271228</v>
      </c>
      <c r="D20" s="6" t="s">
        <v>246</v>
      </c>
      <c r="E20" s="6" t="s">
        <v>123</v>
      </c>
      <c r="F20" s="6" t="s">
        <v>247</v>
      </c>
      <c r="G20" s="6" t="s">
        <v>123</v>
      </c>
      <c r="H20" s="6" t="s">
        <v>248</v>
      </c>
      <c r="I20" s="6"/>
      <c r="J20" s="6" t="s">
        <v>123</v>
      </c>
      <c r="K20" s="6" t="s">
        <v>127</v>
      </c>
      <c r="L20" s="6" t="s">
        <v>249</v>
      </c>
      <c r="M20" s="6" t="n">
        <v>3510</v>
      </c>
      <c r="N20" s="7" t="n">
        <v>0.0362</v>
      </c>
      <c r="O20" s="6" t="s">
        <v>129</v>
      </c>
      <c r="P20" s="6" t="s">
        <v>123</v>
      </c>
      <c r="Q20" s="6" t="s">
        <v>123</v>
      </c>
      <c r="R20" s="6" t="s">
        <v>123</v>
      </c>
      <c r="S20" s="6" t="s">
        <v>123</v>
      </c>
      <c r="T20" s="6" t="s">
        <v>123</v>
      </c>
      <c r="U20" s="10" t="n">
        <f aca="false">HYPERLINK("https://gnomad.broadinstitute.org/variant/11-108271228-CTTTTT-C?dataset=gnomad_r4", 0.00000491764)</f>
        <v>4.91764E-006</v>
      </c>
      <c r="V20" s="6" t="s">
        <v>123</v>
      </c>
      <c r="W20" s="6" t="s">
        <v>123</v>
      </c>
      <c r="X20" s="6" t="s">
        <v>123</v>
      </c>
      <c r="Y20" s="6" t="s">
        <v>123</v>
      </c>
      <c r="Z20" s="6" t="s">
        <v>123</v>
      </c>
      <c r="AA20" s="6" t="s">
        <v>123</v>
      </c>
      <c r="AB20" s="6" t="s">
        <v>123</v>
      </c>
      <c r="AC20" s="6" t="s">
        <v>123</v>
      </c>
      <c r="AD20" s="6" t="s">
        <v>123</v>
      </c>
      <c r="AE20" s="6" t="s">
        <v>124</v>
      </c>
      <c r="AF20" s="6" t="s">
        <v>123</v>
      </c>
      <c r="AG20" s="6" t="s">
        <v>123</v>
      </c>
      <c r="AH20" s="6" t="s">
        <v>123</v>
      </c>
      <c r="AI20" s="6" t="s">
        <v>123</v>
      </c>
      <c r="AJ20" s="8"/>
      <c r="AK20" s="8"/>
      <c r="AL20" s="8"/>
      <c r="AM20" s="8"/>
      <c r="AN20" s="8"/>
      <c r="AO20" s="8"/>
      <c r="AP20" s="9" t="s">
        <v>250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76.5" hidden="true" customHeight="true" outlineLevel="0" collapsed="false">
      <c r="A21" s="6" t="s">
        <v>1</v>
      </c>
      <c r="B21" s="6" t="n">
        <v>11</v>
      </c>
      <c r="C21" s="6" t="n">
        <v>108243934</v>
      </c>
      <c r="D21" s="6" t="s">
        <v>246</v>
      </c>
      <c r="E21" s="6" t="s">
        <v>123</v>
      </c>
      <c r="F21" s="6" t="s">
        <v>247</v>
      </c>
      <c r="G21" s="6" t="s">
        <v>123</v>
      </c>
      <c r="H21" s="6" t="s">
        <v>251</v>
      </c>
      <c r="I21" s="6"/>
      <c r="J21" s="6" t="s">
        <v>123</v>
      </c>
      <c r="K21" s="6" t="s">
        <v>127</v>
      </c>
      <c r="L21" s="6" t="s">
        <v>252</v>
      </c>
      <c r="M21" s="6" t="n">
        <v>2431</v>
      </c>
      <c r="N21" s="7" t="n">
        <v>0.434</v>
      </c>
      <c r="O21" s="6" t="s">
        <v>129</v>
      </c>
      <c r="P21" s="10" t="n">
        <f aca="false">HYPERLINK("https://www.ncbi.nlm.nih.gov/clinvar/variation/3221600", 3221600)</f>
        <v>3221600</v>
      </c>
      <c r="Q21" s="6" t="s">
        <v>253</v>
      </c>
      <c r="R21" s="6" t="s">
        <v>254</v>
      </c>
      <c r="S21" s="10" t="str">
        <f aca="false">HYPERLINK("https://www.ncbi.nlm.nih.gov/snp/rs768748099", "rs768748099")</f>
        <v>rs768748099</v>
      </c>
      <c r="T21" s="6" t="s">
        <v>123</v>
      </c>
      <c r="U21" s="10" t="n">
        <f aca="false">HYPERLINK("https://gnomad.broadinstitute.org/variant/11-108243934-ATTT-A?dataset=gnomad_r4", 0.00000473302)</f>
        <v>4.73302E-006</v>
      </c>
      <c r="V21" s="6" t="n">
        <v>0.14</v>
      </c>
      <c r="W21" s="6" t="n">
        <v>0.2</v>
      </c>
      <c r="X21" s="6" t="n">
        <v>0</v>
      </c>
      <c r="Y21" s="6" t="n">
        <v>0</v>
      </c>
      <c r="Z21" s="6" t="n">
        <v>41</v>
      </c>
      <c r="AA21" s="6" t="n">
        <v>19</v>
      </c>
      <c r="AB21" s="6" t="n">
        <v>19</v>
      </c>
      <c r="AC21" s="6" t="n">
        <v>41</v>
      </c>
      <c r="AD21" s="6" t="s">
        <v>123</v>
      </c>
      <c r="AE21" s="6" t="s">
        <v>124</v>
      </c>
      <c r="AF21" s="6" t="s">
        <v>123</v>
      </c>
      <c r="AG21" s="6" t="s">
        <v>123</v>
      </c>
      <c r="AH21" s="6" t="s">
        <v>123</v>
      </c>
      <c r="AI21" s="6" t="s">
        <v>123</v>
      </c>
      <c r="AJ21" s="8"/>
      <c r="AK21" s="8"/>
      <c r="AL21" s="8"/>
      <c r="AM21" s="8"/>
      <c r="AN21" s="8"/>
      <c r="AO21" s="8"/>
      <c r="AP21" s="9" t="s">
        <v>255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76.5" hidden="true" customHeight="true" outlineLevel="0" collapsed="false">
      <c r="A22" s="6" t="s">
        <v>1</v>
      </c>
      <c r="B22" s="6" t="n">
        <v>11</v>
      </c>
      <c r="C22" s="6" t="n">
        <v>108243934</v>
      </c>
      <c r="D22" s="6" t="s">
        <v>246</v>
      </c>
      <c r="E22" s="6" t="s">
        <v>123</v>
      </c>
      <c r="F22" s="6" t="s">
        <v>247</v>
      </c>
      <c r="G22" s="6" t="s">
        <v>123</v>
      </c>
      <c r="H22" s="6" t="s">
        <v>256</v>
      </c>
      <c r="I22" s="6"/>
      <c r="J22" s="6" t="s">
        <v>123</v>
      </c>
      <c r="K22" s="6" t="s">
        <v>127</v>
      </c>
      <c r="L22" s="6" t="s">
        <v>257</v>
      </c>
      <c r="M22" s="6" t="n">
        <v>2431</v>
      </c>
      <c r="N22" s="7" t="n">
        <v>0.15</v>
      </c>
      <c r="O22" s="6" t="s">
        <v>129</v>
      </c>
      <c r="P22" s="10" t="n">
        <f aca="false">HYPERLINK("https://www.ncbi.nlm.nih.gov/clinvar/variation/1744495", 1744495)</f>
        <v>1744495</v>
      </c>
      <c r="Q22" s="6" t="s">
        <v>253</v>
      </c>
      <c r="R22" s="6" t="s">
        <v>254</v>
      </c>
      <c r="S22" s="10" t="str">
        <f aca="false">HYPERLINK("https://www.ncbi.nlm.nih.gov/snp/rs768748099", "rs768748099")</f>
        <v>rs768748099</v>
      </c>
      <c r="T22" s="10" t="n">
        <f aca="false">HYPERLINK("https://gnomad.broadinstitute.org/variant/11-108243934-ATTTT-A?dataset=gnomad_r4", 0.0000207794)</f>
        <v>2.07794E-005</v>
      </c>
      <c r="U22" s="10" t="n">
        <f aca="false">HYPERLINK("https://gnomad.broadinstitute.org/variant/11-108243934-ATTTT-A?dataset=gnomad_r4", 0.000000946394)</f>
        <v>9.46394E-007</v>
      </c>
      <c r="V22" s="6" t="n">
        <v>0.12</v>
      </c>
      <c r="W22" s="6" t="n">
        <v>0.26</v>
      </c>
      <c r="X22" s="6" t="n">
        <v>0</v>
      </c>
      <c r="Y22" s="6" t="n">
        <v>0</v>
      </c>
      <c r="Z22" s="6" t="n">
        <v>41</v>
      </c>
      <c r="AA22" s="6" t="n">
        <v>19</v>
      </c>
      <c r="AB22" s="6" t="n">
        <v>19</v>
      </c>
      <c r="AC22" s="6" t="n">
        <v>41</v>
      </c>
      <c r="AD22" s="6" t="n">
        <v>7.997</v>
      </c>
      <c r="AE22" s="6" t="s">
        <v>124</v>
      </c>
      <c r="AF22" s="6" t="s">
        <v>123</v>
      </c>
      <c r="AG22" s="6" t="s">
        <v>123</v>
      </c>
      <c r="AH22" s="6" t="s">
        <v>123</v>
      </c>
      <c r="AI22" s="6" t="s">
        <v>123</v>
      </c>
      <c r="AJ22" s="8"/>
      <c r="AK22" s="8"/>
      <c r="AL22" s="8"/>
      <c r="AM22" s="8"/>
      <c r="AN22" s="8"/>
      <c r="AO22" s="8"/>
      <c r="AP22" s="9" t="s">
        <v>258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63.75" hidden="true" customHeight="true" outlineLevel="0" collapsed="false">
      <c r="A23" s="6" t="s">
        <v>1</v>
      </c>
      <c r="B23" s="6" t="n">
        <v>11</v>
      </c>
      <c r="C23" s="6" t="n">
        <v>108235814</v>
      </c>
      <c r="D23" s="6" t="s">
        <v>246</v>
      </c>
      <c r="E23" s="6" t="s">
        <v>123</v>
      </c>
      <c r="F23" s="6" t="s">
        <v>247</v>
      </c>
      <c r="G23" s="6" t="s">
        <v>259</v>
      </c>
      <c r="H23" s="6" t="s">
        <v>260</v>
      </c>
      <c r="I23" s="6" t="s">
        <v>261</v>
      </c>
      <c r="J23" s="6" t="s">
        <v>262</v>
      </c>
      <c r="K23" s="6" t="s">
        <v>120</v>
      </c>
      <c r="L23" s="6" t="s">
        <v>263</v>
      </c>
      <c r="M23" s="6" t="n">
        <v>3500</v>
      </c>
      <c r="N23" s="7" t="n">
        <v>0.128</v>
      </c>
      <c r="O23" s="6" t="s">
        <v>122</v>
      </c>
      <c r="P23" s="6" t="s">
        <v>123</v>
      </c>
      <c r="Q23" s="6" t="s">
        <v>123</v>
      </c>
      <c r="R23" s="6" t="s">
        <v>123</v>
      </c>
      <c r="S23" s="6" t="s">
        <v>123</v>
      </c>
      <c r="T23" s="6" t="s">
        <v>123</v>
      </c>
      <c r="U23" s="6" t="s">
        <v>123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-33</v>
      </c>
      <c r="AA23" s="6" t="n">
        <v>-23</v>
      </c>
      <c r="AB23" s="6" t="n">
        <v>20</v>
      </c>
      <c r="AC23" s="6" t="n">
        <v>-23</v>
      </c>
      <c r="AD23" s="6" t="n">
        <v>26.7</v>
      </c>
      <c r="AE23" s="6" t="s">
        <v>124</v>
      </c>
      <c r="AF23" s="6" t="s">
        <v>123</v>
      </c>
      <c r="AG23" s="6" t="s">
        <v>123</v>
      </c>
      <c r="AH23" s="6" t="s">
        <v>123</v>
      </c>
      <c r="AI23" s="6" t="s">
        <v>123</v>
      </c>
      <c r="AJ23" s="8"/>
      <c r="AK23" s="8"/>
      <c r="AL23" s="8"/>
      <c r="AM23" s="8"/>
      <c r="AN23" s="8"/>
      <c r="AO23" s="8"/>
      <c r="AP23" s="9" t="s">
        <v>264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76.5" hidden="true" customHeight="true" outlineLevel="0" collapsed="false">
      <c r="A24" s="6" t="s">
        <v>1</v>
      </c>
      <c r="B24" s="6" t="n">
        <v>11</v>
      </c>
      <c r="C24" s="6" t="n">
        <v>108243934</v>
      </c>
      <c r="D24" s="6" t="s">
        <v>246</v>
      </c>
      <c r="E24" s="6" t="s">
        <v>123</v>
      </c>
      <c r="F24" s="6" t="s">
        <v>247</v>
      </c>
      <c r="G24" s="6" t="s">
        <v>123</v>
      </c>
      <c r="H24" s="6" t="s">
        <v>265</v>
      </c>
      <c r="I24" s="6"/>
      <c r="J24" s="6" t="s">
        <v>123</v>
      </c>
      <c r="K24" s="6" t="s">
        <v>127</v>
      </c>
      <c r="L24" s="6" t="s">
        <v>266</v>
      </c>
      <c r="M24" s="6" t="n">
        <v>2431</v>
      </c>
      <c r="N24" s="7" t="n">
        <v>0.235</v>
      </c>
      <c r="O24" s="6" t="s">
        <v>129</v>
      </c>
      <c r="P24" s="10" t="n">
        <f aca="false">HYPERLINK("https://www.ncbi.nlm.nih.gov/clinvar/variation/1692759", 1692759)</f>
        <v>1692759</v>
      </c>
      <c r="Q24" s="6" t="s">
        <v>215</v>
      </c>
      <c r="R24" s="6" t="s">
        <v>267</v>
      </c>
      <c r="S24" s="10" t="str">
        <f aca="false">HYPERLINK("https://www.ncbi.nlm.nih.gov/snp/rs768748099", "rs768748099")</f>
        <v>rs768748099</v>
      </c>
      <c r="T24" s="10" t="n">
        <f aca="false">HYPERLINK("https://gnomad.broadinstitute.org/variant/11-108243934-ATT-A?dataset=gnomad_r4", 0.00000692732)</f>
        <v>6.92732E-006</v>
      </c>
      <c r="U24" s="10" t="n">
        <f aca="false">HYPERLINK("https://gnomad.broadinstitute.org/variant/11-108243934-ATT-A?dataset=gnomad_r4", 0.000225681)</f>
        <v>0.000225681</v>
      </c>
      <c r="V24" s="6" t="n">
        <v>0.11</v>
      </c>
      <c r="W24" s="6" t="n">
        <v>0.09</v>
      </c>
      <c r="X24" s="6" t="n">
        <v>0</v>
      </c>
      <c r="Y24" s="6" t="n">
        <v>0</v>
      </c>
      <c r="Z24" s="6" t="n">
        <v>41</v>
      </c>
      <c r="AA24" s="6" t="n">
        <v>19</v>
      </c>
      <c r="AB24" s="6" t="n">
        <v>19</v>
      </c>
      <c r="AC24" s="6" t="n">
        <v>41</v>
      </c>
      <c r="AD24" s="6" t="n">
        <v>1.916</v>
      </c>
      <c r="AE24" s="6" t="s">
        <v>124</v>
      </c>
      <c r="AF24" s="6" t="s">
        <v>123</v>
      </c>
      <c r="AG24" s="6" t="s">
        <v>123</v>
      </c>
      <c r="AH24" s="6" t="s">
        <v>123</v>
      </c>
      <c r="AI24" s="6" t="s">
        <v>123</v>
      </c>
      <c r="AJ24" s="8"/>
      <c r="AK24" s="8"/>
      <c r="AL24" s="8"/>
      <c r="AM24" s="8"/>
      <c r="AN24" s="8"/>
      <c r="AO24" s="8"/>
      <c r="AP24" s="9" t="s">
        <v>268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63.75" hidden="true" customHeight="true" outlineLevel="0" collapsed="false">
      <c r="A25" s="6" t="s">
        <v>1</v>
      </c>
      <c r="B25" s="6" t="n">
        <v>11</v>
      </c>
      <c r="C25" s="6" t="n">
        <v>108250683</v>
      </c>
      <c r="D25" s="6" t="s">
        <v>246</v>
      </c>
      <c r="E25" s="6" t="s">
        <v>123</v>
      </c>
      <c r="F25" s="6" t="s">
        <v>247</v>
      </c>
      <c r="G25" s="6" t="s">
        <v>123</v>
      </c>
      <c r="H25" s="6" t="s">
        <v>269</v>
      </c>
      <c r="I25" s="6"/>
      <c r="J25" s="6" t="s">
        <v>123</v>
      </c>
      <c r="K25" s="6" t="s">
        <v>127</v>
      </c>
      <c r="L25" s="6" t="s">
        <v>270</v>
      </c>
      <c r="M25" s="6" t="n">
        <v>2130</v>
      </c>
      <c r="N25" s="7" t="n">
        <v>0.194</v>
      </c>
      <c r="O25" s="6" t="s">
        <v>129</v>
      </c>
      <c r="P25" s="10" t="n">
        <f aca="false">HYPERLINK("https://www.ncbi.nlm.nih.gov/clinvar/variation/4283446", 4283446)</f>
        <v>4283446</v>
      </c>
      <c r="Q25" s="6" t="s">
        <v>123</v>
      </c>
      <c r="R25" s="6" t="s">
        <v>123</v>
      </c>
      <c r="S25" s="6" t="s">
        <v>123</v>
      </c>
      <c r="T25" s="6" t="s">
        <v>123</v>
      </c>
      <c r="U25" s="6" t="s">
        <v>123</v>
      </c>
      <c r="V25" s="6" t="s">
        <v>123</v>
      </c>
      <c r="W25" s="6" t="s">
        <v>123</v>
      </c>
      <c r="X25" s="6" t="s">
        <v>123</v>
      </c>
      <c r="Y25" s="6" t="s">
        <v>123</v>
      </c>
      <c r="Z25" s="6" t="s">
        <v>123</v>
      </c>
      <c r="AA25" s="6" t="s">
        <v>123</v>
      </c>
      <c r="AB25" s="6" t="s">
        <v>123</v>
      </c>
      <c r="AC25" s="6" t="s">
        <v>123</v>
      </c>
      <c r="AD25" s="6" t="s">
        <v>123</v>
      </c>
      <c r="AE25" s="6" t="s">
        <v>124</v>
      </c>
      <c r="AF25" s="6" t="s">
        <v>123</v>
      </c>
      <c r="AG25" s="6" t="s">
        <v>123</v>
      </c>
      <c r="AH25" s="6" t="s">
        <v>123</v>
      </c>
      <c r="AI25" s="6" t="s">
        <v>123</v>
      </c>
      <c r="AJ25" s="8"/>
      <c r="AK25" s="8"/>
      <c r="AL25" s="8"/>
      <c r="AM25" s="8"/>
      <c r="AN25" s="8"/>
      <c r="AO25" s="8"/>
      <c r="AP25" s="9" t="s">
        <v>271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63.75" hidden="true" customHeight="true" outlineLevel="0" collapsed="false">
      <c r="A26" s="6" t="s">
        <v>1</v>
      </c>
      <c r="B26" s="6" t="n">
        <v>11</v>
      </c>
      <c r="C26" s="6" t="n">
        <v>108250683</v>
      </c>
      <c r="D26" s="6" t="s">
        <v>246</v>
      </c>
      <c r="E26" s="6" t="s">
        <v>123</v>
      </c>
      <c r="F26" s="6" t="s">
        <v>247</v>
      </c>
      <c r="G26" s="6" t="s">
        <v>123</v>
      </c>
      <c r="H26" s="6" t="s">
        <v>272</v>
      </c>
      <c r="I26" s="6"/>
      <c r="J26" s="6" t="s">
        <v>123</v>
      </c>
      <c r="K26" s="6" t="s">
        <v>127</v>
      </c>
      <c r="L26" s="6" t="s">
        <v>273</v>
      </c>
      <c r="M26" s="6" t="n">
        <v>2130</v>
      </c>
      <c r="N26" s="7" t="n">
        <v>0.315</v>
      </c>
      <c r="O26" s="6" t="s">
        <v>129</v>
      </c>
      <c r="P26" s="6" t="s">
        <v>123</v>
      </c>
      <c r="Q26" s="6" t="s">
        <v>123</v>
      </c>
      <c r="R26" s="6" t="s">
        <v>123</v>
      </c>
      <c r="S26" s="6" t="s">
        <v>123</v>
      </c>
      <c r="T26" s="6" t="s">
        <v>123</v>
      </c>
      <c r="U26" s="10" t="n">
        <f aca="false">HYPERLINK("https://gnomad.broadinstitute.org/variant/11-108250683-CTTTT-C?dataset=gnomad_r4", 0.0000161439)</f>
        <v>1.61439E-005</v>
      </c>
      <c r="V26" s="6" t="n">
        <v>0.01</v>
      </c>
      <c r="W26" s="6" t="n">
        <v>0.11</v>
      </c>
      <c r="X26" s="6" t="n">
        <v>0</v>
      </c>
      <c r="Y26" s="6" t="n">
        <v>0</v>
      </c>
      <c r="Z26" s="6" t="n">
        <v>25</v>
      </c>
      <c r="AA26" s="6" t="n">
        <v>18</v>
      </c>
      <c r="AB26" s="6" t="n">
        <v>18</v>
      </c>
      <c r="AC26" s="6" t="n">
        <v>47</v>
      </c>
      <c r="AD26" s="6" t="n">
        <v>0.435</v>
      </c>
      <c r="AE26" s="6" t="s">
        <v>124</v>
      </c>
      <c r="AF26" s="6" t="s">
        <v>123</v>
      </c>
      <c r="AG26" s="6" t="s">
        <v>123</v>
      </c>
      <c r="AH26" s="6" t="s">
        <v>123</v>
      </c>
      <c r="AI26" s="6" t="s">
        <v>123</v>
      </c>
      <c r="AJ26" s="8"/>
      <c r="AK26" s="8"/>
      <c r="AL26" s="8"/>
      <c r="AM26" s="8"/>
      <c r="AN26" s="8"/>
      <c r="AO26" s="8"/>
      <c r="AP26" s="9" t="s">
        <v>274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76.5" hidden="true" customHeight="true" outlineLevel="0" collapsed="false">
      <c r="A27" s="6" t="s">
        <v>1</v>
      </c>
      <c r="B27" s="6" t="n">
        <v>11</v>
      </c>
      <c r="C27" s="6" t="n">
        <v>108250683</v>
      </c>
      <c r="D27" s="6" t="s">
        <v>246</v>
      </c>
      <c r="E27" s="6" t="s">
        <v>123</v>
      </c>
      <c r="F27" s="6" t="s">
        <v>247</v>
      </c>
      <c r="G27" s="6" t="s">
        <v>123</v>
      </c>
      <c r="H27" s="6" t="s">
        <v>275</v>
      </c>
      <c r="I27" s="6"/>
      <c r="J27" s="6" t="s">
        <v>123</v>
      </c>
      <c r="K27" s="6" t="s">
        <v>127</v>
      </c>
      <c r="L27" s="6" t="s">
        <v>276</v>
      </c>
      <c r="M27" s="6" t="n">
        <v>2130</v>
      </c>
      <c r="N27" s="7" t="n">
        <v>0.208</v>
      </c>
      <c r="O27" s="6" t="s">
        <v>129</v>
      </c>
      <c r="P27" s="10" t="n">
        <f aca="false">HYPERLINK("https://www.ncbi.nlm.nih.gov/clinvar/variation/3962245", 3962245)</f>
        <v>3962245</v>
      </c>
      <c r="Q27" s="6" t="s">
        <v>215</v>
      </c>
      <c r="R27" s="6" t="s">
        <v>254</v>
      </c>
      <c r="S27" s="10" t="str">
        <f aca="false">HYPERLINK("https://www.ncbi.nlm.nih.gov/snp/rs34325032", "rs34325032")</f>
        <v>rs34325032</v>
      </c>
      <c r="T27" s="10" t="n">
        <f aca="false">HYPERLINK("https://gnomad.broadinstitute.org/variant/11-108250683-CTTT-C?dataset=gnomad_r4", 0.0000281211)</f>
        <v>2.81211E-005</v>
      </c>
      <c r="U27" s="10" t="n">
        <f aca="false">HYPERLINK("https://gnomad.broadinstitute.org/variant/11-108250683-CTTT-C?dataset=gnomad_r4", 0.000294322)</f>
        <v>0.000294322</v>
      </c>
      <c r="V27" s="6" t="n">
        <v>0.01</v>
      </c>
      <c r="W27" s="6" t="n">
        <v>0.07</v>
      </c>
      <c r="X27" s="6" t="n">
        <v>0</v>
      </c>
      <c r="Y27" s="6" t="n">
        <v>0</v>
      </c>
      <c r="Z27" s="6" t="n">
        <v>25</v>
      </c>
      <c r="AA27" s="6" t="n">
        <v>18</v>
      </c>
      <c r="AB27" s="6" t="n">
        <v>18</v>
      </c>
      <c r="AC27" s="6" t="n">
        <v>47</v>
      </c>
      <c r="AD27" s="6" t="n">
        <v>0.264</v>
      </c>
      <c r="AE27" s="6" t="s">
        <v>124</v>
      </c>
      <c r="AF27" s="6" t="s">
        <v>123</v>
      </c>
      <c r="AG27" s="6" t="s">
        <v>123</v>
      </c>
      <c r="AH27" s="6" t="s">
        <v>123</v>
      </c>
      <c r="AI27" s="6" t="s">
        <v>123</v>
      </c>
      <c r="AJ27" s="8"/>
      <c r="AK27" s="8"/>
      <c r="AL27" s="8"/>
      <c r="AM27" s="8"/>
      <c r="AN27" s="8"/>
      <c r="AO27" s="8"/>
      <c r="AP27" s="9" t="s">
        <v>277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63.75" hidden="true" customHeight="true" outlineLevel="0" collapsed="false">
      <c r="A28" s="6" t="s">
        <v>1</v>
      </c>
      <c r="B28" s="6" t="n">
        <v>11</v>
      </c>
      <c r="C28" s="6" t="n">
        <v>108271228</v>
      </c>
      <c r="D28" s="6" t="s">
        <v>246</v>
      </c>
      <c r="E28" s="6" t="s">
        <v>123</v>
      </c>
      <c r="F28" s="6" t="s">
        <v>247</v>
      </c>
      <c r="G28" s="6" t="s">
        <v>123</v>
      </c>
      <c r="H28" s="6" t="s">
        <v>278</v>
      </c>
      <c r="I28" s="6"/>
      <c r="J28" s="6" t="s">
        <v>123</v>
      </c>
      <c r="K28" s="6" t="s">
        <v>127</v>
      </c>
      <c r="L28" s="6" t="s">
        <v>279</v>
      </c>
      <c r="M28" s="6" t="n">
        <v>3510</v>
      </c>
      <c r="N28" s="7" t="n">
        <v>0.207</v>
      </c>
      <c r="O28" s="6" t="s">
        <v>129</v>
      </c>
      <c r="P28" s="6" t="s">
        <v>123</v>
      </c>
      <c r="Q28" s="6" t="s">
        <v>123</v>
      </c>
      <c r="R28" s="6" t="s">
        <v>123</v>
      </c>
      <c r="S28" s="6" t="s">
        <v>123</v>
      </c>
      <c r="T28" s="6" t="s">
        <v>123</v>
      </c>
      <c r="U28" s="10" t="n">
        <f aca="false">HYPERLINK("https://gnomad.broadinstitute.org/variant/11-108271228-CTTTT-C?dataset=gnomad_r4", 0.00000913426)</f>
        <v>9.13426E-006</v>
      </c>
      <c r="V28" s="6" t="n">
        <v>0.06</v>
      </c>
      <c r="W28" s="6" t="n">
        <v>0.02</v>
      </c>
      <c r="X28" s="6" t="n">
        <v>0</v>
      </c>
      <c r="Y28" s="6" t="n">
        <v>0</v>
      </c>
      <c r="Z28" s="6" t="n">
        <v>-5</v>
      </c>
      <c r="AA28" s="6" t="n">
        <v>23</v>
      </c>
      <c r="AB28" s="6" t="n">
        <v>49</v>
      </c>
      <c r="AC28" s="6" t="n">
        <v>37</v>
      </c>
      <c r="AD28" s="6" t="n">
        <v>1.636</v>
      </c>
      <c r="AE28" s="6" t="s">
        <v>124</v>
      </c>
      <c r="AF28" s="6" t="s">
        <v>123</v>
      </c>
      <c r="AG28" s="6" t="s">
        <v>123</v>
      </c>
      <c r="AH28" s="6" t="s">
        <v>123</v>
      </c>
      <c r="AI28" s="6" t="s">
        <v>123</v>
      </c>
      <c r="AJ28" s="8"/>
      <c r="AK28" s="8"/>
      <c r="AL28" s="8"/>
      <c r="AM28" s="8"/>
      <c r="AN28" s="8"/>
      <c r="AO28" s="8"/>
      <c r="AP28" s="9" t="s">
        <v>280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76.5" hidden="true" customHeight="true" outlineLevel="0" collapsed="false">
      <c r="A29" s="6" t="s">
        <v>1</v>
      </c>
      <c r="B29" s="6" t="n">
        <v>11</v>
      </c>
      <c r="C29" s="6" t="n">
        <v>108271228</v>
      </c>
      <c r="D29" s="6" t="s">
        <v>246</v>
      </c>
      <c r="E29" s="6" t="s">
        <v>123</v>
      </c>
      <c r="F29" s="6" t="s">
        <v>247</v>
      </c>
      <c r="G29" s="6" t="s">
        <v>123</v>
      </c>
      <c r="H29" s="6" t="s">
        <v>281</v>
      </c>
      <c r="I29" s="6"/>
      <c r="J29" s="6" t="s">
        <v>123</v>
      </c>
      <c r="K29" s="6" t="s">
        <v>127</v>
      </c>
      <c r="L29" s="6" t="s">
        <v>282</v>
      </c>
      <c r="M29" s="6" t="n">
        <v>3510</v>
      </c>
      <c r="N29" s="7" t="n">
        <v>0.318</v>
      </c>
      <c r="O29" s="6" t="s">
        <v>129</v>
      </c>
      <c r="P29" s="10" t="n">
        <f aca="false">HYPERLINK("https://www.ncbi.nlm.nih.gov/clinvar/variation/490502", 490502)</f>
        <v>490502</v>
      </c>
      <c r="Q29" s="6" t="s">
        <v>283</v>
      </c>
      <c r="R29" s="6" t="s">
        <v>284</v>
      </c>
      <c r="S29" s="10" t="str">
        <f aca="false">HYPERLINK("https://www.ncbi.nlm.nih.gov/snp/rs373881770", "rs373881770")</f>
        <v>rs373881770</v>
      </c>
      <c r="T29" s="10" t="n">
        <f aca="false">HYPERLINK("https://gnomad.broadinstitute.org/variant/11-108271228-CTTT-C?dataset=gnomad_r4", 0.0000140353)</f>
        <v>1.40353E-005</v>
      </c>
      <c r="U29" s="10" t="n">
        <f aca="false">HYPERLINK("https://gnomad.broadinstitute.org/variant/11-108271228-CTTT-C?dataset=gnomad_r4", 0.0000704717)</f>
        <v>7.04717E-005</v>
      </c>
      <c r="V29" s="6" t="n">
        <v>0.03</v>
      </c>
      <c r="W29" s="6" t="n">
        <v>0.02</v>
      </c>
      <c r="X29" s="6" t="n">
        <v>0</v>
      </c>
      <c r="Y29" s="6" t="n">
        <v>0</v>
      </c>
      <c r="Z29" s="6" t="n">
        <v>-5</v>
      </c>
      <c r="AA29" s="6" t="n">
        <v>23</v>
      </c>
      <c r="AB29" s="6" t="n">
        <v>-7</v>
      </c>
      <c r="AC29" s="6" t="n">
        <v>45</v>
      </c>
      <c r="AD29" s="6" t="n">
        <v>1.779</v>
      </c>
      <c r="AE29" s="6" t="s">
        <v>124</v>
      </c>
      <c r="AF29" s="6" t="s">
        <v>123</v>
      </c>
      <c r="AG29" s="6" t="s">
        <v>123</v>
      </c>
      <c r="AH29" s="6" t="s">
        <v>123</v>
      </c>
      <c r="AI29" s="6" t="s">
        <v>123</v>
      </c>
      <c r="AJ29" s="8"/>
      <c r="AK29" s="8"/>
      <c r="AL29" s="8"/>
      <c r="AM29" s="8"/>
      <c r="AN29" s="8"/>
      <c r="AO29" s="8"/>
      <c r="AP29" s="9" t="s">
        <v>285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63.75" hidden="true" customHeight="true" outlineLevel="0" collapsed="false">
      <c r="A30" s="6" t="s">
        <v>1</v>
      </c>
      <c r="B30" s="6" t="n">
        <v>11</v>
      </c>
      <c r="C30" s="6" t="n">
        <v>108279586</v>
      </c>
      <c r="D30" s="6" t="s">
        <v>246</v>
      </c>
      <c r="E30" s="6" t="s">
        <v>123</v>
      </c>
      <c r="F30" s="6" t="s">
        <v>247</v>
      </c>
      <c r="G30" s="6" t="s">
        <v>286</v>
      </c>
      <c r="H30" s="6" t="s">
        <v>287</v>
      </c>
      <c r="I30" s="6" t="s">
        <v>288</v>
      </c>
      <c r="J30" s="6" t="s">
        <v>289</v>
      </c>
      <c r="K30" s="6" t="s">
        <v>120</v>
      </c>
      <c r="L30" s="6" t="s">
        <v>290</v>
      </c>
      <c r="M30" s="6" t="n">
        <v>3263</v>
      </c>
      <c r="N30" s="7" t="n">
        <v>0.0967</v>
      </c>
      <c r="O30" s="6" t="s">
        <v>122</v>
      </c>
      <c r="P30" s="10" t="n">
        <f aca="false">HYPERLINK("https://www.ncbi.nlm.nih.gov/clinvar/variation/3662097", 3662097)</f>
        <v>3662097</v>
      </c>
      <c r="Q30" s="6" t="s">
        <v>253</v>
      </c>
      <c r="R30" s="6" t="s">
        <v>291</v>
      </c>
      <c r="S30" s="6" t="s">
        <v>123</v>
      </c>
      <c r="T30" s="6" t="s">
        <v>123</v>
      </c>
      <c r="U30" s="6" t="s">
        <v>123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22</v>
      </c>
      <c r="AA30" s="6" t="n">
        <v>-37</v>
      </c>
      <c r="AB30" s="6" t="n">
        <v>32</v>
      </c>
      <c r="AC30" s="6" t="n">
        <v>22</v>
      </c>
      <c r="AD30" s="6" t="n">
        <v>12.24</v>
      </c>
      <c r="AE30" s="6" t="s">
        <v>124</v>
      </c>
      <c r="AF30" s="6" t="s">
        <v>123</v>
      </c>
      <c r="AG30" s="6" t="s">
        <v>123</v>
      </c>
      <c r="AH30" s="6" t="s">
        <v>123</v>
      </c>
      <c r="AI30" s="6" t="s">
        <v>123</v>
      </c>
      <c r="AJ30" s="8"/>
      <c r="AK30" s="8"/>
      <c r="AL30" s="8"/>
      <c r="AM30" s="8"/>
      <c r="AN30" s="8"/>
      <c r="AO30" s="8"/>
      <c r="AP30" s="9" t="s">
        <v>292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76.5" hidden="true" customHeight="true" outlineLevel="0" collapsed="false">
      <c r="A31" s="6" t="s">
        <v>1</v>
      </c>
      <c r="B31" s="6" t="n">
        <v>11</v>
      </c>
      <c r="C31" s="6" t="n">
        <v>108280980</v>
      </c>
      <c r="D31" s="6" t="s">
        <v>246</v>
      </c>
      <c r="E31" s="6" t="s">
        <v>123</v>
      </c>
      <c r="F31" s="6" t="s">
        <v>247</v>
      </c>
      <c r="G31" s="6" t="s">
        <v>123</v>
      </c>
      <c r="H31" s="6" t="s">
        <v>293</v>
      </c>
      <c r="I31" s="6"/>
      <c r="J31" s="6" t="s">
        <v>123</v>
      </c>
      <c r="K31" s="6" t="s">
        <v>141</v>
      </c>
      <c r="L31" s="6" t="s">
        <v>294</v>
      </c>
      <c r="M31" s="6" t="n">
        <v>2358</v>
      </c>
      <c r="N31" s="7" t="n">
        <v>0.0396</v>
      </c>
      <c r="O31" s="6" t="s">
        <v>129</v>
      </c>
      <c r="P31" s="10" t="n">
        <f aca="false">HYPERLINK("https://www.ncbi.nlm.nih.gov/clinvar/variation/490530", 490530)</f>
        <v>490530</v>
      </c>
      <c r="Q31" s="6" t="s">
        <v>283</v>
      </c>
      <c r="R31" s="6" t="s">
        <v>295</v>
      </c>
      <c r="S31" s="10" t="str">
        <f aca="false">HYPERLINK("https://www.ncbi.nlm.nih.gov/snp/rs1555091084", "rs1555091084")</f>
        <v>rs1555091084</v>
      </c>
      <c r="T31" s="10" t="n">
        <f aca="false">HYPERLINK("https://gnomad.broadinstitute.org/variant/11-108280980-T-TTA?dataset=gnomad_r4", 0.00021074)</f>
        <v>0.00021074</v>
      </c>
      <c r="U31" s="10" t="n">
        <f aca="false">HYPERLINK("https://gnomad.broadinstitute.org/variant/11-108280980-T-TTA?dataset=gnomad_r4", 0.000570048)</f>
        <v>0.000570048</v>
      </c>
      <c r="V31" s="6" t="s">
        <v>123</v>
      </c>
      <c r="W31" s="6" t="s">
        <v>123</v>
      </c>
      <c r="X31" s="6" t="s">
        <v>123</v>
      </c>
      <c r="Y31" s="6" t="s">
        <v>123</v>
      </c>
      <c r="Z31" s="6" t="s">
        <v>123</v>
      </c>
      <c r="AA31" s="6" t="s">
        <v>123</v>
      </c>
      <c r="AB31" s="6" t="s">
        <v>123</v>
      </c>
      <c r="AC31" s="6" t="s">
        <v>123</v>
      </c>
      <c r="AD31" s="6" t="n">
        <v>5.346</v>
      </c>
      <c r="AE31" s="6" t="s">
        <v>124</v>
      </c>
      <c r="AF31" s="6" t="s">
        <v>123</v>
      </c>
      <c r="AG31" s="6" t="s">
        <v>123</v>
      </c>
      <c r="AH31" s="6" t="s">
        <v>123</v>
      </c>
      <c r="AI31" s="6" t="s">
        <v>123</v>
      </c>
      <c r="AJ31" s="8"/>
      <c r="AK31" s="8"/>
      <c r="AL31" s="8"/>
      <c r="AM31" s="8"/>
      <c r="AN31" s="8"/>
      <c r="AO31" s="8"/>
      <c r="AP31" s="9" t="s">
        <v>296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63.75" hidden="true" customHeight="true" outlineLevel="0" collapsed="false">
      <c r="A32" s="6" t="s">
        <v>1</v>
      </c>
      <c r="B32" s="6" t="n">
        <v>11</v>
      </c>
      <c r="C32" s="6" t="n">
        <v>108310310</v>
      </c>
      <c r="D32" s="6" t="s">
        <v>246</v>
      </c>
      <c r="E32" s="6" t="s">
        <v>123</v>
      </c>
      <c r="F32" s="6" t="s">
        <v>247</v>
      </c>
      <c r="G32" s="6" t="s">
        <v>297</v>
      </c>
      <c r="H32" s="6" t="s">
        <v>298</v>
      </c>
      <c r="I32" s="6" t="s">
        <v>299</v>
      </c>
      <c r="J32" s="6" t="s">
        <v>300</v>
      </c>
      <c r="K32" s="6" t="s">
        <v>301</v>
      </c>
      <c r="L32" s="6" t="s">
        <v>302</v>
      </c>
      <c r="M32" s="6" t="n">
        <v>2648</v>
      </c>
      <c r="N32" s="7" t="n">
        <v>0.111</v>
      </c>
      <c r="O32" s="6" t="s">
        <v>122</v>
      </c>
      <c r="P32" s="10" t="n">
        <f aca="false">HYPERLINK("https://www.ncbi.nlm.nih.gov/clinvar/variation/3147981", 3147981)</f>
        <v>3147981</v>
      </c>
      <c r="Q32" s="6" t="s">
        <v>165</v>
      </c>
      <c r="R32" s="6" t="s">
        <v>303</v>
      </c>
      <c r="S32" s="6" t="s">
        <v>123</v>
      </c>
      <c r="T32" s="6" t="s">
        <v>123</v>
      </c>
      <c r="U32" s="6" t="s">
        <v>123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-37</v>
      </c>
      <c r="AA32" s="6" t="n">
        <v>1</v>
      </c>
      <c r="AB32" s="6" t="n">
        <v>-17</v>
      </c>
      <c r="AC32" s="6" t="n">
        <v>5</v>
      </c>
      <c r="AD32" s="6" t="s">
        <v>123</v>
      </c>
      <c r="AE32" s="6" t="s">
        <v>124</v>
      </c>
      <c r="AF32" s="6" t="s">
        <v>123</v>
      </c>
      <c r="AG32" s="6" t="s">
        <v>123</v>
      </c>
      <c r="AH32" s="6" t="s">
        <v>123</v>
      </c>
      <c r="AI32" s="6" t="s">
        <v>123</v>
      </c>
      <c r="AJ32" s="8"/>
      <c r="AK32" s="8"/>
      <c r="AL32" s="8"/>
      <c r="AM32" s="8"/>
      <c r="AN32" s="8"/>
      <c r="AO32" s="8"/>
      <c r="AP32" s="9" t="s">
        <v>304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76.5" hidden="true" customHeight="true" outlineLevel="0" collapsed="false">
      <c r="A33" s="6" t="s">
        <v>1</v>
      </c>
      <c r="B33" s="6" t="n">
        <v>11</v>
      </c>
      <c r="C33" s="6" t="n">
        <v>108317539</v>
      </c>
      <c r="D33" s="6" t="s">
        <v>246</v>
      </c>
      <c r="E33" s="6" t="s">
        <v>123</v>
      </c>
      <c r="F33" s="6" t="s">
        <v>247</v>
      </c>
      <c r="G33" s="6" t="s">
        <v>123</v>
      </c>
      <c r="H33" s="6" t="s">
        <v>305</v>
      </c>
      <c r="I33" s="6"/>
      <c r="J33" s="6" t="s">
        <v>123</v>
      </c>
      <c r="K33" s="6" t="s">
        <v>141</v>
      </c>
      <c r="L33" s="6" t="s">
        <v>306</v>
      </c>
      <c r="M33" s="6" t="n">
        <v>2020</v>
      </c>
      <c r="N33" s="7" t="n">
        <v>0.51</v>
      </c>
      <c r="O33" s="6" t="s">
        <v>179</v>
      </c>
      <c r="P33" s="10" t="n">
        <f aca="false">HYPERLINK("https://www.ncbi.nlm.nih.gov/clinvar/variation/2442804", 2442804)</f>
        <v>2442804</v>
      </c>
      <c r="Q33" s="6" t="s">
        <v>215</v>
      </c>
      <c r="R33" s="6" t="s">
        <v>307</v>
      </c>
      <c r="S33" s="10" t="str">
        <f aca="false">HYPERLINK("https://www.ncbi.nlm.nih.gov/snp/rs58978479", "rs58978479")</f>
        <v>rs58978479</v>
      </c>
      <c r="T33" s="10" t="n">
        <f aca="false">HYPERLINK("https://gnomad.broadinstitute.org/variant/11-108317539-ATT-A?dataset=gnomad_r4", 0.00000799105)</f>
        <v>7.99105E-006</v>
      </c>
      <c r="U33" s="10" t="n">
        <f aca="false">HYPERLINK("https://gnomad.broadinstitute.org/variant/11-108317539-ATT-A?dataset=gnomad_r4", 0.00127363)</f>
        <v>0.00127363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-17</v>
      </c>
      <c r="AA33" s="6" t="n">
        <v>-40</v>
      </c>
      <c r="AB33" s="6" t="n">
        <v>-23</v>
      </c>
      <c r="AC33" s="6" t="n">
        <v>-18</v>
      </c>
      <c r="AD33" s="6" t="n">
        <v>0.796</v>
      </c>
      <c r="AE33" s="6" t="s">
        <v>124</v>
      </c>
      <c r="AF33" s="6" t="s">
        <v>123</v>
      </c>
      <c r="AG33" s="6" t="s">
        <v>123</v>
      </c>
      <c r="AH33" s="6" t="s">
        <v>123</v>
      </c>
      <c r="AI33" s="6" t="s">
        <v>123</v>
      </c>
      <c r="AJ33" s="8"/>
      <c r="AK33" s="8"/>
      <c r="AL33" s="8"/>
      <c r="AM33" s="8"/>
      <c r="AN33" s="8"/>
      <c r="AO33" s="8"/>
      <c r="AP33" s="9" t="s">
        <v>308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63.75" hidden="true" customHeight="true" outlineLevel="0" collapsed="false">
      <c r="A34" s="6" t="s">
        <v>1</v>
      </c>
      <c r="B34" s="6" t="n">
        <v>11</v>
      </c>
      <c r="C34" s="6" t="n">
        <v>108317539</v>
      </c>
      <c r="D34" s="6" t="s">
        <v>246</v>
      </c>
      <c r="E34" s="6" t="s">
        <v>123</v>
      </c>
      <c r="F34" s="6" t="s">
        <v>247</v>
      </c>
      <c r="G34" s="6" t="s">
        <v>123</v>
      </c>
      <c r="H34" s="6" t="s">
        <v>309</v>
      </c>
      <c r="I34" s="6"/>
      <c r="J34" s="6" t="s">
        <v>123</v>
      </c>
      <c r="K34" s="6" t="s">
        <v>141</v>
      </c>
      <c r="L34" s="6" t="s">
        <v>310</v>
      </c>
      <c r="M34" s="6" t="n">
        <v>2020</v>
      </c>
      <c r="N34" s="7" t="n">
        <v>0.15</v>
      </c>
      <c r="O34" s="6" t="s">
        <v>179</v>
      </c>
      <c r="P34" s="6" t="s">
        <v>123</v>
      </c>
      <c r="Q34" s="6" t="s">
        <v>123</v>
      </c>
      <c r="R34" s="6" t="s">
        <v>123</v>
      </c>
      <c r="S34" s="6" t="s">
        <v>123</v>
      </c>
      <c r="T34" s="6" t="s">
        <v>123</v>
      </c>
      <c r="U34" s="10" t="n">
        <f aca="false">HYPERLINK("https://gnomad.broadinstitute.org/variant/11-108317539-ATTT-A?dataset=gnomad_r4", 0.0000167702)</f>
        <v>1.67702E-005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-40</v>
      </c>
      <c r="AA34" s="6" t="n">
        <v>-17</v>
      </c>
      <c r="AB34" s="6" t="n">
        <v>-18</v>
      </c>
      <c r="AC34" s="6" t="n">
        <v>-14</v>
      </c>
      <c r="AD34" s="6" t="n">
        <v>1.884</v>
      </c>
      <c r="AE34" s="6" t="s">
        <v>124</v>
      </c>
      <c r="AF34" s="6" t="s">
        <v>123</v>
      </c>
      <c r="AG34" s="6" t="s">
        <v>123</v>
      </c>
      <c r="AH34" s="6" t="s">
        <v>123</v>
      </c>
      <c r="AI34" s="6" t="s">
        <v>123</v>
      </c>
      <c r="AJ34" s="8"/>
      <c r="AK34" s="8"/>
      <c r="AL34" s="8"/>
      <c r="AM34" s="8"/>
      <c r="AN34" s="8"/>
      <c r="AO34" s="8"/>
      <c r="AP34" s="9" t="s">
        <v>311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76.5" hidden="true" customHeight="true" outlineLevel="0" collapsed="false">
      <c r="A35" s="6" t="s">
        <v>1</v>
      </c>
      <c r="B35" s="6" t="n">
        <v>11</v>
      </c>
      <c r="C35" s="6" t="n">
        <v>108331427</v>
      </c>
      <c r="D35" s="6" t="s">
        <v>246</v>
      </c>
      <c r="E35" s="6" t="s">
        <v>123</v>
      </c>
      <c r="F35" s="6" t="s">
        <v>247</v>
      </c>
      <c r="G35" s="6" t="s">
        <v>123</v>
      </c>
      <c r="H35" s="6" t="s">
        <v>312</v>
      </c>
      <c r="I35" s="6"/>
      <c r="J35" s="6" t="s">
        <v>123</v>
      </c>
      <c r="K35" s="6" t="s">
        <v>141</v>
      </c>
      <c r="L35" s="6" t="s">
        <v>313</v>
      </c>
      <c r="M35" s="6" t="n">
        <v>2044</v>
      </c>
      <c r="N35" s="7" t="n">
        <v>0.175</v>
      </c>
      <c r="O35" s="6" t="s">
        <v>129</v>
      </c>
      <c r="P35" s="10" t="n">
        <f aca="false">HYPERLINK("https://www.ncbi.nlm.nih.gov/clinvar/variation/495395", 495395)</f>
        <v>495395</v>
      </c>
      <c r="Q35" s="6" t="s">
        <v>283</v>
      </c>
      <c r="R35" s="6" t="s">
        <v>314</v>
      </c>
      <c r="S35" s="10" t="str">
        <f aca="false">HYPERLINK("https://www.ncbi.nlm.nih.gov/snp/rs573494809", "rs573494809")</f>
        <v>rs573494809</v>
      </c>
      <c r="T35" s="10" t="n">
        <f aca="false">HYPERLINK("https://gnomad.broadinstitute.org/variant/11-108331427-CT-C?dataset=gnomad_r4", 0.00000661638)</f>
        <v>6.61638E-006</v>
      </c>
      <c r="U35" s="10" t="n">
        <f aca="false">HYPERLINK("https://gnomad.broadinstitute.org/variant/11-108331427-CT-C?dataset=gnomad_r4", 0.000029027)</f>
        <v>2.9027E-005</v>
      </c>
      <c r="V35" s="6" t="n">
        <v>0.04</v>
      </c>
      <c r="W35" s="6" t="n">
        <v>0</v>
      </c>
      <c r="X35" s="6" t="n">
        <v>0</v>
      </c>
      <c r="Y35" s="6" t="n">
        <v>0</v>
      </c>
      <c r="Z35" s="6" t="n">
        <v>21</v>
      </c>
      <c r="AA35" s="6" t="n">
        <v>19</v>
      </c>
      <c r="AB35" s="6" t="n">
        <v>20</v>
      </c>
      <c r="AC35" s="6" t="n">
        <v>21</v>
      </c>
      <c r="AD35" s="6" t="n">
        <v>3.12</v>
      </c>
      <c r="AE35" s="6" t="s">
        <v>124</v>
      </c>
      <c r="AF35" s="6" t="s">
        <v>123</v>
      </c>
      <c r="AG35" s="6" t="s">
        <v>123</v>
      </c>
      <c r="AH35" s="6" t="s">
        <v>123</v>
      </c>
      <c r="AI35" s="6" t="s">
        <v>123</v>
      </c>
      <c r="AJ35" s="8"/>
      <c r="AK35" s="8"/>
      <c r="AL35" s="8"/>
      <c r="AM35" s="8"/>
      <c r="AN35" s="8"/>
      <c r="AO35" s="8"/>
      <c r="AP35" s="9" t="s">
        <v>315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76.5" hidden="true" customHeight="true" outlineLevel="0" collapsed="false">
      <c r="A36" s="6" t="s">
        <v>1</v>
      </c>
      <c r="B36" s="6" t="s">
        <v>145</v>
      </c>
      <c r="C36" s="6" t="n">
        <v>77599826</v>
      </c>
      <c r="D36" s="6" t="s">
        <v>316</v>
      </c>
      <c r="E36" s="6" t="s">
        <v>6</v>
      </c>
      <c r="F36" s="6" t="s">
        <v>317</v>
      </c>
      <c r="G36" s="6" t="s">
        <v>123</v>
      </c>
      <c r="H36" s="6" t="s">
        <v>318</v>
      </c>
      <c r="I36" s="6"/>
      <c r="J36" s="6" t="s">
        <v>123</v>
      </c>
      <c r="K36" s="6" t="s">
        <v>127</v>
      </c>
      <c r="L36" s="6" t="s">
        <v>319</v>
      </c>
      <c r="M36" s="6" t="n">
        <v>2057</v>
      </c>
      <c r="N36" s="7" t="n">
        <v>0.35</v>
      </c>
      <c r="O36" s="6" t="s">
        <v>129</v>
      </c>
      <c r="P36" s="10" t="n">
        <f aca="false">HYPERLINK("https://www.ncbi.nlm.nih.gov/clinvar/variation/698963", 698963)</f>
        <v>698963</v>
      </c>
      <c r="Q36" s="6" t="s">
        <v>283</v>
      </c>
      <c r="R36" s="6" t="s">
        <v>320</v>
      </c>
      <c r="S36" s="10" t="str">
        <f aca="false">HYPERLINK("https://www.ncbi.nlm.nih.gov/snp/rs781820607", "rs781820607")</f>
        <v>rs781820607</v>
      </c>
      <c r="T36" s="10" t="n">
        <f aca="false">HYPERLINK("https://gnomad.broadinstitute.org/variant/X-77599826-GA-G?dataset=gnomad_r4", 0.0000371613)</f>
        <v>3.71613E-005</v>
      </c>
      <c r="U36" s="10" t="n">
        <f aca="false">HYPERLINK("https://gnomad.broadinstitute.org/variant/X-77599826-GA-G?dataset=gnomad_r4", 0.0000736364)</f>
        <v>7.36364E-005</v>
      </c>
      <c r="V36" s="6" t="n">
        <v>0</v>
      </c>
      <c r="W36" s="6" t="n">
        <v>0.04</v>
      </c>
      <c r="X36" s="6" t="n">
        <v>0</v>
      </c>
      <c r="Y36" s="6" t="n">
        <v>0</v>
      </c>
      <c r="Z36" s="6" t="n">
        <v>-26</v>
      </c>
      <c r="AA36" s="6" t="n">
        <v>-6</v>
      </c>
      <c r="AB36" s="6" t="n">
        <v>-6</v>
      </c>
      <c r="AC36" s="6" t="n">
        <v>43</v>
      </c>
      <c r="AD36" s="6" t="n">
        <v>1.752</v>
      </c>
      <c r="AE36" s="6" t="s">
        <v>124</v>
      </c>
      <c r="AF36" s="6" t="s">
        <v>123</v>
      </c>
      <c r="AG36" s="6" t="s">
        <v>123</v>
      </c>
      <c r="AH36" s="6" t="s">
        <v>123</v>
      </c>
      <c r="AI36" s="6" t="s">
        <v>123</v>
      </c>
      <c r="AJ36" s="8"/>
      <c r="AK36" s="8"/>
      <c r="AL36" s="8"/>
      <c r="AM36" s="8"/>
      <c r="AN36" s="8"/>
      <c r="AO36" s="8"/>
      <c r="AP36" s="9" t="s">
        <v>321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63.75" hidden="true" customHeight="true" outlineLevel="0" collapsed="false">
      <c r="A37" s="6" t="s">
        <v>1</v>
      </c>
      <c r="B37" s="6" t="s">
        <v>145</v>
      </c>
      <c r="C37" s="6" t="n">
        <v>77636025</v>
      </c>
      <c r="D37" s="6" t="s">
        <v>316</v>
      </c>
      <c r="E37" s="6" t="s">
        <v>6</v>
      </c>
      <c r="F37" s="6" t="s">
        <v>317</v>
      </c>
      <c r="G37" s="6" t="s">
        <v>322</v>
      </c>
      <c r="H37" s="6" t="s">
        <v>323</v>
      </c>
      <c r="I37" s="6" t="s">
        <v>324</v>
      </c>
      <c r="J37" s="6" t="s">
        <v>325</v>
      </c>
      <c r="K37" s="6" t="s">
        <v>326</v>
      </c>
      <c r="L37" s="6" t="s">
        <v>327</v>
      </c>
      <c r="M37" s="6" t="n">
        <v>2924</v>
      </c>
      <c r="N37" s="7" t="n">
        <v>0.109</v>
      </c>
      <c r="O37" s="6" t="s">
        <v>122</v>
      </c>
      <c r="P37" s="6" t="s">
        <v>123</v>
      </c>
      <c r="Q37" s="6" t="s">
        <v>123</v>
      </c>
      <c r="R37" s="6" t="s">
        <v>123</v>
      </c>
      <c r="S37" s="6" t="s">
        <v>123</v>
      </c>
      <c r="T37" s="6" t="s">
        <v>123</v>
      </c>
      <c r="U37" s="6" t="s">
        <v>123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-30</v>
      </c>
      <c r="AA37" s="6" t="n">
        <v>24</v>
      </c>
      <c r="AB37" s="6" t="n">
        <v>15</v>
      </c>
      <c r="AC37" s="6" t="n">
        <v>-18</v>
      </c>
      <c r="AD37" s="6" t="s">
        <v>123</v>
      </c>
      <c r="AE37" s="6" t="s">
        <v>124</v>
      </c>
      <c r="AF37" s="6" t="s">
        <v>123</v>
      </c>
      <c r="AG37" s="6" t="s">
        <v>123</v>
      </c>
      <c r="AH37" s="6" t="s">
        <v>123</v>
      </c>
      <c r="AI37" s="6" t="s">
        <v>123</v>
      </c>
      <c r="AJ37" s="8"/>
      <c r="AK37" s="8"/>
      <c r="AL37" s="8"/>
      <c r="AM37" s="8"/>
      <c r="AN37" s="8"/>
      <c r="AO37" s="8"/>
      <c r="AP37" s="9" t="s">
        <v>328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63.75" hidden="true" customHeight="true" outlineLevel="0" collapsed="false">
      <c r="A38" s="6" t="s">
        <v>1</v>
      </c>
      <c r="B38" s="6" t="s">
        <v>145</v>
      </c>
      <c r="C38" s="6" t="n">
        <v>77682596</v>
      </c>
      <c r="D38" s="6" t="s">
        <v>316</v>
      </c>
      <c r="E38" s="6" t="s">
        <v>6</v>
      </c>
      <c r="F38" s="6" t="s">
        <v>317</v>
      </c>
      <c r="G38" s="6" t="s">
        <v>329</v>
      </c>
      <c r="H38" s="6" t="s">
        <v>330</v>
      </c>
      <c r="I38" s="6" t="s">
        <v>331</v>
      </c>
      <c r="J38" s="6" t="s">
        <v>332</v>
      </c>
      <c r="K38" s="6" t="s">
        <v>153</v>
      </c>
      <c r="L38" s="6" t="s">
        <v>333</v>
      </c>
      <c r="M38" s="6" t="n">
        <v>3178</v>
      </c>
      <c r="N38" s="7" t="n">
        <v>0.337</v>
      </c>
      <c r="O38" s="6" t="s">
        <v>122</v>
      </c>
      <c r="P38" s="6" t="s">
        <v>123</v>
      </c>
      <c r="Q38" s="6" t="s">
        <v>123</v>
      </c>
      <c r="R38" s="6" t="s">
        <v>123</v>
      </c>
      <c r="S38" s="6" t="s">
        <v>123</v>
      </c>
      <c r="T38" s="6" t="s">
        <v>123</v>
      </c>
      <c r="U38" s="6" t="s">
        <v>123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17</v>
      </c>
      <c r="AA38" s="6" t="n">
        <v>-12</v>
      </c>
      <c r="AB38" s="6" t="n">
        <v>-15</v>
      </c>
      <c r="AC38" s="6" t="n">
        <v>-17</v>
      </c>
      <c r="AD38" s="6" t="s">
        <v>123</v>
      </c>
      <c r="AE38" s="6" t="s">
        <v>124</v>
      </c>
      <c r="AF38" s="6" t="s">
        <v>123</v>
      </c>
      <c r="AG38" s="6" t="s">
        <v>123</v>
      </c>
      <c r="AH38" s="6" t="s">
        <v>123</v>
      </c>
      <c r="AI38" s="6" t="s">
        <v>123</v>
      </c>
      <c r="AJ38" s="8"/>
      <c r="AK38" s="8"/>
      <c r="AL38" s="8"/>
      <c r="AM38" s="8"/>
      <c r="AN38" s="8"/>
      <c r="AO38" s="8"/>
      <c r="AP38" s="9" t="s">
        <v>334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63.75" hidden="true" customHeight="true" outlineLevel="0" collapsed="false">
      <c r="A39" s="6" t="s">
        <v>1</v>
      </c>
      <c r="B39" s="6" t="s">
        <v>145</v>
      </c>
      <c r="C39" s="6" t="n">
        <v>40054257</v>
      </c>
      <c r="D39" s="6" t="s">
        <v>335</v>
      </c>
      <c r="E39" s="6" t="s">
        <v>336</v>
      </c>
      <c r="F39" s="6" t="s">
        <v>337</v>
      </c>
      <c r="G39" s="6" t="s">
        <v>338</v>
      </c>
      <c r="H39" s="6" t="s">
        <v>339</v>
      </c>
      <c r="I39" s="6" t="s">
        <v>340</v>
      </c>
      <c r="J39" s="6" t="s">
        <v>341</v>
      </c>
      <c r="K39" s="6" t="s">
        <v>243</v>
      </c>
      <c r="L39" s="6" t="s">
        <v>342</v>
      </c>
      <c r="M39" s="6" t="n">
        <v>2011</v>
      </c>
      <c r="N39" s="7" t="n">
        <v>0.0783</v>
      </c>
      <c r="O39" s="6" t="s">
        <v>122</v>
      </c>
      <c r="P39" s="6" t="s">
        <v>123</v>
      </c>
      <c r="Q39" s="6" t="s">
        <v>123</v>
      </c>
      <c r="R39" s="6" t="s">
        <v>123</v>
      </c>
      <c r="S39" s="6" t="s">
        <v>123</v>
      </c>
      <c r="T39" s="6" t="s">
        <v>123</v>
      </c>
      <c r="U39" s="10" t="n">
        <f aca="false">HYPERLINK("https://gnomad.broadinstitute.org/variant/X-40054257-A-G?dataset=gnomad_r4", 0.000000915331)</f>
        <v>9.15331E-007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-1</v>
      </c>
      <c r="AA39" s="6" t="n">
        <v>-25</v>
      </c>
      <c r="AB39" s="6" t="n">
        <v>-1</v>
      </c>
      <c r="AC39" s="6" t="n">
        <v>2</v>
      </c>
      <c r="AD39" s="6" t="n">
        <v>3.082</v>
      </c>
      <c r="AE39" s="6" t="s">
        <v>124</v>
      </c>
      <c r="AF39" s="6" t="s">
        <v>123</v>
      </c>
      <c r="AG39" s="6" t="s">
        <v>123</v>
      </c>
      <c r="AH39" s="6" t="s">
        <v>123</v>
      </c>
      <c r="AI39" s="6" t="s">
        <v>123</v>
      </c>
      <c r="AJ39" s="8"/>
      <c r="AK39" s="8"/>
      <c r="AL39" s="8"/>
      <c r="AM39" s="8"/>
      <c r="AN39" s="8"/>
      <c r="AO39" s="8"/>
      <c r="AP39" s="9" t="s">
        <v>343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63.75" hidden="true" customHeight="true" outlineLevel="0" collapsed="false">
      <c r="A40" s="6" t="s">
        <v>1</v>
      </c>
      <c r="B40" s="6" t="s">
        <v>145</v>
      </c>
      <c r="C40" s="6" t="n">
        <v>40063833</v>
      </c>
      <c r="D40" s="6" t="s">
        <v>335</v>
      </c>
      <c r="E40" s="6" t="s">
        <v>336</v>
      </c>
      <c r="F40" s="6" t="s">
        <v>337</v>
      </c>
      <c r="G40" s="6" t="s">
        <v>344</v>
      </c>
      <c r="H40" s="6" t="s">
        <v>345</v>
      </c>
      <c r="I40" s="6" t="s">
        <v>346</v>
      </c>
      <c r="J40" s="6" t="s">
        <v>347</v>
      </c>
      <c r="K40" s="6" t="s">
        <v>153</v>
      </c>
      <c r="L40" s="6" t="s">
        <v>348</v>
      </c>
      <c r="M40" s="6" t="n">
        <v>2443</v>
      </c>
      <c r="N40" s="7" t="n">
        <v>0.167</v>
      </c>
      <c r="O40" s="6" t="s">
        <v>122</v>
      </c>
      <c r="P40" s="6" t="s">
        <v>123</v>
      </c>
      <c r="Q40" s="6" t="s">
        <v>123</v>
      </c>
      <c r="R40" s="6" t="s">
        <v>123</v>
      </c>
      <c r="S40" s="6" t="s">
        <v>123</v>
      </c>
      <c r="T40" s="6" t="s">
        <v>123</v>
      </c>
      <c r="U40" s="6" t="s">
        <v>123</v>
      </c>
      <c r="V40" s="6" t="n">
        <v>0.15</v>
      </c>
      <c r="W40" s="6" t="n">
        <v>0</v>
      </c>
      <c r="X40" s="6" t="n">
        <v>0</v>
      </c>
      <c r="Y40" s="6" t="n">
        <v>0</v>
      </c>
      <c r="Z40" s="6" t="n">
        <v>-23</v>
      </c>
      <c r="AA40" s="6" t="n">
        <v>36</v>
      </c>
      <c r="AB40" s="6" t="n">
        <v>-41</v>
      </c>
      <c r="AC40" s="6" t="n">
        <v>37</v>
      </c>
      <c r="AD40" s="6" t="s">
        <v>123</v>
      </c>
      <c r="AE40" s="6" t="s">
        <v>124</v>
      </c>
      <c r="AF40" s="6" t="s">
        <v>123</v>
      </c>
      <c r="AG40" s="6" t="s">
        <v>123</v>
      </c>
      <c r="AH40" s="6" t="s">
        <v>123</v>
      </c>
      <c r="AI40" s="6" t="s">
        <v>123</v>
      </c>
      <c r="AJ40" s="8"/>
      <c r="AK40" s="8"/>
      <c r="AL40" s="8"/>
      <c r="AM40" s="8"/>
      <c r="AN40" s="8"/>
      <c r="AO40" s="8"/>
      <c r="AP40" s="9" t="s">
        <v>349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63.75" hidden="true" customHeight="true" outlineLevel="0" collapsed="false">
      <c r="A41" s="6" t="s">
        <v>1</v>
      </c>
      <c r="B41" s="6" t="s">
        <v>145</v>
      </c>
      <c r="C41" s="6" t="n">
        <v>40075065</v>
      </c>
      <c r="D41" s="6" t="s">
        <v>335</v>
      </c>
      <c r="E41" s="6" t="s">
        <v>336</v>
      </c>
      <c r="F41" s="6" t="s">
        <v>337</v>
      </c>
      <c r="G41" s="6" t="s">
        <v>350</v>
      </c>
      <c r="H41" s="6" t="s">
        <v>351</v>
      </c>
      <c r="I41" s="6" t="s">
        <v>352</v>
      </c>
      <c r="J41" s="6" t="s">
        <v>353</v>
      </c>
      <c r="K41" s="6" t="s">
        <v>120</v>
      </c>
      <c r="L41" s="6" t="s">
        <v>354</v>
      </c>
      <c r="M41" s="6" t="n">
        <v>2453</v>
      </c>
      <c r="N41" s="7" t="n">
        <v>0.162</v>
      </c>
      <c r="O41" s="6" t="s">
        <v>122</v>
      </c>
      <c r="P41" s="6" t="s">
        <v>123</v>
      </c>
      <c r="Q41" s="6" t="s">
        <v>123</v>
      </c>
      <c r="R41" s="6" t="s">
        <v>123</v>
      </c>
      <c r="S41" s="6" t="s">
        <v>123</v>
      </c>
      <c r="T41" s="6" t="s">
        <v>123</v>
      </c>
      <c r="U41" s="6" t="s">
        <v>123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3</v>
      </c>
      <c r="AA41" s="6" t="n">
        <v>5</v>
      </c>
      <c r="AB41" s="6" t="n">
        <v>3</v>
      </c>
      <c r="AC41" s="6" t="n">
        <v>-20</v>
      </c>
      <c r="AD41" s="6" t="n">
        <v>23.4</v>
      </c>
      <c r="AE41" s="6" t="s">
        <v>124</v>
      </c>
      <c r="AF41" s="6" t="s">
        <v>123</v>
      </c>
      <c r="AG41" s="6" t="s">
        <v>123</v>
      </c>
      <c r="AH41" s="6" t="s">
        <v>123</v>
      </c>
      <c r="AI41" s="6" t="s">
        <v>123</v>
      </c>
      <c r="AJ41" s="8"/>
      <c r="AK41" s="8"/>
      <c r="AL41" s="8"/>
      <c r="AM41" s="8"/>
      <c r="AN41" s="8"/>
      <c r="AO41" s="8"/>
      <c r="AP41" s="9" t="s">
        <v>355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76.5" hidden="true" customHeight="true" outlineLevel="0" collapsed="false">
      <c r="A42" s="6" t="s">
        <v>1</v>
      </c>
      <c r="B42" s="6" t="s">
        <v>145</v>
      </c>
      <c r="C42" s="6" t="n">
        <v>130012986</v>
      </c>
      <c r="D42" s="6" t="s">
        <v>356</v>
      </c>
      <c r="E42" s="6" t="s">
        <v>6</v>
      </c>
      <c r="F42" s="6" t="s">
        <v>357</v>
      </c>
      <c r="G42" s="6" t="s">
        <v>358</v>
      </c>
      <c r="H42" s="6" t="s">
        <v>359</v>
      </c>
      <c r="I42" s="6" t="s">
        <v>360</v>
      </c>
      <c r="J42" s="6" t="s">
        <v>361</v>
      </c>
      <c r="K42" s="6" t="s">
        <v>153</v>
      </c>
      <c r="L42" s="6" t="s">
        <v>362</v>
      </c>
      <c r="M42" s="6" t="n">
        <v>2919</v>
      </c>
      <c r="N42" s="7" t="n">
        <v>0.0675</v>
      </c>
      <c r="O42" s="6" t="s">
        <v>122</v>
      </c>
      <c r="P42" s="6" t="s">
        <v>123</v>
      </c>
      <c r="Q42" s="6" t="s">
        <v>123</v>
      </c>
      <c r="R42" s="6" t="s">
        <v>123</v>
      </c>
      <c r="S42" s="10" t="str">
        <f aca="false">HYPERLINK("https://www.ncbi.nlm.nih.gov/snp/rs779498199", "rs779498199")</f>
        <v>rs779498199</v>
      </c>
      <c r="T42" s="6" t="s">
        <v>123</v>
      </c>
      <c r="U42" s="10" t="n">
        <f aca="false">HYPERLINK("https://gnomad.broadinstitute.org/variant/X-130012986-C-CG?dataset=gnomad_r4", 0.00000183777)</f>
        <v>1.83777E-006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-30</v>
      </c>
      <c r="AA42" s="6" t="n">
        <v>-36</v>
      </c>
      <c r="AB42" s="6" t="n">
        <v>-37</v>
      </c>
      <c r="AC42" s="6" t="n">
        <v>46</v>
      </c>
      <c r="AD42" s="6" t="s">
        <v>123</v>
      </c>
      <c r="AE42" s="6" t="s">
        <v>124</v>
      </c>
      <c r="AF42" s="6" t="s">
        <v>123</v>
      </c>
      <c r="AG42" s="6" t="s">
        <v>123</v>
      </c>
      <c r="AH42" s="6" t="s">
        <v>123</v>
      </c>
      <c r="AI42" s="6" t="s">
        <v>123</v>
      </c>
      <c r="AJ42" s="8"/>
      <c r="AK42" s="8"/>
      <c r="AL42" s="8"/>
      <c r="AM42" s="8"/>
      <c r="AN42" s="8"/>
      <c r="AO42" s="8"/>
      <c r="AP42" s="9" t="s">
        <v>363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76.5" hidden="true" customHeight="true" outlineLevel="0" collapsed="false">
      <c r="A43" s="6" t="s">
        <v>1</v>
      </c>
      <c r="B43" s="6" t="s">
        <v>145</v>
      </c>
      <c r="C43" s="6" t="n">
        <v>130056035</v>
      </c>
      <c r="D43" s="6" t="s">
        <v>356</v>
      </c>
      <c r="E43" s="6" t="s">
        <v>6</v>
      </c>
      <c r="F43" s="6" t="s">
        <v>357</v>
      </c>
      <c r="G43" s="6" t="s">
        <v>364</v>
      </c>
      <c r="H43" s="6" t="s">
        <v>365</v>
      </c>
      <c r="I43" s="6" t="s">
        <v>366</v>
      </c>
      <c r="J43" s="6" t="s">
        <v>367</v>
      </c>
      <c r="K43" s="6" t="s">
        <v>153</v>
      </c>
      <c r="L43" s="6" t="s">
        <v>368</v>
      </c>
      <c r="M43" s="6" t="n">
        <v>3940</v>
      </c>
      <c r="N43" s="7" t="n">
        <v>0.581</v>
      </c>
      <c r="O43" s="6" t="s">
        <v>122</v>
      </c>
      <c r="P43" s="10" t="n">
        <f aca="false">HYPERLINK("https://www.ncbi.nlm.nih.gov/clinvar/variation/4530165", 4530165)</f>
        <v>4530165</v>
      </c>
      <c r="Q43" s="6" t="s">
        <v>123</v>
      </c>
      <c r="R43" s="6" t="s">
        <v>123</v>
      </c>
      <c r="S43" s="10" t="str">
        <f aca="false">HYPERLINK("https://www.ncbi.nlm.nih.gov/snp/rs768244116", "rs768244116")</f>
        <v>rs768244116</v>
      </c>
      <c r="T43" s="6" t="s">
        <v>123</v>
      </c>
      <c r="U43" s="6" t="s">
        <v>123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32</v>
      </c>
      <c r="AA43" s="6" t="n">
        <v>-1</v>
      </c>
      <c r="AB43" s="6" t="n">
        <v>37</v>
      </c>
      <c r="AC43" s="6" t="n">
        <v>-48</v>
      </c>
      <c r="AD43" s="6" t="s">
        <v>123</v>
      </c>
      <c r="AE43" s="6" t="s">
        <v>124</v>
      </c>
      <c r="AF43" s="6" t="s">
        <v>123</v>
      </c>
      <c r="AG43" s="6" t="s">
        <v>123</v>
      </c>
      <c r="AH43" s="6" t="s">
        <v>123</v>
      </c>
      <c r="AI43" s="6" t="s">
        <v>123</v>
      </c>
      <c r="AJ43" s="8"/>
      <c r="AK43" s="8"/>
      <c r="AL43" s="8"/>
      <c r="AM43" s="8"/>
      <c r="AN43" s="8"/>
      <c r="AO43" s="8"/>
      <c r="AP43" s="9" t="s">
        <v>369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76.5" hidden="true" customHeight="true" outlineLevel="0" collapsed="false">
      <c r="A44" s="6" t="s">
        <v>1</v>
      </c>
      <c r="B44" s="6" t="n">
        <v>11</v>
      </c>
      <c r="C44" s="6" t="n">
        <v>102328878</v>
      </c>
      <c r="D44" s="6" t="s">
        <v>370</v>
      </c>
      <c r="E44" s="6" t="s">
        <v>371</v>
      </c>
      <c r="F44" s="6" t="s">
        <v>372</v>
      </c>
      <c r="G44" s="6" t="s">
        <v>123</v>
      </c>
      <c r="H44" s="6" t="s">
        <v>373</v>
      </c>
      <c r="I44" s="6"/>
      <c r="J44" s="6" t="s">
        <v>123</v>
      </c>
      <c r="K44" s="6" t="s">
        <v>141</v>
      </c>
      <c r="L44" s="6" t="s">
        <v>374</v>
      </c>
      <c r="M44" s="6" t="n">
        <v>1172</v>
      </c>
      <c r="N44" s="7" t="n">
        <v>0.0366</v>
      </c>
      <c r="O44" s="6" t="s">
        <v>155</v>
      </c>
      <c r="P44" s="6" t="s">
        <v>123</v>
      </c>
      <c r="Q44" s="6" t="s">
        <v>123</v>
      </c>
      <c r="R44" s="6" t="s">
        <v>123</v>
      </c>
      <c r="S44" s="10" t="str">
        <f aca="false">HYPERLINK("https://www.ncbi.nlm.nih.gov/snp/rs1054803988", "rs1054803988")</f>
        <v>rs1054803988</v>
      </c>
      <c r="T44" s="6" t="s">
        <v>123</v>
      </c>
      <c r="U44" s="10" t="n">
        <f aca="false">HYPERLINK("https://gnomad.broadinstitute.org/variant/11-102328878-ATAT-A?dataset=gnomad_r4", 0.0000964351)</f>
        <v>9.64351E-005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16</v>
      </c>
      <c r="AA44" s="6" t="n">
        <v>35</v>
      </c>
      <c r="AB44" s="6" t="n">
        <v>19</v>
      </c>
      <c r="AC44" s="6" t="n">
        <v>-45</v>
      </c>
      <c r="AD44" s="6" t="n">
        <v>0.244</v>
      </c>
      <c r="AE44" s="6" t="s">
        <v>124</v>
      </c>
      <c r="AF44" s="6" t="s">
        <v>123</v>
      </c>
      <c r="AG44" s="6" t="s">
        <v>123</v>
      </c>
      <c r="AH44" s="6" t="s">
        <v>123</v>
      </c>
      <c r="AI44" s="6" t="s">
        <v>123</v>
      </c>
      <c r="AJ44" s="8"/>
      <c r="AK44" s="8"/>
      <c r="AL44" s="8"/>
      <c r="AM44" s="8"/>
      <c r="AN44" s="8"/>
      <c r="AO44" s="8"/>
      <c r="AP44" s="9" t="s">
        <v>375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76.5" hidden="true" customHeight="true" outlineLevel="0" collapsed="false">
      <c r="A45" s="6" t="s">
        <v>1</v>
      </c>
      <c r="B45" s="6" t="n">
        <v>11</v>
      </c>
      <c r="C45" s="6" t="n">
        <v>102328876</v>
      </c>
      <c r="D45" s="6" t="s">
        <v>370</v>
      </c>
      <c r="E45" s="6" t="s">
        <v>371</v>
      </c>
      <c r="F45" s="6" t="s">
        <v>372</v>
      </c>
      <c r="G45" s="6" t="s">
        <v>123</v>
      </c>
      <c r="H45" s="6" t="s">
        <v>376</v>
      </c>
      <c r="I45" s="6"/>
      <c r="J45" s="6" t="s">
        <v>123</v>
      </c>
      <c r="K45" s="6" t="s">
        <v>141</v>
      </c>
      <c r="L45" s="6" t="s">
        <v>377</v>
      </c>
      <c r="M45" s="6" t="n">
        <v>1179</v>
      </c>
      <c r="N45" s="7" t="n">
        <v>0.0694</v>
      </c>
      <c r="O45" s="6" t="s">
        <v>155</v>
      </c>
      <c r="P45" s="6" t="s">
        <v>123</v>
      </c>
      <c r="Q45" s="6" t="s">
        <v>123</v>
      </c>
      <c r="R45" s="6" t="s">
        <v>123</v>
      </c>
      <c r="S45" s="10" t="str">
        <f aca="false">HYPERLINK("https://www.ncbi.nlm.nih.gov/snp/rs1185522170", "rs1185522170")</f>
        <v>rs1185522170</v>
      </c>
      <c r="T45" s="10" t="n">
        <f aca="false">HYPERLINK("https://gnomad.broadinstitute.org/variant/11-102328876-ATATAT-A?dataset=gnomad_r4", 0.0000409132)</f>
        <v>4.09132E-005</v>
      </c>
      <c r="U45" s="10" t="n">
        <f aca="false">HYPERLINK("https://gnomad.broadinstitute.org/variant/11-102328876-ATATAT-A?dataset=gnomad_r4", 0.0000246614)</f>
        <v>2.46614E-005</v>
      </c>
      <c r="V45" s="6" t="s">
        <v>123</v>
      </c>
      <c r="W45" s="6" t="s">
        <v>123</v>
      </c>
      <c r="X45" s="6" t="s">
        <v>123</v>
      </c>
      <c r="Y45" s="6" t="s">
        <v>123</v>
      </c>
      <c r="Z45" s="6" t="s">
        <v>123</v>
      </c>
      <c r="AA45" s="6" t="s">
        <v>123</v>
      </c>
      <c r="AB45" s="6" t="s">
        <v>123</v>
      </c>
      <c r="AC45" s="6" t="s">
        <v>123</v>
      </c>
      <c r="AD45" s="6" t="n">
        <v>0.408</v>
      </c>
      <c r="AE45" s="6" t="s">
        <v>124</v>
      </c>
      <c r="AF45" s="6" t="s">
        <v>123</v>
      </c>
      <c r="AG45" s="6" t="s">
        <v>123</v>
      </c>
      <c r="AH45" s="6" t="s">
        <v>123</v>
      </c>
      <c r="AI45" s="6" t="s">
        <v>123</v>
      </c>
      <c r="AJ45" s="8"/>
      <c r="AK45" s="8"/>
      <c r="AL45" s="8"/>
      <c r="AM45" s="8"/>
      <c r="AN45" s="8"/>
      <c r="AO45" s="8"/>
      <c r="AP45" s="9" t="s">
        <v>378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76.5" hidden="true" customHeight="true" outlineLevel="0" collapsed="false">
      <c r="A46" s="6" t="s">
        <v>1</v>
      </c>
      <c r="B46" s="6" t="n">
        <v>11</v>
      </c>
      <c r="C46" s="6" t="n">
        <v>102328881</v>
      </c>
      <c r="D46" s="6" t="s">
        <v>370</v>
      </c>
      <c r="E46" s="6" t="s">
        <v>371</v>
      </c>
      <c r="F46" s="6" t="s">
        <v>372</v>
      </c>
      <c r="G46" s="6" t="s">
        <v>123</v>
      </c>
      <c r="H46" s="6" t="s">
        <v>379</v>
      </c>
      <c r="I46" s="6"/>
      <c r="J46" s="6" t="s">
        <v>123</v>
      </c>
      <c r="K46" s="6" t="s">
        <v>141</v>
      </c>
      <c r="L46" s="6" t="s">
        <v>380</v>
      </c>
      <c r="M46" s="6" t="n">
        <v>1144</v>
      </c>
      <c r="N46" s="7" t="n">
        <v>0.113</v>
      </c>
      <c r="O46" s="6" t="s">
        <v>155</v>
      </c>
      <c r="P46" s="6" t="s">
        <v>123</v>
      </c>
      <c r="Q46" s="6" t="s">
        <v>123</v>
      </c>
      <c r="R46" s="6" t="s">
        <v>123</v>
      </c>
      <c r="S46" s="10" t="str">
        <f aca="false">HYPERLINK("https://www.ncbi.nlm.nih.gov/snp/rs763326506", "rs763326506")</f>
        <v>rs763326506</v>
      </c>
      <c r="T46" s="10" t="n">
        <f aca="false">HYPERLINK("https://gnomad.broadinstitute.org/variant/11-102328881-T-TA?dataset=gnomad_r4", 0.000233396)</f>
        <v>0.000233396</v>
      </c>
      <c r="U46" s="10" t="n">
        <f aca="false">HYPERLINK("https://gnomad.broadinstitute.org/variant/11-102328881-T-TA?dataset=gnomad_r4", 0.000153567)</f>
        <v>0.000153567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13</v>
      </c>
      <c r="AA46" s="6" t="n">
        <v>16</v>
      </c>
      <c r="AB46" s="6" t="n">
        <v>40</v>
      </c>
      <c r="AC46" s="6" t="n">
        <v>-48</v>
      </c>
      <c r="AD46" s="6" t="n">
        <v>0.489</v>
      </c>
      <c r="AE46" s="6" t="s">
        <v>124</v>
      </c>
      <c r="AF46" s="6" t="s">
        <v>123</v>
      </c>
      <c r="AG46" s="6" t="s">
        <v>123</v>
      </c>
      <c r="AH46" s="6" t="s">
        <v>123</v>
      </c>
      <c r="AI46" s="6" t="s">
        <v>123</v>
      </c>
      <c r="AJ46" s="8"/>
      <c r="AK46" s="8"/>
      <c r="AL46" s="8"/>
      <c r="AM46" s="8"/>
      <c r="AN46" s="8"/>
      <c r="AO46" s="8"/>
      <c r="AP46" s="9" t="s">
        <v>381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63.75" hidden="false" customHeight="true" outlineLevel="0" collapsed="false">
      <c r="A47" s="6" t="s">
        <v>1</v>
      </c>
      <c r="B47" s="6" t="n">
        <v>7</v>
      </c>
      <c r="C47" s="6" t="n">
        <v>140794409</v>
      </c>
      <c r="D47" s="6" t="s">
        <v>382</v>
      </c>
      <c r="E47" s="6" t="s">
        <v>383</v>
      </c>
      <c r="F47" s="6" t="s">
        <v>384</v>
      </c>
      <c r="G47" s="6" t="s">
        <v>385</v>
      </c>
      <c r="H47" s="6" t="s">
        <v>386</v>
      </c>
      <c r="I47" s="6" t="s">
        <v>387</v>
      </c>
      <c r="J47" s="6" t="s">
        <v>388</v>
      </c>
      <c r="K47" s="6" t="s">
        <v>389</v>
      </c>
      <c r="L47" s="6" t="s">
        <v>390</v>
      </c>
      <c r="M47" s="6" t="n">
        <v>4143</v>
      </c>
      <c r="N47" s="7" t="n">
        <v>0.198</v>
      </c>
      <c r="O47" s="6" t="s">
        <v>122</v>
      </c>
      <c r="P47" s="10" t="n">
        <f aca="false">HYPERLINK("https://www.ncbi.nlm.nih.gov/clinvar/variation/1677779", 1677779)</f>
        <v>1677779</v>
      </c>
      <c r="Q47" s="6" t="s">
        <v>253</v>
      </c>
      <c r="R47" s="6" t="s">
        <v>181</v>
      </c>
      <c r="S47" s="6" t="s">
        <v>123</v>
      </c>
      <c r="T47" s="6" t="s">
        <v>123</v>
      </c>
      <c r="U47" s="6" t="s">
        <v>123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-7</v>
      </c>
      <c r="AA47" s="6" t="n">
        <v>6</v>
      </c>
      <c r="AB47" s="6" t="n">
        <v>42</v>
      </c>
      <c r="AC47" s="6" t="n">
        <v>6</v>
      </c>
      <c r="AD47" s="6" t="n">
        <v>38</v>
      </c>
      <c r="AE47" s="6" t="s">
        <v>124</v>
      </c>
      <c r="AF47" s="6" t="s">
        <v>123</v>
      </c>
      <c r="AG47" s="6" t="s">
        <v>123</v>
      </c>
      <c r="AH47" s="6" t="s">
        <v>123</v>
      </c>
      <c r="AI47" s="6" t="s">
        <v>123</v>
      </c>
      <c r="AJ47" s="8"/>
      <c r="AK47" s="8" t="s">
        <v>391</v>
      </c>
      <c r="AL47" s="8" t="s">
        <v>391</v>
      </c>
      <c r="AM47" s="8" t="s">
        <v>392</v>
      </c>
      <c r="AN47" s="8" t="s">
        <v>393</v>
      </c>
      <c r="AO47" s="8"/>
      <c r="AP47" s="9" t="s">
        <v>394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63.75" hidden="false" customHeight="true" outlineLevel="0" collapsed="false">
      <c r="A48" s="6" t="s">
        <v>1</v>
      </c>
      <c r="B48" s="6" t="n">
        <v>7</v>
      </c>
      <c r="C48" s="6" t="n">
        <v>140783126</v>
      </c>
      <c r="D48" s="6" t="s">
        <v>382</v>
      </c>
      <c r="E48" s="6" t="s">
        <v>383</v>
      </c>
      <c r="F48" s="6" t="s">
        <v>384</v>
      </c>
      <c r="G48" s="6" t="s">
        <v>395</v>
      </c>
      <c r="H48" s="6" t="s">
        <v>396</v>
      </c>
      <c r="I48" s="6" t="s">
        <v>397</v>
      </c>
      <c r="J48" s="6" t="s">
        <v>398</v>
      </c>
      <c r="K48" s="6" t="s">
        <v>153</v>
      </c>
      <c r="L48" s="6" t="s">
        <v>399</v>
      </c>
      <c r="M48" s="6" t="n">
        <v>5173</v>
      </c>
      <c r="N48" s="7" t="n">
        <v>0.101</v>
      </c>
      <c r="O48" s="6" t="s">
        <v>122</v>
      </c>
      <c r="P48" s="10" t="n">
        <f aca="false">HYPERLINK("https://www.ncbi.nlm.nih.gov/clinvar/variation/2077036", 2077036)</f>
        <v>2077036</v>
      </c>
      <c r="Q48" s="6" t="s">
        <v>253</v>
      </c>
      <c r="R48" s="6" t="s">
        <v>400</v>
      </c>
      <c r="S48" s="6" t="s">
        <v>123</v>
      </c>
      <c r="T48" s="6" t="s">
        <v>123</v>
      </c>
      <c r="U48" s="6" t="s">
        <v>123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31</v>
      </c>
      <c r="AA48" s="6" t="n">
        <v>-43</v>
      </c>
      <c r="AB48" s="6" t="n">
        <v>19</v>
      </c>
      <c r="AC48" s="6" t="n">
        <v>20</v>
      </c>
      <c r="AD48" s="6" t="s">
        <v>123</v>
      </c>
      <c r="AE48" s="6" t="s">
        <v>124</v>
      </c>
      <c r="AF48" s="6" t="s">
        <v>123</v>
      </c>
      <c r="AG48" s="6" t="s">
        <v>123</v>
      </c>
      <c r="AH48" s="6" t="s">
        <v>123</v>
      </c>
      <c r="AI48" s="6" t="s">
        <v>123</v>
      </c>
      <c r="AJ48" s="8"/>
      <c r="AK48" s="8" t="s">
        <v>401</v>
      </c>
      <c r="AL48" s="8" t="s">
        <v>401</v>
      </c>
      <c r="AM48" s="8" t="s">
        <v>402</v>
      </c>
      <c r="AN48" s="8" t="s">
        <v>393</v>
      </c>
      <c r="AO48" s="8"/>
      <c r="AP48" s="9" t="s">
        <v>403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76.5" hidden="true" customHeight="true" outlineLevel="0" collapsed="false">
      <c r="A49" s="6" t="s">
        <v>1</v>
      </c>
      <c r="B49" s="6" t="n">
        <v>7</v>
      </c>
      <c r="C49" s="6" t="n">
        <v>140753336</v>
      </c>
      <c r="D49" s="6" t="s">
        <v>382</v>
      </c>
      <c r="E49" s="6" t="s">
        <v>383</v>
      </c>
      <c r="F49" s="6" t="s">
        <v>384</v>
      </c>
      <c r="G49" s="6" t="s">
        <v>404</v>
      </c>
      <c r="H49" s="6" t="s">
        <v>405</v>
      </c>
      <c r="I49" s="6" t="s">
        <v>406</v>
      </c>
      <c r="J49" s="6" t="s">
        <v>407</v>
      </c>
      <c r="K49" s="6" t="s">
        <v>120</v>
      </c>
      <c r="L49" s="6" t="s">
        <v>408</v>
      </c>
      <c r="M49" s="6" t="n">
        <v>4506</v>
      </c>
      <c r="N49" s="7" t="n">
        <v>0.111</v>
      </c>
      <c r="O49" s="6" t="s">
        <v>122</v>
      </c>
      <c r="P49" s="10" t="n">
        <f aca="false">HYPERLINK("https://www.ncbi.nlm.nih.gov/clinvar/variation/13961", 13961)</f>
        <v>13961</v>
      </c>
      <c r="Q49" s="6" t="s">
        <v>409</v>
      </c>
      <c r="R49" s="6" t="s">
        <v>410</v>
      </c>
      <c r="S49" s="10" t="str">
        <f aca="false">HYPERLINK("https://www.ncbi.nlm.nih.gov/snp/rs113488022", "rs113488022")</f>
        <v>rs113488022</v>
      </c>
      <c r="T49" s="6" t="s">
        <v>123</v>
      </c>
      <c r="U49" s="10" t="n">
        <f aca="false">HYPERLINK("https://gnomad.broadinstitute.org/variant/7-140753336-A-T?dataset=gnomad_r4", 0.00000136928)</f>
        <v>1.36928E-006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6</v>
      </c>
      <c r="AA49" s="6" t="n">
        <v>22</v>
      </c>
      <c r="AB49" s="6" t="n">
        <v>-14</v>
      </c>
      <c r="AC49" s="6" t="n">
        <v>32</v>
      </c>
      <c r="AD49" s="6" t="n">
        <v>28.6</v>
      </c>
      <c r="AE49" s="6" t="s">
        <v>411</v>
      </c>
      <c r="AF49" s="6" t="s">
        <v>225</v>
      </c>
      <c r="AG49" s="6" t="s">
        <v>412</v>
      </c>
      <c r="AH49" s="6" t="s">
        <v>413</v>
      </c>
      <c r="AI49" s="6" t="s">
        <v>414</v>
      </c>
      <c r="AJ49" s="8"/>
      <c r="AK49" s="8"/>
      <c r="AL49" s="8"/>
      <c r="AM49" s="8"/>
      <c r="AN49" s="8"/>
      <c r="AO49" s="8"/>
      <c r="AP49" s="9" t="s">
        <v>415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76.5" hidden="true" customHeight="true" outlineLevel="0" collapsed="false">
      <c r="A50" s="6" t="s">
        <v>1</v>
      </c>
      <c r="B50" s="6" t="n">
        <v>7</v>
      </c>
      <c r="C50" s="6" t="n">
        <v>140739956</v>
      </c>
      <c r="D50" s="6" t="s">
        <v>382</v>
      </c>
      <c r="E50" s="6" t="s">
        <v>383</v>
      </c>
      <c r="F50" s="6" t="s">
        <v>384</v>
      </c>
      <c r="G50" s="6" t="s">
        <v>123</v>
      </c>
      <c r="H50" s="6" t="s">
        <v>416</v>
      </c>
      <c r="I50" s="6"/>
      <c r="J50" s="6" t="s">
        <v>123</v>
      </c>
      <c r="K50" s="6" t="s">
        <v>141</v>
      </c>
      <c r="L50" s="6" t="s">
        <v>417</v>
      </c>
      <c r="M50" s="6" t="n">
        <v>4144</v>
      </c>
      <c r="N50" s="7" t="n">
        <v>0.31</v>
      </c>
      <c r="O50" s="6" t="s">
        <v>122</v>
      </c>
      <c r="P50" s="10" t="n">
        <f aca="false">HYPERLINK("https://www.ncbi.nlm.nih.gov/clinvar/variation/1601004", 1601004)</f>
        <v>1601004</v>
      </c>
      <c r="Q50" s="6" t="s">
        <v>418</v>
      </c>
      <c r="R50" s="6" t="s">
        <v>400</v>
      </c>
      <c r="S50" s="10" t="str">
        <f aca="false">HYPERLINK("https://www.ncbi.nlm.nih.gov/snp/rs759069424", "rs759069424")</f>
        <v>rs759069424</v>
      </c>
      <c r="T50" s="6" t="s">
        <v>123</v>
      </c>
      <c r="U50" s="10" t="n">
        <f aca="false">HYPERLINK("https://gnomad.broadinstitute.org/variant/7-140739956-GA-G?dataset=gnomad_r4", 0.00000687383)</f>
        <v>6.87383E-006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23</v>
      </c>
      <c r="AA50" s="6" t="n">
        <v>-10</v>
      </c>
      <c r="AB50" s="6" t="n">
        <v>24</v>
      </c>
      <c r="AC50" s="6" t="n">
        <v>-9</v>
      </c>
      <c r="AD50" s="6" t="s">
        <v>123</v>
      </c>
      <c r="AE50" s="6" t="s">
        <v>124</v>
      </c>
      <c r="AF50" s="6" t="s">
        <v>123</v>
      </c>
      <c r="AG50" s="6" t="s">
        <v>123</v>
      </c>
      <c r="AH50" s="6" t="s">
        <v>123</v>
      </c>
      <c r="AI50" s="6" t="s">
        <v>123</v>
      </c>
      <c r="AJ50" s="8"/>
      <c r="AK50" s="8"/>
      <c r="AL50" s="8"/>
      <c r="AM50" s="8"/>
      <c r="AN50" s="8"/>
      <c r="AO50" s="8"/>
      <c r="AP50" s="9" t="s">
        <v>419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76.5" hidden="true" customHeight="true" outlineLevel="0" collapsed="false">
      <c r="A51" s="6" t="s">
        <v>1</v>
      </c>
      <c r="B51" s="6" t="n">
        <v>7</v>
      </c>
      <c r="C51" s="6" t="n">
        <v>140734786</v>
      </c>
      <c r="D51" s="6" t="s">
        <v>382</v>
      </c>
      <c r="E51" s="6" t="s">
        <v>383</v>
      </c>
      <c r="F51" s="6" t="s">
        <v>384</v>
      </c>
      <c r="G51" s="6" t="s">
        <v>123</v>
      </c>
      <c r="H51" s="6" t="s">
        <v>420</v>
      </c>
      <c r="I51" s="6"/>
      <c r="J51" s="6" t="s">
        <v>123</v>
      </c>
      <c r="K51" s="6" t="s">
        <v>141</v>
      </c>
      <c r="L51" s="6" t="s">
        <v>421</v>
      </c>
      <c r="M51" s="6" t="n">
        <v>1558</v>
      </c>
      <c r="N51" s="7" t="n">
        <v>0.0581</v>
      </c>
      <c r="O51" s="6" t="s">
        <v>179</v>
      </c>
      <c r="P51" s="10" t="n">
        <f aca="false">HYPERLINK("https://www.ncbi.nlm.nih.gov/clinvar/variation/136535", 136535)</f>
        <v>136535</v>
      </c>
      <c r="Q51" s="6" t="s">
        <v>283</v>
      </c>
      <c r="R51" s="6" t="s">
        <v>422</v>
      </c>
      <c r="S51" s="10" t="str">
        <f aca="false">HYPERLINK("https://www.ncbi.nlm.nih.gov/snp/rs368721021", "rs368721021")</f>
        <v>rs368721021</v>
      </c>
      <c r="T51" s="6" t="s">
        <v>123</v>
      </c>
      <c r="U51" s="6" t="s">
        <v>123</v>
      </c>
      <c r="V51" s="6" t="n">
        <v>0</v>
      </c>
      <c r="W51" s="6" t="n">
        <v>0.05</v>
      </c>
      <c r="X51" s="6" t="n">
        <v>0</v>
      </c>
      <c r="Y51" s="6" t="n">
        <v>0</v>
      </c>
      <c r="Z51" s="6" t="n">
        <v>4</v>
      </c>
      <c r="AA51" s="6" t="n">
        <v>-16</v>
      </c>
      <c r="AB51" s="6" t="n">
        <v>6</v>
      </c>
      <c r="AC51" s="6" t="n">
        <v>-16</v>
      </c>
      <c r="AD51" s="6" t="n">
        <v>0.256</v>
      </c>
      <c r="AE51" s="6" t="s">
        <v>124</v>
      </c>
      <c r="AF51" s="6" t="s">
        <v>123</v>
      </c>
      <c r="AG51" s="6" t="s">
        <v>123</v>
      </c>
      <c r="AH51" s="6" t="s">
        <v>123</v>
      </c>
      <c r="AI51" s="6" t="s">
        <v>123</v>
      </c>
      <c r="AJ51" s="8"/>
      <c r="AK51" s="8"/>
      <c r="AL51" s="8"/>
      <c r="AM51" s="8"/>
      <c r="AN51" s="8"/>
      <c r="AO51" s="8"/>
      <c r="AP51" s="9" t="s">
        <v>423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63.75" hidden="true" customHeight="true" outlineLevel="0" collapsed="false">
      <c r="A52" s="6" t="s">
        <v>1</v>
      </c>
      <c r="B52" s="6" t="n">
        <v>7</v>
      </c>
      <c r="C52" s="6" t="n">
        <v>140734785</v>
      </c>
      <c r="D52" s="6" t="s">
        <v>382</v>
      </c>
      <c r="E52" s="6" t="s">
        <v>383</v>
      </c>
      <c r="F52" s="6" t="s">
        <v>384</v>
      </c>
      <c r="G52" s="6" t="s">
        <v>123</v>
      </c>
      <c r="H52" s="6" t="s">
        <v>424</v>
      </c>
      <c r="I52" s="6"/>
      <c r="J52" s="6" t="s">
        <v>123</v>
      </c>
      <c r="K52" s="6" t="s">
        <v>141</v>
      </c>
      <c r="L52" s="6" t="s">
        <v>425</v>
      </c>
      <c r="M52" s="6" t="n">
        <v>1575</v>
      </c>
      <c r="N52" s="7" t="n">
        <v>0.0464</v>
      </c>
      <c r="O52" s="6" t="s">
        <v>155</v>
      </c>
      <c r="P52" s="10" t="n">
        <f aca="false">HYPERLINK("https://www.ncbi.nlm.nih.gov/clinvar/variation/1623147", 1623147)</f>
        <v>1623147</v>
      </c>
      <c r="Q52" s="6" t="s">
        <v>215</v>
      </c>
      <c r="R52" s="6" t="s">
        <v>426</v>
      </c>
      <c r="S52" s="6" t="s">
        <v>123</v>
      </c>
      <c r="T52" s="6" t="s">
        <v>123</v>
      </c>
      <c r="U52" s="6" t="s">
        <v>123</v>
      </c>
      <c r="V52" s="6" t="s">
        <v>123</v>
      </c>
      <c r="W52" s="6" t="s">
        <v>123</v>
      </c>
      <c r="X52" s="6" t="s">
        <v>123</v>
      </c>
      <c r="Y52" s="6" t="s">
        <v>123</v>
      </c>
      <c r="Z52" s="6" t="s">
        <v>123</v>
      </c>
      <c r="AA52" s="6" t="s">
        <v>123</v>
      </c>
      <c r="AB52" s="6" t="s">
        <v>123</v>
      </c>
      <c r="AC52" s="6" t="s">
        <v>123</v>
      </c>
      <c r="AD52" s="6" t="s">
        <v>123</v>
      </c>
      <c r="AE52" s="6" t="s">
        <v>124</v>
      </c>
      <c r="AF52" s="6" t="s">
        <v>123</v>
      </c>
      <c r="AG52" s="6" t="s">
        <v>123</v>
      </c>
      <c r="AH52" s="6" t="s">
        <v>123</v>
      </c>
      <c r="AI52" s="6" t="s">
        <v>123</v>
      </c>
      <c r="AJ52" s="8"/>
      <c r="AK52" s="8"/>
      <c r="AL52" s="8"/>
      <c r="AM52" s="8"/>
      <c r="AN52" s="8"/>
      <c r="AO52" s="8"/>
      <c r="AP52" s="9" t="s">
        <v>427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76.5" hidden="true" customHeight="true" outlineLevel="0" collapsed="false">
      <c r="A53" s="6" t="s">
        <v>1</v>
      </c>
      <c r="B53" s="6" t="n">
        <v>7</v>
      </c>
      <c r="C53" s="6" t="n">
        <v>140734774</v>
      </c>
      <c r="D53" s="6" t="s">
        <v>382</v>
      </c>
      <c r="E53" s="6" t="s">
        <v>383</v>
      </c>
      <c r="F53" s="6" t="s">
        <v>384</v>
      </c>
      <c r="G53" s="6" t="s">
        <v>123</v>
      </c>
      <c r="H53" s="6" t="s">
        <v>428</v>
      </c>
      <c r="I53" s="6"/>
      <c r="J53" s="6" t="s">
        <v>123</v>
      </c>
      <c r="K53" s="6" t="s">
        <v>127</v>
      </c>
      <c r="L53" s="6" t="s">
        <v>429</v>
      </c>
      <c r="M53" s="6" t="n">
        <v>1847</v>
      </c>
      <c r="N53" s="7" t="n">
        <v>0.0633</v>
      </c>
      <c r="O53" s="6" t="s">
        <v>179</v>
      </c>
      <c r="P53" s="10" t="n">
        <f aca="false">HYPERLINK("https://www.ncbi.nlm.nih.gov/clinvar/variation/477687", 477687)</f>
        <v>477687</v>
      </c>
      <c r="Q53" s="6" t="s">
        <v>215</v>
      </c>
      <c r="R53" s="6" t="s">
        <v>400</v>
      </c>
      <c r="S53" s="10" t="str">
        <f aca="false">HYPERLINK("https://www.ncbi.nlm.nih.gov/snp/rs373442098", "rs373442098")</f>
        <v>rs373442098</v>
      </c>
      <c r="T53" s="10" t="n">
        <f aca="false">HYPERLINK("https://gnomad.broadinstitute.org/variant/7-140734774-C-CAA?dataset=gnomad_r4", 0.000325574)</f>
        <v>0.000325574</v>
      </c>
      <c r="U53" s="10" t="n">
        <f aca="false">HYPERLINK("https://gnomad.broadinstitute.org/variant/7-140734774-C-CAA?dataset=gnomad_r4", 0.00156983)</f>
        <v>0.00156983</v>
      </c>
      <c r="V53" s="6" t="s">
        <v>123</v>
      </c>
      <c r="W53" s="6" t="s">
        <v>123</v>
      </c>
      <c r="X53" s="6" t="s">
        <v>123</v>
      </c>
      <c r="Y53" s="6" t="s">
        <v>123</v>
      </c>
      <c r="Z53" s="6" t="s">
        <v>123</v>
      </c>
      <c r="AA53" s="6" t="s">
        <v>123</v>
      </c>
      <c r="AB53" s="6" t="s">
        <v>123</v>
      </c>
      <c r="AC53" s="6" t="s">
        <v>123</v>
      </c>
      <c r="AD53" s="6" t="n">
        <v>8.328</v>
      </c>
      <c r="AE53" s="6" t="s">
        <v>430</v>
      </c>
      <c r="AF53" s="6" t="s">
        <v>123</v>
      </c>
      <c r="AG53" s="6" t="s">
        <v>123</v>
      </c>
      <c r="AH53" s="6" t="s">
        <v>123</v>
      </c>
      <c r="AI53" s="6" t="s">
        <v>123</v>
      </c>
      <c r="AJ53" s="8"/>
      <c r="AK53" s="8"/>
      <c r="AL53" s="8"/>
      <c r="AM53" s="8"/>
      <c r="AN53" s="8"/>
      <c r="AO53" s="8"/>
      <c r="AP53" s="9" t="s">
        <v>431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63.75" hidden="true" customHeight="true" outlineLevel="0" collapsed="false">
      <c r="A54" s="6" t="s">
        <v>1</v>
      </c>
      <c r="B54" s="6" t="n">
        <v>7</v>
      </c>
      <c r="C54" s="6" t="n">
        <v>140776994</v>
      </c>
      <c r="D54" s="6" t="s">
        <v>382</v>
      </c>
      <c r="E54" s="6" t="s">
        <v>383</v>
      </c>
      <c r="F54" s="6" t="s">
        <v>384</v>
      </c>
      <c r="G54" s="6" t="s">
        <v>432</v>
      </c>
      <c r="H54" s="6" t="s">
        <v>433</v>
      </c>
      <c r="I54" s="6" t="s">
        <v>434</v>
      </c>
      <c r="J54" s="6" t="s">
        <v>435</v>
      </c>
      <c r="K54" s="6" t="s">
        <v>120</v>
      </c>
      <c r="L54" s="6" t="s">
        <v>436</v>
      </c>
      <c r="M54" s="6" t="n">
        <v>4576</v>
      </c>
      <c r="N54" s="7" t="n">
        <v>0.0427</v>
      </c>
      <c r="O54" s="6" t="s">
        <v>122</v>
      </c>
      <c r="P54" s="6" t="s">
        <v>123</v>
      </c>
      <c r="Q54" s="6" t="s">
        <v>123</v>
      </c>
      <c r="R54" s="6" t="s">
        <v>123</v>
      </c>
      <c r="S54" s="6" t="s">
        <v>123</v>
      </c>
      <c r="T54" s="6" t="s">
        <v>123</v>
      </c>
      <c r="U54" s="6" t="s">
        <v>123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21</v>
      </c>
      <c r="AA54" s="6" t="n">
        <v>-44</v>
      </c>
      <c r="AB54" s="6" t="n">
        <v>-6</v>
      </c>
      <c r="AC54" s="6" t="n">
        <v>18</v>
      </c>
      <c r="AD54" s="6" t="n">
        <v>27.7</v>
      </c>
      <c r="AE54" s="6" t="s">
        <v>124</v>
      </c>
      <c r="AF54" s="6" t="s">
        <v>123</v>
      </c>
      <c r="AG54" s="6" t="s">
        <v>123</v>
      </c>
      <c r="AH54" s="6" t="s">
        <v>123</v>
      </c>
      <c r="AI54" s="6" t="s">
        <v>123</v>
      </c>
      <c r="AJ54" s="8"/>
      <c r="AK54" s="8"/>
      <c r="AL54" s="8"/>
      <c r="AM54" s="8"/>
      <c r="AN54" s="8"/>
      <c r="AO54" s="8"/>
      <c r="AP54" s="9" t="s">
        <v>437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63.75" hidden="true" customHeight="true" outlineLevel="0" collapsed="false">
      <c r="A55" s="6" t="s">
        <v>1</v>
      </c>
      <c r="B55" s="6" t="n">
        <v>19</v>
      </c>
      <c r="C55" s="6" t="n">
        <v>12940569</v>
      </c>
      <c r="D55" s="6" t="s">
        <v>438</v>
      </c>
      <c r="E55" s="6" t="s">
        <v>439</v>
      </c>
      <c r="F55" s="6" t="s">
        <v>440</v>
      </c>
      <c r="G55" s="6" t="s">
        <v>441</v>
      </c>
      <c r="H55" s="6" t="s">
        <v>442</v>
      </c>
      <c r="I55" s="6" t="s">
        <v>443</v>
      </c>
      <c r="J55" s="6" t="s">
        <v>444</v>
      </c>
      <c r="K55" s="6" t="s">
        <v>120</v>
      </c>
      <c r="L55" s="6" t="s">
        <v>445</v>
      </c>
      <c r="M55" s="6" t="n">
        <v>4579</v>
      </c>
      <c r="N55" s="7" t="n">
        <v>0.0957</v>
      </c>
      <c r="O55" s="6" t="s">
        <v>122</v>
      </c>
      <c r="P55" s="6" t="s">
        <v>123</v>
      </c>
      <c r="Q55" s="6" t="s">
        <v>123</v>
      </c>
      <c r="R55" s="6" t="s">
        <v>123</v>
      </c>
      <c r="S55" s="6" t="s">
        <v>123</v>
      </c>
      <c r="T55" s="6" t="s">
        <v>123</v>
      </c>
      <c r="U55" s="6" t="s">
        <v>123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-25</v>
      </c>
      <c r="AA55" s="6" t="n">
        <v>17</v>
      </c>
      <c r="AB55" s="6" t="n">
        <v>-1</v>
      </c>
      <c r="AC55" s="6" t="n">
        <v>-10</v>
      </c>
      <c r="AD55" s="6" t="n">
        <v>29</v>
      </c>
      <c r="AE55" s="6" t="s">
        <v>124</v>
      </c>
      <c r="AF55" s="6" t="s">
        <v>123</v>
      </c>
      <c r="AG55" s="6" t="s">
        <v>123</v>
      </c>
      <c r="AH55" s="6" t="s">
        <v>123</v>
      </c>
      <c r="AI55" s="6" t="s">
        <v>123</v>
      </c>
      <c r="AJ55" s="8"/>
      <c r="AK55" s="8"/>
      <c r="AL55" s="8"/>
      <c r="AM55" s="8"/>
      <c r="AN55" s="8"/>
      <c r="AO55" s="8"/>
      <c r="AP55" s="9" t="s">
        <v>446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76.5" hidden="true" customHeight="true" outlineLevel="0" collapsed="false">
      <c r="A56" s="6" t="s">
        <v>1</v>
      </c>
      <c r="B56" s="6" t="n">
        <v>7</v>
      </c>
      <c r="C56" s="6" t="n">
        <v>2917278</v>
      </c>
      <c r="D56" s="6" t="s">
        <v>447</v>
      </c>
      <c r="E56" s="6" t="s">
        <v>448</v>
      </c>
      <c r="F56" s="6" t="s">
        <v>449</v>
      </c>
      <c r="G56" s="6" t="s">
        <v>123</v>
      </c>
      <c r="H56" s="6" t="s">
        <v>450</v>
      </c>
      <c r="I56" s="6"/>
      <c r="J56" s="6" t="s">
        <v>123</v>
      </c>
      <c r="K56" s="6" t="s">
        <v>141</v>
      </c>
      <c r="L56" s="6" t="s">
        <v>451</v>
      </c>
      <c r="M56" s="6" t="n">
        <v>4261</v>
      </c>
      <c r="N56" s="7" t="n">
        <v>0.241</v>
      </c>
      <c r="O56" s="6" t="s">
        <v>122</v>
      </c>
      <c r="P56" s="10" t="n">
        <f aca="false">HYPERLINK("https://www.ncbi.nlm.nih.gov/clinvar/variation/1584992", 1584992)</f>
        <v>1584992</v>
      </c>
      <c r="Q56" s="6" t="s">
        <v>215</v>
      </c>
      <c r="R56" s="6" t="s">
        <v>452</v>
      </c>
      <c r="S56" s="10" t="str">
        <f aca="false">HYPERLINK("https://www.ncbi.nlm.nih.gov/snp/rs372718712", "rs372718712")</f>
        <v>rs372718712</v>
      </c>
      <c r="T56" s="10" t="n">
        <f aca="false">HYPERLINK("https://gnomad.broadinstitute.org/variant/7-2917278-G-A?dataset=gnomad_r4", 0.0000459891)</f>
        <v>4.59891E-005</v>
      </c>
      <c r="U56" s="10" t="n">
        <f aca="false">HYPERLINK("https://gnomad.broadinstitute.org/variant/7-2917278-G-A?dataset=gnomad_r4", 0.0000223786)</f>
        <v>2.23786E-005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12</v>
      </c>
      <c r="AA56" s="6" t="n">
        <v>20</v>
      </c>
      <c r="AB56" s="6" t="n">
        <v>6</v>
      </c>
      <c r="AC56" s="6" t="n">
        <v>12</v>
      </c>
      <c r="AD56" s="6" t="n">
        <v>1.66</v>
      </c>
      <c r="AE56" s="6" t="s">
        <v>124</v>
      </c>
      <c r="AF56" s="6" t="s">
        <v>123</v>
      </c>
      <c r="AG56" s="6" t="s">
        <v>123</v>
      </c>
      <c r="AH56" s="6" t="s">
        <v>123</v>
      </c>
      <c r="AI56" s="6" t="s">
        <v>123</v>
      </c>
      <c r="AJ56" s="8"/>
      <c r="AK56" s="8"/>
      <c r="AL56" s="8"/>
      <c r="AM56" s="8"/>
      <c r="AN56" s="8"/>
      <c r="AO56" s="8"/>
      <c r="AP56" s="9" t="s">
        <v>453</v>
      </c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76.5" hidden="true" customHeight="true" outlineLevel="0" collapsed="false">
      <c r="A57" s="6" t="s">
        <v>1</v>
      </c>
      <c r="B57" s="6" t="n">
        <v>7</v>
      </c>
      <c r="C57" s="6" t="n">
        <v>2913404</v>
      </c>
      <c r="D57" s="6" t="s">
        <v>447</v>
      </c>
      <c r="E57" s="6" t="s">
        <v>448</v>
      </c>
      <c r="F57" s="6" t="s">
        <v>449</v>
      </c>
      <c r="G57" s="6" t="s">
        <v>454</v>
      </c>
      <c r="H57" s="6" t="s">
        <v>455</v>
      </c>
      <c r="I57" s="6" t="s">
        <v>456</v>
      </c>
      <c r="J57" s="6" t="s">
        <v>457</v>
      </c>
      <c r="K57" s="6" t="s">
        <v>120</v>
      </c>
      <c r="L57" s="6" t="s">
        <v>458</v>
      </c>
      <c r="M57" s="6" t="n">
        <v>5484</v>
      </c>
      <c r="N57" s="7" t="n">
        <v>0.485</v>
      </c>
      <c r="O57" s="6" t="s">
        <v>122</v>
      </c>
      <c r="P57" s="10" t="n">
        <f aca="false">HYPERLINK("https://www.ncbi.nlm.nih.gov/clinvar/variation/2929497", 2929497)</f>
        <v>2929497</v>
      </c>
      <c r="Q57" s="6" t="s">
        <v>215</v>
      </c>
      <c r="R57" s="6" t="s">
        <v>452</v>
      </c>
      <c r="S57" s="10" t="str">
        <f aca="false">HYPERLINK("https://www.ncbi.nlm.nih.gov/snp/rs747530675", "rs747530675")</f>
        <v>rs747530675</v>
      </c>
      <c r="T57" s="10" t="n">
        <f aca="false">HYPERLINK("https://gnomad.broadinstitute.org/variant/7-2913404-C-T?dataset=gnomad_r4", 0.0000131432)</f>
        <v>1.31432E-005</v>
      </c>
      <c r="U57" s="10" t="n">
        <f aca="false">HYPERLINK("https://gnomad.broadinstitute.org/variant/7-2913404-C-T?dataset=gnomad_r4", 0.00000890461)</f>
        <v>8.90461E-006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7</v>
      </c>
      <c r="AA57" s="6" t="n">
        <v>10</v>
      </c>
      <c r="AB57" s="6" t="n">
        <v>7</v>
      </c>
      <c r="AC57" s="6" t="n">
        <v>10</v>
      </c>
      <c r="AD57" s="6" t="n">
        <v>12.94</v>
      </c>
      <c r="AE57" s="6" t="s">
        <v>124</v>
      </c>
      <c r="AF57" s="6" t="s">
        <v>123</v>
      </c>
      <c r="AG57" s="6" t="s">
        <v>123</v>
      </c>
      <c r="AH57" s="6" t="s">
        <v>123</v>
      </c>
      <c r="AI57" s="6" t="s">
        <v>123</v>
      </c>
      <c r="AJ57" s="8"/>
      <c r="AK57" s="8"/>
      <c r="AL57" s="8"/>
      <c r="AM57" s="8"/>
      <c r="AN57" s="8"/>
      <c r="AO57" s="8"/>
      <c r="AP57" s="9" t="s">
        <v>459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76.5" hidden="true" customHeight="true" outlineLevel="0" collapsed="false">
      <c r="A58" s="6" t="s">
        <v>1</v>
      </c>
      <c r="B58" s="6" t="n">
        <v>16</v>
      </c>
      <c r="C58" s="6" t="n">
        <v>3767719</v>
      </c>
      <c r="D58" s="6" t="s">
        <v>460</v>
      </c>
      <c r="E58" s="6" t="s">
        <v>461</v>
      </c>
      <c r="F58" s="6" t="s">
        <v>462</v>
      </c>
      <c r="G58" s="6" t="s">
        <v>463</v>
      </c>
      <c r="H58" s="6" t="s">
        <v>464</v>
      </c>
      <c r="I58" s="6" t="s">
        <v>465</v>
      </c>
      <c r="J58" s="6" t="s">
        <v>466</v>
      </c>
      <c r="K58" s="6" t="s">
        <v>301</v>
      </c>
      <c r="L58" s="6" t="s">
        <v>467</v>
      </c>
      <c r="M58" s="6" t="n">
        <v>3517</v>
      </c>
      <c r="N58" s="7" t="n">
        <v>0.312</v>
      </c>
      <c r="O58" s="6" t="s">
        <v>122</v>
      </c>
      <c r="P58" s="6" t="s">
        <v>123</v>
      </c>
      <c r="Q58" s="6" t="s">
        <v>123</v>
      </c>
      <c r="R58" s="6" t="s">
        <v>123</v>
      </c>
      <c r="S58" s="10" t="str">
        <f aca="false">HYPERLINK("https://www.ncbi.nlm.nih.gov/snp/rs1378599948", "rs1378599948")</f>
        <v>rs1378599948</v>
      </c>
      <c r="T58" s="6" t="s">
        <v>123</v>
      </c>
      <c r="U58" s="6" t="s">
        <v>123</v>
      </c>
      <c r="V58" s="6" t="n">
        <v>0</v>
      </c>
      <c r="W58" s="6" t="n">
        <v>0</v>
      </c>
      <c r="X58" s="6" t="n">
        <v>1</v>
      </c>
      <c r="Y58" s="6" t="n">
        <v>1</v>
      </c>
      <c r="Z58" s="6" t="n">
        <v>13</v>
      </c>
      <c r="AA58" s="6" t="n">
        <v>1</v>
      </c>
      <c r="AB58" s="6" t="n">
        <v>2</v>
      </c>
      <c r="AC58" s="6" t="n">
        <v>1</v>
      </c>
      <c r="AD58" s="6" t="s">
        <v>123</v>
      </c>
      <c r="AE58" s="6" t="s">
        <v>124</v>
      </c>
      <c r="AF58" s="6" t="s">
        <v>123</v>
      </c>
      <c r="AG58" s="6" t="s">
        <v>123</v>
      </c>
      <c r="AH58" s="6" t="s">
        <v>123</v>
      </c>
      <c r="AI58" s="6" t="s">
        <v>123</v>
      </c>
      <c r="AJ58" s="8"/>
      <c r="AK58" s="8"/>
      <c r="AL58" s="8"/>
      <c r="AM58" s="8"/>
      <c r="AN58" s="8"/>
      <c r="AO58" s="8"/>
      <c r="AP58" s="9" t="s">
        <v>468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76.5" hidden="true" customHeight="true" outlineLevel="0" collapsed="false">
      <c r="A59" s="6" t="s">
        <v>1</v>
      </c>
      <c r="B59" s="6" t="n">
        <v>16</v>
      </c>
      <c r="C59" s="6" t="n">
        <v>3758051</v>
      </c>
      <c r="D59" s="6" t="s">
        <v>460</v>
      </c>
      <c r="E59" s="6" t="s">
        <v>461</v>
      </c>
      <c r="F59" s="6" t="s">
        <v>462</v>
      </c>
      <c r="G59" s="6" t="s">
        <v>123</v>
      </c>
      <c r="H59" s="6" t="s">
        <v>469</v>
      </c>
      <c r="I59" s="6"/>
      <c r="J59" s="6" t="s">
        <v>123</v>
      </c>
      <c r="K59" s="6" t="s">
        <v>127</v>
      </c>
      <c r="L59" s="6" t="s">
        <v>470</v>
      </c>
      <c r="M59" s="6" t="n">
        <v>2226</v>
      </c>
      <c r="N59" s="7" t="n">
        <v>0.114</v>
      </c>
      <c r="O59" s="6" t="s">
        <v>129</v>
      </c>
      <c r="P59" s="10" t="n">
        <f aca="false">HYPERLINK("https://www.ncbi.nlm.nih.gov/clinvar/variation/194850", 194850)</f>
        <v>194850</v>
      </c>
      <c r="Q59" s="6" t="s">
        <v>283</v>
      </c>
      <c r="R59" s="6" t="s">
        <v>471</v>
      </c>
      <c r="S59" s="10" t="str">
        <f aca="false">HYPERLINK("https://www.ncbi.nlm.nih.gov/snp/rs75459669", "rs75459669")</f>
        <v>rs75459669</v>
      </c>
      <c r="T59" s="10" t="n">
        <f aca="false">HYPERLINK("https://gnomad.broadinstitute.org/variant/16-3758051-TAA-T?dataset=gnomad_r4", 0.0000768983)</f>
        <v>7.68983E-005</v>
      </c>
      <c r="U59" s="10" t="n">
        <f aca="false">HYPERLINK("https://gnomad.broadinstitute.org/variant/16-3758051-TAA-T?dataset=gnomad_r4", 0.000305444)</f>
        <v>0.000305444</v>
      </c>
      <c r="V59" s="6" t="n">
        <v>0.02</v>
      </c>
      <c r="W59" s="6" t="n">
        <v>0</v>
      </c>
      <c r="X59" s="6" t="n">
        <v>0</v>
      </c>
      <c r="Y59" s="6" t="n">
        <v>0</v>
      </c>
      <c r="Z59" s="6" t="n">
        <v>-24</v>
      </c>
      <c r="AA59" s="6" t="n">
        <v>-3</v>
      </c>
      <c r="AB59" s="6" t="n">
        <v>-36</v>
      </c>
      <c r="AC59" s="6" t="n">
        <v>-17</v>
      </c>
      <c r="AD59" s="6" t="n">
        <v>0.938</v>
      </c>
      <c r="AE59" s="6" t="s">
        <v>472</v>
      </c>
      <c r="AF59" s="6" t="s">
        <v>123</v>
      </c>
      <c r="AG59" s="6" t="s">
        <v>123</v>
      </c>
      <c r="AH59" s="6" t="s">
        <v>123</v>
      </c>
      <c r="AI59" s="6" t="s">
        <v>123</v>
      </c>
      <c r="AJ59" s="8"/>
      <c r="AK59" s="8"/>
      <c r="AL59" s="8"/>
      <c r="AM59" s="8"/>
      <c r="AN59" s="8"/>
      <c r="AO59" s="8"/>
      <c r="AP59" s="9" t="s">
        <v>473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63.75" hidden="true" customHeight="true" outlineLevel="0" collapsed="false">
      <c r="A60" s="6" t="s">
        <v>1</v>
      </c>
      <c r="B60" s="6" t="n">
        <v>16</v>
      </c>
      <c r="C60" s="6" t="n">
        <v>3782678</v>
      </c>
      <c r="D60" s="6" t="s">
        <v>460</v>
      </c>
      <c r="E60" s="6" t="s">
        <v>461</v>
      </c>
      <c r="F60" s="6" t="s">
        <v>462</v>
      </c>
      <c r="G60" s="6" t="s">
        <v>123</v>
      </c>
      <c r="H60" s="6" t="s">
        <v>474</v>
      </c>
      <c r="I60" s="6"/>
      <c r="J60" s="6" t="s">
        <v>123</v>
      </c>
      <c r="K60" s="6" t="s">
        <v>127</v>
      </c>
      <c r="L60" s="6" t="s">
        <v>475</v>
      </c>
      <c r="M60" s="6" t="n">
        <v>3371</v>
      </c>
      <c r="N60" s="7" t="n">
        <v>0.0912</v>
      </c>
      <c r="O60" s="6" t="s">
        <v>122</v>
      </c>
      <c r="P60" s="6" t="s">
        <v>123</v>
      </c>
      <c r="Q60" s="6" t="s">
        <v>123</v>
      </c>
      <c r="R60" s="6" t="s">
        <v>123</v>
      </c>
      <c r="S60" s="6" t="s">
        <v>123</v>
      </c>
      <c r="T60" s="6" t="s">
        <v>123</v>
      </c>
      <c r="U60" s="6" t="s">
        <v>123</v>
      </c>
      <c r="V60" s="6" t="n">
        <v>0</v>
      </c>
      <c r="W60" s="6" t="n">
        <v>0</v>
      </c>
      <c r="X60" s="6" t="n">
        <v>0</v>
      </c>
      <c r="Y60" s="6" t="n">
        <v>0.07</v>
      </c>
      <c r="Z60" s="6" t="n">
        <v>-41</v>
      </c>
      <c r="AA60" s="6" t="n">
        <v>27</v>
      </c>
      <c r="AB60" s="6" t="n">
        <v>5</v>
      </c>
      <c r="AC60" s="6" t="n">
        <v>6</v>
      </c>
      <c r="AD60" s="6" t="n">
        <v>17.76</v>
      </c>
      <c r="AE60" s="6" t="s">
        <v>124</v>
      </c>
      <c r="AF60" s="6" t="s">
        <v>123</v>
      </c>
      <c r="AG60" s="6" t="s">
        <v>123</v>
      </c>
      <c r="AH60" s="6" t="s">
        <v>123</v>
      </c>
      <c r="AI60" s="6" t="s">
        <v>123</v>
      </c>
      <c r="AJ60" s="8"/>
      <c r="AK60" s="8"/>
      <c r="AL60" s="8"/>
      <c r="AM60" s="8"/>
      <c r="AN60" s="8"/>
      <c r="AO60" s="8"/>
      <c r="AP60" s="9" t="s">
        <v>476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76.5" hidden="true" customHeight="true" outlineLevel="0" collapsed="false">
      <c r="A61" s="6" t="s">
        <v>1</v>
      </c>
      <c r="B61" s="6" t="n">
        <v>16</v>
      </c>
      <c r="C61" s="6" t="n">
        <v>3729209</v>
      </c>
      <c r="D61" s="6" t="s">
        <v>460</v>
      </c>
      <c r="E61" s="6" t="s">
        <v>461</v>
      </c>
      <c r="F61" s="6" t="s">
        <v>462</v>
      </c>
      <c r="G61" s="6" t="s">
        <v>477</v>
      </c>
      <c r="H61" s="6" t="s">
        <v>478</v>
      </c>
      <c r="I61" s="6" t="s">
        <v>479</v>
      </c>
      <c r="J61" s="6" t="s">
        <v>480</v>
      </c>
      <c r="K61" s="6" t="s">
        <v>153</v>
      </c>
      <c r="L61" s="6" t="s">
        <v>481</v>
      </c>
      <c r="M61" s="6" t="n">
        <v>2585</v>
      </c>
      <c r="N61" s="7" t="n">
        <v>0.366</v>
      </c>
      <c r="O61" s="6" t="s">
        <v>155</v>
      </c>
      <c r="P61" s="10" t="n">
        <f aca="false">HYPERLINK("https://www.ncbi.nlm.nih.gov/clinvar/variation/158391", 158391)</f>
        <v>158391</v>
      </c>
      <c r="Q61" s="6" t="s">
        <v>222</v>
      </c>
      <c r="R61" s="6" t="s">
        <v>482</v>
      </c>
      <c r="S61" s="10" t="str">
        <f aca="false">HYPERLINK("https://www.ncbi.nlm.nih.gov/snp/rs587783507", "rs587783507")</f>
        <v>rs587783507</v>
      </c>
      <c r="T61" s="6" t="s">
        <v>123</v>
      </c>
      <c r="U61" s="10" t="n">
        <f aca="false">HYPERLINK("https://gnomad.broadinstitute.org/variant/16-3729209-TG-T?dataset=gnomad_r4", 0.0000146038)</f>
        <v>1.46038E-005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-26</v>
      </c>
      <c r="AA61" s="6" t="n">
        <v>31</v>
      </c>
      <c r="AB61" s="6" t="n">
        <v>31</v>
      </c>
      <c r="AC61" s="6" t="n">
        <v>15</v>
      </c>
      <c r="AD61" s="6" t="s">
        <v>123</v>
      </c>
      <c r="AE61" s="6" t="s">
        <v>124</v>
      </c>
      <c r="AF61" s="6" t="s">
        <v>123</v>
      </c>
      <c r="AG61" s="6" t="s">
        <v>123</v>
      </c>
      <c r="AH61" s="6" t="s">
        <v>123</v>
      </c>
      <c r="AI61" s="6" t="s">
        <v>123</v>
      </c>
      <c r="AJ61" s="8"/>
      <c r="AK61" s="8"/>
      <c r="AL61" s="8"/>
      <c r="AM61" s="8"/>
      <c r="AN61" s="8"/>
      <c r="AO61" s="8"/>
      <c r="AP61" s="9" t="s">
        <v>483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63.75" hidden="true" customHeight="true" outlineLevel="0" collapsed="false">
      <c r="A62" s="6" t="s">
        <v>1</v>
      </c>
      <c r="B62" s="6" t="n">
        <v>16</v>
      </c>
      <c r="C62" s="6" t="n">
        <v>3778819</v>
      </c>
      <c r="D62" s="6" t="s">
        <v>460</v>
      </c>
      <c r="E62" s="6" t="s">
        <v>461</v>
      </c>
      <c r="F62" s="6" t="s">
        <v>462</v>
      </c>
      <c r="G62" s="6" t="s">
        <v>123</v>
      </c>
      <c r="H62" s="6" t="s">
        <v>484</v>
      </c>
      <c r="I62" s="6"/>
      <c r="J62" s="6" t="s">
        <v>123</v>
      </c>
      <c r="K62" s="6" t="s">
        <v>485</v>
      </c>
      <c r="L62" s="6" t="s">
        <v>486</v>
      </c>
      <c r="M62" s="6" t="n">
        <v>3256</v>
      </c>
      <c r="N62" s="7" t="n">
        <v>0.0936</v>
      </c>
      <c r="O62" s="6" t="s">
        <v>155</v>
      </c>
      <c r="P62" s="6" t="s">
        <v>123</v>
      </c>
      <c r="Q62" s="6" t="s">
        <v>123</v>
      </c>
      <c r="R62" s="6" t="s">
        <v>123</v>
      </c>
      <c r="S62" s="6" t="s">
        <v>123</v>
      </c>
      <c r="T62" s="6" t="s">
        <v>123</v>
      </c>
      <c r="U62" s="6" t="s">
        <v>123</v>
      </c>
      <c r="V62" s="6" t="n">
        <v>0.55</v>
      </c>
      <c r="W62" s="6" t="n">
        <v>0.99</v>
      </c>
      <c r="X62" s="6" t="n">
        <v>0</v>
      </c>
      <c r="Y62" s="6" t="n">
        <v>0</v>
      </c>
      <c r="Z62" s="6" t="n">
        <v>-10</v>
      </c>
      <c r="AA62" s="6" t="n">
        <v>-2</v>
      </c>
      <c r="AB62" s="6" t="n">
        <v>-10</v>
      </c>
      <c r="AC62" s="6" t="n">
        <v>-2</v>
      </c>
      <c r="AD62" s="6" t="n">
        <v>35</v>
      </c>
      <c r="AE62" s="6" t="s">
        <v>124</v>
      </c>
      <c r="AF62" s="6" t="s">
        <v>123</v>
      </c>
      <c r="AG62" s="6" t="s">
        <v>123</v>
      </c>
      <c r="AH62" s="6" t="s">
        <v>123</v>
      </c>
      <c r="AI62" s="6" t="s">
        <v>123</v>
      </c>
      <c r="AJ62" s="8"/>
      <c r="AK62" s="8"/>
      <c r="AL62" s="8"/>
      <c r="AM62" s="8"/>
      <c r="AN62" s="8"/>
      <c r="AO62" s="8"/>
      <c r="AP62" s="9" t="s">
        <v>487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63.75" hidden="true" customHeight="true" outlineLevel="0" collapsed="false">
      <c r="A63" s="6" t="s">
        <v>1</v>
      </c>
      <c r="B63" s="6" t="n">
        <v>16</v>
      </c>
      <c r="C63" s="6" t="n">
        <v>3770853</v>
      </c>
      <c r="D63" s="6" t="s">
        <v>460</v>
      </c>
      <c r="E63" s="6" t="s">
        <v>461</v>
      </c>
      <c r="F63" s="6" t="s">
        <v>462</v>
      </c>
      <c r="G63" s="6" t="s">
        <v>488</v>
      </c>
      <c r="H63" s="6" t="s">
        <v>489</v>
      </c>
      <c r="I63" s="6" t="s">
        <v>490</v>
      </c>
      <c r="J63" s="6" t="s">
        <v>491</v>
      </c>
      <c r="K63" s="6" t="s">
        <v>120</v>
      </c>
      <c r="L63" s="6" t="s">
        <v>492</v>
      </c>
      <c r="M63" s="6" t="n">
        <v>4433</v>
      </c>
      <c r="N63" s="7" t="n">
        <v>0.0983</v>
      </c>
      <c r="O63" s="6" t="s">
        <v>122</v>
      </c>
      <c r="P63" s="6" t="s">
        <v>123</v>
      </c>
      <c r="Q63" s="6" t="s">
        <v>123</v>
      </c>
      <c r="R63" s="6" t="s">
        <v>123</v>
      </c>
      <c r="S63" s="6" t="s">
        <v>123</v>
      </c>
      <c r="T63" s="6" t="s">
        <v>123</v>
      </c>
      <c r="U63" s="6" t="s">
        <v>123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46</v>
      </c>
      <c r="AA63" s="6" t="n">
        <v>-14</v>
      </c>
      <c r="AB63" s="6" t="n">
        <v>4</v>
      </c>
      <c r="AC63" s="6" t="n">
        <v>-14</v>
      </c>
      <c r="AD63" s="6" t="n">
        <v>17.61</v>
      </c>
      <c r="AE63" s="6" t="s">
        <v>124</v>
      </c>
      <c r="AF63" s="6" t="s">
        <v>123</v>
      </c>
      <c r="AG63" s="6" t="s">
        <v>123</v>
      </c>
      <c r="AH63" s="6" t="s">
        <v>123</v>
      </c>
      <c r="AI63" s="6" t="s">
        <v>123</v>
      </c>
      <c r="AJ63" s="8"/>
      <c r="AK63" s="8"/>
      <c r="AL63" s="8"/>
      <c r="AM63" s="8"/>
      <c r="AN63" s="8"/>
      <c r="AO63" s="8"/>
      <c r="AP63" s="9" t="s">
        <v>493</v>
      </c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63.75" hidden="true" customHeight="true" outlineLevel="0" collapsed="false">
      <c r="A64" s="6" t="s">
        <v>1</v>
      </c>
      <c r="B64" s="6" t="n">
        <v>16</v>
      </c>
      <c r="C64" s="6" t="n">
        <v>3758051</v>
      </c>
      <c r="D64" s="6" t="s">
        <v>460</v>
      </c>
      <c r="E64" s="6" t="s">
        <v>461</v>
      </c>
      <c r="F64" s="6" t="s">
        <v>462</v>
      </c>
      <c r="G64" s="6" t="s">
        <v>123</v>
      </c>
      <c r="H64" s="6" t="s">
        <v>494</v>
      </c>
      <c r="I64" s="6"/>
      <c r="J64" s="6" t="s">
        <v>123</v>
      </c>
      <c r="K64" s="6" t="s">
        <v>127</v>
      </c>
      <c r="L64" s="6" t="s">
        <v>495</v>
      </c>
      <c r="M64" s="6" t="n">
        <v>2226</v>
      </c>
      <c r="N64" s="7" t="n">
        <v>0.13</v>
      </c>
      <c r="O64" s="6" t="s">
        <v>129</v>
      </c>
      <c r="P64" s="6" t="s">
        <v>123</v>
      </c>
      <c r="Q64" s="6" t="s">
        <v>123</v>
      </c>
      <c r="R64" s="6" t="s">
        <v>123</v>
      </c>
      <c r="S64" s="6" t="s">
        <v>123</v>
      </c>
      <c r="T64" s="6" t="s">
        <v>123</v>
      </c>
      <c r="U64" s="6" t="s">
        <v>123</v>
      </c>
      <c r="V64" s="6" t="s">
        <v>123</v>
      </c>
      <c r="W64" s="6" t="s">
        <v>123</v>
      </c>
      <c r="X64" s="6" t="s">
        <v>123</v>
      </c>
      <c r="Y64" s="6" t="s">
        <v>123</v>
      </c>
      <c r="Z64" s="6" t="s">
        <v>123</v>
      </c>
      <c r="AA64" s="6" t="s">
        <v>123</v>
      </c>
      <c r="AB64" s="6" t="s">
        <v>123</v>
      </c>
      <c r="AC64" s="6" t="s">
        <v>123</v>
      </c>
      <c r="AD64" s="6" t="s">
        <v>123</v>
      </c>
      <c r="AE64" s="6" t="s">
        <v>124</v>
      </c>
      <c r="AF64" s="6" t="s">
        <v>123</v>
      </c>
      <c r="AG64" s="6" t="s">
        <v>123</v>
      </c>
      <c r="AH64" s="6" t="s">
        <v>123</v>
      </c>
      <c r="AI64" s="6" t="s">
        <v>123</v>
      </c>
      <c r="AJ64" s="8"/>
      <c r="AK64" s="8"/>
      <c r="AL64" s="8"/>
      <c r="AM64" s="8"/>
      <c r="AN64" s="8"/>
      <c r="AO64" s="8"/>
      <c r="AP64" s="9" t="s">
        <v>496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63.75" hidden="true" customHeight="true" outlineLevel="0" collapsed="false">
      <c r="A65" s="6" t="s">
        <v>1</v>
      </c>
      <c r="B65" s="6" t="n">
        <v>16</v>
      </c>
      <c r="C65" s="6" t="n">
        <v>3758051</v>
      </c>
      <c r="D65" s="6" t="s">
        <v>460</v>
      </c>
      <c r="E65" s="6" t="s">
        <v>461</v>
      </c>
      <c r="F65" s="6" t="s">
        <v>462</v>
      </c>
      <c r="G65" s="6" t="s">
        <v>123</v>
      </c>
      <c r="H65" s="6" t="s">
        <v>497</v>
      </c>
      <c r="I65" s="6"/>
      <c r="J65" s="6" t="s">
        <v>123</v>
      </c>
      <c r="K65" s="6" t="s">
        <v>127</v>
      </c>
      <c r="L65" s="6" t="s">
        <v>498</v>
      </c>
      <c r="M65" s="6" t="n">
        <v>2226</v>
      </c>
      <c r="N65" s="7" t="n">
        <v>0.201</v>
      </c>
      <c r="O65" s="6" t="s">
        <v>129</v>
      </c>
      <c r="P65" s="6" t="s">
        <v>123</v>
      </c>
      <c r="Q65" s="6" t="s">
        <v>123</v>
      </c>
      <c r="R65" s="6" t="s">
        <v>123</v>
      </c>
      <c r="S65" s="6" t="s">
        <v>123</v>
      </c>
      <c r="T65" s="6" t="s">
        <v>123</v>
      </c>
      <c r="U65" s="6" t="s">
        <v>123</v>
      </c>
      <c r="V65" s="6" t="s">
        <v>123</v>
      </c>
      <c r="W65" s="6" t="s">
        <v>123</v>
      </c>
      <c r="X65" s="6" t="s">
        <v>123</v>
      </c>
      <c r="Y65" s="6" t="s">
        <v>123</v>
      </c>
      <c r="Z65" s="6" t="s">
        <v>123</v>
      </c>
      <c r="AA65" s="6" t="s">
        <v>123</v>
      </c>
      <c r="AB65" s="6" t="s">
        <v>123</v>
      </c>
      <c r="AC65" s="6" t="s">
        <v>123</v>
      </c>
      <c r="AD65" s="6" t="s">
        <v>123</v>
      </c>
      <c r="AE65" s="6" t="s">
        <v>124</v>
      </c>
      <c r="AF65" s="6" t="s">
        <v>123</v>
      </c>
      <c r="AG65" s="6" t="s">
        <v>123</v>
      </c>
      <c r="AH65" s="6" t="s">
        <v>123</v>
      </c>
      <c r="AI65" s="6" t="s">
        <v>123</v>
      </c>
      <c r="AJ65" s="8"/>
      <c r="AK65" s="8"/>
      <c r="AL65" s="8"/>
      <c r="AM65" s="8"/>
      <c r="AN65" s="8"/>
      <c r="AO65" s="8"/>
      <c r="AP65" s="9" t="s">
        <v>499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63.75" hidden="true" customHeight="true" outlineLevel="0" collapsed="false">
      <c r="A66" s="6" t="s">
        <v>1</v>
      </c>
      <c r="B66" s="6" t="n">
        <v>16</v>
      </c>
      <c r="C66" s="6" t="n">
        <v>3758051</v>
      </c>
      <c r="D66" s="6" t="s">
        <v>460</v>
      </c>
      <c r="E66" s="6" t="s">
        <v>461</v>
      </c>
      <c r="F66" s="6" t="s">
        <v>462</v>
      </c>
      <c r="G66" s="6" t="s">
        <v>123</v>
      </c>
      <c r="H66" s="6" t="s">
        <v>500</v>
      </c>
      <c r="I66" s="6"/>
      <c r="J66" s="6" t="s">
        <v>123</v>
      </c>
      <c r="K66" s="6" t="s">
        <v>127</v>
      </c>
      <c r="L66" s="6" t="s">
        <v>501</v>
      </c>
      <c r="M66" s="6" t="n">
        <v>2226</v>
      </c>
      <c r="N66" s="7" t="n">
        <v>0.34</v>
      </c>
      <c r="O66" s="6" t="s">
        <v>129</v>
      </c>
      <c r="P66" s="10" t="n">
        <f aca="false">HYPERLINK("https://www.ncbi.nlm.nih.gov/clinvar/variation/4285029", 4285029)</f>
        <v>4285029</v>
      </c>
      <c r="Q66" s="6" t="s">
        <v>123</v>
      </c>
      <c r="R66" s="6" t="s">
        <v>123</v>
      </c>
      <c r="S66" s="6" t="s">
        <v>123</v>
      </c>
      <c r="T66" s="10" t="n">
        <f aca="false">HYPERLINK("https://gnomad.broadinstitute.org/variant/16-3758051-TAAAA-T?dataset=gnomad_r4", 0.00000699379)</f>
        <v>6.99379E-006</v>
      </c>
      <c r="U66" s="10" t="n">
        <f aca="false">HYPERLINK("https://gnomad.broadinstitute.org/variant/16-3758051-TAAAA-T?dataset=gnomad_r4", 0.000000767845)</f>
        <v>7.67845E-007</v>
      </c>
      <c r="V66" s="6" t="n">
        <v>0.14</v>
      </c>
      <c r="W66" s="6" t="n">
        <v>0</v>
      </c>
      <c r="X66" s="6" t="n">
        <v>0</v>
      </c>
      <c r="Y66" s="6" t="n">
        <v>0</v>
      </c>
      <c r="Z66" s="6" t="n">
        <v>-24</v>
      </c>
      <c r="AA66" s="6" t="n">
        <v>-3</v>
      </c>
      <c r="AB66" s="6" t="n">
        <v>-40</v>
      </c>
      <c r="AC66" s="6" t="n">
        <v>-17</v>
      </c>
      <c r="AD66" s="6" t="n">
        <v>4.851</v>
      </c>
      <c r="AE66" s="6" t="s">
        <v>124</v>
      </c>
      <c r="AF66" s="6" t="s">
        <v>123</v>
      </c>
      <c r="AG66" s="6" t="s">
        <v>123</v>
      </c>
      <c r="AH66" s="6" t="s">
        <v>123</v>
      </c>
      <c r="AI66" s="6" t="s">
        <v>123</v>
      </c>
      <c r="AJ66" s="8"/>
      <c r="AK66" s="8"/>
      <c r="AL66" s="8"/>
      <c r="AM66" s="8"/>
      <c r="AN66" s="8"/>
      <c r="AO66" s="8"/>
      <c r="AP66" s="9" t="s">
        <v>502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63.75" hidden="true" customHeight="true" outlineLevel="0" collapsed="false">
      <c r="A67" s="6" t="s">
        <v>1</v>
      </c>
      <c r="B67" s="6" t="n">
        <v>16</v>
      </c>
      <c r="C67" s="6" t="n">
        <v>3770557</v>
      </c>
      <c r="D67" s="6" t="s">
        <v>460</v>
      </c>
      <c r="E67" s="6" t="s">
        <v>461</v>
      </c>
      <c r="F67" s="6" t="s">
        <v>462</v>
      </c>
      <c r="G67" s="6" t="s">
        <v>123</v>
      </c>
      <c r="H67" s="6" t="s">
        <v>503</v>
      </c>
      <c r="I67" s="6"/>
      <c r="J67" s="6" t="s">
        <v>123</v>
      </c>
      <c r="K67" s="6" t="s">
        <v>141</v>
      </c>
      <c r="L67" s="6" t="s">
        <v>504</v>
      </c>
      <c r="M67" s="6" t="n">
        <v>3230</v>
      </c>
      <c r="N67" s="7" t="n">
        <v>0.312</v>
      </c>
      <c r="O67" s="6" t="s">
        <v>122</v>
      </c>
      <c r="P67" s="6" t="s">
        <v>123</v>
      </c>
      <c r="Q67" s="6" t="s">
        <v>123</v>
      </c>
      <c r="R67" s="6" t="s">
        <v>123</v>
      </c>
      <c r="S67" s="6" t="s">
        <v>123</v>
      </c>
      <c r="T67" s="6" t="s">
        <v>123</v>
      </c>
      <c r="U67" s="10" t="n">
        <f aca="false">HYPERLINK("https://gnomad.broadinstitute.org/variant/16-3770557-C-T?dataset=gnomad_r4", 0.000000685062)</f>
        <v>6.85062E-007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13</v>
      </c>
      <c r="AA67" s="6" t="n">
        <v>48</v>
      </c>
      <c r="AB67" s="6" t="n">
        <v>13</v>
      </c>
      <c r="AC67" s="6" t="n">
        <v>1</v>
      </c>
      <c r="AD67" s="6" t="n">
        <v>0.61</v>
      </c>
      <c r="AE67" s="6" t="s">
        <v>124</v>
      </c>
      <c r="AF67" s="6" t="s">
        <v>123</v>
      </c>
      <c r="AG67" s="6" t="s">
        <v>123</v>
      </c>
      <c r="AH67" s="6" t="s">
        <v>123</v>
      </c>
      <c r="AI67" s="6" t="s">
        <v>123</v>
      </c>
      <c r="AJ67" s="8"/>
      <c r="AK67" s="8"/>
      <c r="AL67" s="8"/>
      <c r="AM67" s="8"/>
      <c r="AN67" s="8"/>
      <c r="AO67" s="8"/>
      <c r="AP67" s="9" t="s">
        <v>505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76.5" hidden="true" customHeight="true" outlineLevel="0" collapsed="false">
      <c r="A68" s="6" t="s">
        <v>1</v>
      </c>
      <c r="B68" s="6" t="n">
        <v>16</v>
      </c>
      <c r="C68" s="6" t="n">
        <v>3758051</v>
      </c>
      <c r="D68" s="6" t="s">
        <v>460</v>
      </c>
      <c r="E68" s="6" t="s">
        <v>461</v>
      </c>
      <c r="F68" s="6" t="s">
        <v>462</v>
      </c>
      <c r="G68" s="6" t="s">
        <v>123</v>
      </c>
      <c r="H68" s="6" t="s">
        <v>506</v>
      </c>
      <c r="I68" s="6"/>
      <c r="J68" s="6" t="s">
        <v>123</v>
      </c>
      <c r="K68" s="6" t="s">
        <v>127</v>
      </c>
      <c r="L68" s="6" t="s">
        <v>507</v>
      </c>
      <c r="M68" s="6" t="n">
        <v>2226</v>
      </c>
      <c r="N68" s="7" t="n">
        <v>0.2</v>
      </c>
      <c r="O68" s="6" t="s">
        <v>129</v>
      </c>
      <c r="P68" s="10" t="n">
        <f aca="false">HYPERLINK("https://www.ncbi.nlm.nih.gov/clinvar/variation/4285030", 4285030)</f>
        <v>4285030</v>
      </c>
      <c r="Q68" s="6" t="s">
        <v>123</v>
      </c>
      <c r="R68" s="6" t="s">
        <v>123</v>
      </c>
      <c r="S68" s="10" t="str">
        <f aca="false">HYPERLINK("https://www.ncbi.nlm.nih.gov/snp/rs75459669", "rs75459669")</f>
        <v>rs75459669</v>
      </c>
      <c r="T68" s="10" t="n">
        <f aca="false">HYPERLINK("https://gnomad.broadinstitute.org/variant/16-3758051-TAAA-T?dataset=gnomad_r4", 0.00000699389)</f>
        <v>6.99389E-006</v>
      </c>
      <c r="U68" s="10" t="n">
        <f aca="false">HYPERLINK("https://gnomad.broadinstitute.org/variant/16-3758051-TAAA-T?dataset=gnomad_r4", 0.00000537557)</f>
        <v>5.37557E-006</v>
      </c>
      <c r="V68" s="6" t="n">
        <v>0.1</v>
      </c>
      <c r="W68" s="6" t="n">
        <v>0</v>
      </c>
      <c r="X68" s="6" t="n">
        <v>0</v>
      </c>
      <c r="Y68" s="6" t="n">
        <v>0</v>
      </c>
      <c r="Z68" s="6" t="n">
        <v>-24</v>
      </c>
      <c r="AA68" s="6" t="n">
        <v>-3</v>
      </c>
      <c r="AB68" s="6" t="n">
        <v>-24</v>
      </c>
      <c r="AC68" s="6" t="n">
        <v>-17</v>
      </c>
      <c r="AD68" s="6" t="n">
        <v>3.532</v>
      </c>
      <c r="AE68" s="6" t="s">
        <v>124</v>
      </c>
      <c r="AF68" s="6" t="s">
        <v>123</v>
      </c>
      <c r="AG68" s="6" t="s">
        <v>123</v>
      </c>
      <c r="AH68" s="6" t="s">
        <v>123</v>
      </c>
      <c r="AI68" s="6" t="s">
        <v>123</v>
      </c>
      <c r="AJ68" s="8"/>
      <c r="AK68" s="8"/>
      <c r="AL68" s="8"/>
      <c r="AM68" s="8"/>
      <c r="AN68" s="8"/>
      <c r="AO68" s="8"/>
      <c r="AP68" s="9" t="s">
        <v>508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63.75" hidden="true" customHeight="true" outlineLevel="0" collapsed="false">
      <c r="A69" s="6" t="s">
        <v>1</v>
      </c>
      <c r="B69" s="6" t="n">
        <v>1</v>
      </c>
      <c r="C69" s="6" t="n">
        <v>36467598</v>
      </c>
      <c r="D69" s="6" t="s">
        <v>509</v>
      </c>
      <c r="E69" s="6" t="s">
        <v>6</v>
      </c>
      <c r="F69" s="6" t="s">
        <v>510</v>
      </c>
      <c r="G69" s="6" t="s">
        <v>511</v>
      </c>
      <c r="H69" s="6" t="s">
        <v>512</v>
      </c>
      <c r="I69" s="6" t="s">
        <v>513</v>
      </c>
      <c r="J69" s="6" t="s">
        <v>514</v>
      </c>
      <c r="K69" s="6" t="s">
        <v>120</v>
      </c>
      <c r="L69" s="6" t="s">
        <v>515</v>
      </c>
      <c r="M69" s="6" t="n">
        <v>3456</v>
      </c>
      <c r="N69" s="7" t="n">
        <v>0.323</v>
      </c>
      <c r="O69" s="6" t="s">
        <v>122</v>
      </c>
      <c r="P69" s="6" t="s">
        <v>123</v>
      </c>
      <c r="Q69" s="6" t="s">
        <v>123</v>
      </c>
      <c r="R69" s="6" t="s">
        <v>123</v>
      </c>
      <c r="S69" s="6" t="s">
        <v>123</v>
      </c>
      <c r="T69" s="6" t="s">
        <v>123</v>
      </c>
      <c r="U69" s="6" t="s">
        <v>123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-1</v>
      </c>
      <c r="AA69" s="6" t="n">
        <v>-35</v>
      </c>
      <c r="AB69" s="6" t="n">
        <v>-40</v>
      </c>
      <c r="AC69" s="6" t="n">
        <v>-35</v>
      </c>
      <c r="AD69" s="6" t="n">
        <v>0.108</v>
      </c>
      <c r="AE69" s="6" t="s">
        <v>124</v>
      </c>
      <c r="AF69" s="6" t="s">
        <v>123</v>
      </c>
      <c r="AG69" s="6" t="s">
        <v>123</v>
      </c>
      <c r="AH69" s="6" t="s">
        <v>123</v>
      </c>
      <c r="AI69" s="6" t="s">
        <v>123</v>
      </c>
      <c r="AJ69" s="8"/>
      <c r="AK69" s="8"/>
      <c r="AL69" s="8"/>
      <c r="AM69" s="8"/>
      <c r="AN69" s="8"/>
      <c r="AO69" s="8"/>
      <c r="AP69" s="9" t="s">
        <v>516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76.5" hidden="true" customHeight="true" outlineLevel="0" collapsed="false">
      <c r="A70" s="6" t="s">
        <v>1</v>
      </c>
      <c r="B70" s="6" t="n">
        <v>1</v>
      </c>
      <c r="C70" s="6" t="n">
        <v>36469721</v>
      </c>
      <c r="D70" s="6" t="s">
        <v>509</v>
      </c>
      <c r="E70" s="6" t="s">
        <v>6</v>
      </c>
      <c r="F70" s="6" t="s">
        <v>510</v>
      </c>
      <c r="G70" s="6" t="s">
        <v>517</v>
      </c>
      <c r="H70" s="6" t="s">
        <v>518</v>
      </c>
      <c r="I70" s="6" t="s">
        <v>519</v>
      </c>
      <c r="J70" s="6" t="s">
        <v>520</v>
      </c>
      <c r="K70" s="6" t="s">
        <v>153</v>
      </c>
      <c r="L70" s="6" t="s">
        <v>521</v>
      </c>
      <c r="M70" s="6" t="n">
        <v>3494</v>
      </c>
      <c r="N70" s="7" t="n">
        <v>0.0511</v>
      </c>
      <c r="O70" s="6" t="s">
        <v>122</v>
      </c>
      <c r="P70" s="10" t="n">
        <f aca="false">HYPERLINK("https://www.ncbi.nlm.nih.gov/clinvar/variation/971335", 971335)</f>
        <v>971335</v>
      </c>
      <c r="Q70" s="6" t="s">
        <v>165</v>
      </c>
      <c r="R70" s="6" t="s">
        <v>522</v>
      </c>
      <c r="S70" s="10" t="str">
        <f aca="false">HYPERLINK("https://www.ncbi.nlm.nih.gov/snp/rs747437399", "rs747437399")</f>
        <v>rs747437399</v>
      </c>
      <c r="T70" s="6" t="s">
        <v>123</v>
      </c>
      <c r="U70" s="10" t="n">
        <f aca="false">HYPERLINK("https://gnomad.broadinstitute.org/variant/1-36469721-TG-T?dataset=gnomad_r4", 0.00000136816)</f>
        <v>1.36816E-006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8</v>
      </c>
      <c r="AA70" s="6" t="n">
        <v>-2</v>
      </c>
      <c r="AB70" s="6" t="n">
        <v>-2</v>
      </c>
      <c r="AC70" s="6" t="n">
        <v>33</v>
      </c>
      <c r="AD70" s="6" t="s">
        <v>123</v>
      </c>
      <c r="AE70" s="6" t="s">
        <v>124</v>
      </c>
      <c r="AF70" s="6" t="s">
        <v>123</v>
      </c>
      <c r="AG70" s="6" t="s">
        <v>123</v>
      </c>
      <c r="AH70" s="6" t="s">
        <v>123</v>
      </c>
      <c r="AI70" s="6" t="s">
        <v>123</v>
      </c>
      <c r="AJ70" s="8"/>
      <c r="AK70" s="8"/>
      <c r="AL70" s="8"/>
      <c r="AM70" s="8"/>
      <c r="AN70" s="8"/>
      <c r="AO70" s="8"/>
      <c r="AP70" s="9" t="s">
        <v>523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76.5" hidden="true" customHeight="true" outlineLevel="0" collapsed="false">
      <c r="A71" s="6" t="s">
        <v>1</v>
      </c>
      <c r="B71" s="6" t="n">
        <v>5</v>
      </c>
      <c r="C71" s="6" t="n">
        <v>149496878</v>
      </c>
      <c r="D71" s="6" t="s">
        <v>524</v>
      </c>
      <c r="E71" s="6" t="s">
        <v>6</v>
      </c>
      <c r="F71" s="6" t="s">
        <v>525</v>
      </c>
      <c r="G71" s="6" t="s">
        <v>123</v>
      </c>
      <c r="H71" s="6" t="s">
        <v>526</v>
      </c>
      <c r="I71" s="6"/>
      <c r="J71" s="6" t="s">
        <v>123</v>
      </c>
      <c r="K71" s="6" t="s">
        <v>141</v>
      </c>
      <c r="L71" s="6" t="s">
        <v>527</v>
      </c>
      <c r="M71" s="6" t="n">
        <v>2372</v>
      </c>
      <c r="N71" s="7" t="n">
        <v>0.0766</v>
      </c>
      <c r="O71" s="6" t="s">
        <v>528</v>
      </c>
      <c r="P71" s="6" t="s">
        <v>123</v>
      </c>
      <c r="Q71" s="6" t="s">
        <v>123</v>
      </c>
      <c r="R71" s="6" t="s">
        <v>123</v>
      </c>
      <c r="S71" s="10" t="str">
        <f aca="false">HYPERLINK("https://www.ncbi.nlm.nih.gov/snp/rs756936113", "rs756936113")</f>
        <v>rs756936113</v>
      </c>
      <c r="T71" s="10" t="n">
        <f aca="false">HYPERLINK("https://gnomad.broadinstitute.org/variant/5-149496878-CA-C?dataset=gnomad_r4", 0.0000866112)</f>
        <v>8.66112E-005</v>
      </c>
      <c r="U71" s="10" t="n">
        <f aca="false">HYPERLINK("https://gnomad.broadinstitute.org/variant/5-149496878-CA-C?dataset=gnomad_r4", 0.00020658)</f>
        <v>0.00020658</v>
      </c>
      <c r="V71" s="6" t="n">
        <v>0</v>
      </c>
      <c r="W71" s="6" t="n">
        <v>0.02</v>
      </c>
      <c r="X71" s="6" t="n">
        <v>0</v>
      </c>
      <c r="Y71" s="6" t="n">
        <v>0</v>
      </c>
      <c r="Z71" s="6" t="n">
        <v>-10</v>
      </c>
      <c r="AA71" s="6" t="n">
        <v>-18</v>
      </c>
      <c r="AB71" s="6" t="n">
        <v>-18</v>
      </c>
      <c r="AC71" s="6" t="n">
        <v>-17</v>
      </c>
      <c r="AD71" s="6" t="n">
        <v>11.64</v>
      </c>
      <c r="AE71" s="6" t="s">
        <v>124</v>
      </c>
      <c r="AF71" s="6" t="s">
        <v>123</v>
      </c>
      <c r="AG71" s="6" t="s">
        <v>123</v>
      </c>
      <c r="AH71" s="6" t="s">
        <v>123</v>
      </c>
      <c r="AI71" s="6" t="s">
        <v>123</v>
      </c>
      <c r="AJ71" s="8"/>
      <c r="AK71" s="8"/>
      <c r="AL71" s="8"/>
      <c r="AM71" s="8"/>
      <c r="AN71" s="8"/>
      <c r="AO71" s="8"/>
      <c r="AP71" s="9" t="s">
        <v>529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63.75" hidden="true" customHeight="true" outlineLevel="0" collapsed="false">
      <c r="A72" s="6" t="s">
        <v>1</v>
      </c>
      <c r="B72" s="6" t="n">
        <v>16</v>
      </c>
      <c r="C72" s="6" t="n">
        <v>67628416</v>
      </c>
      <c r="D72" s="6" t="s">
        <v>530</v>
      </c>
      <c r="E72" s="6" t="s">
        <v>531</v>
      </c>
      <c r="F72" s="6" t="s">
        <v>532</v>
      </c>
      <c r="G72" s="6" t="s">
        <v>533</v>
      </c>
      <c r="H72" s="6" t="s">
        <v>534</v>
      </c>
      <c r="I72" s="6" t="s">
        <v>535</v>
      </c>
      <c r="J72" s="6" t="s">
        <v>536</v>
      </c>
      <c r="K72" s="6" t="s">
        <v>153</v>
      </c>
      <c r="L72" s="6" t="s">
        <v>537</v>
      </c>
      <c r="M72" s="6" t="n">
        <v>3746</v>
      </c>
      <c r="N72" s="7" t="n">
        <v>0.315</v>
      </c>
      <c r="O72" s="6" t="s">
        <v>122</v>
      </c>
      <c r="P72" s="6" t="s">
        <v>123</v>
      </c>
      <c r="Q72" s="6" t="s">
        <v>123</v>
      </c>
      <c r="R72" s="6" t="s">
        <v>123</v>
      </c>
      <c r="S72" s="6" t="s">
        <v>123</v>
      </c>
      <c r="T72" s="6" t="s">
        <v>123</v>
      </c>
      <c r="U72" s="6" t="s">
        <v>123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-43</v>
      </c>
      <c r="AA72" s="6" t="n">
        <v>-46</v>
      </c>
      <c r="AB72" s="6" t="n">
        <v>19</v>
      </c>
      <c r="AC72" s="6" t="n">
        <v>20</v>
      </c>
      <c r="AD72" s="6" t="s">
        <v>123</v>
      </c>
      <c r="AE72" s="6" t="s">
        <v>124</v>
      </c>
      <c r="AF72" s="6" t="s">
        <v>123</v>
      </c>
      <c r="AG72" s="6" t="s">
        <v>123</v>
      </c>
      <c r="AH72" s="6" t="s">
        <v>123</v>
      </c>
      <c r="AI72" s="6" t="s">
        <v>123</v>
      </c>
      <c r="AJ72" s="8"/>
      <c r="AK72" s="8"/>
      <c r="AL72" s="8"/>
      <c r="AM72" s="8"/>
      <c r="AN72" s="8"/>
      <c r="AO72" s="8"/>
      <c r="AP72" s="9" t="s">
        <v>538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63.75" hidden="true" customHeight="true" outlineLevel="0" collapsed="false">
      <c r="A73" s="6" t="s">
        <v>1</v>
      </c>
      <c r="B73" s="6" t="n">
        <v>7</v>
      </c>
      <c r="C73" s="6" t="n">
        <v>102201902</v>
      </c>
      <c r="D73" s="6" t="s">
        <v>539</v>
      </c>
      <c r="E73" s="6" t="s">
        <v>6</v>
      </c>
      <c r="F73" s="6" t="s">
        <v>540</v>
      </c>
      <c r="G73" s="6" t="s">
        <v>541</v>
      </c>
      <c r="H73" s="6" t="s">
        <v>542</v>
      </c>
      <c r="I73" s="6" t="s">
        <v>543</v>
      </c>
      <c r="J73" s="6" t="s">
        <v>544</v>
      </c>
      <c r="K73" s="6" t="s">
        <v>389</v>
      </c>
      <c r="L73" s="6" t="s">
        <v>545</v>
      </c>
      <c r="M73" s="6" t="n">
        <v>6542</v>
      </c>
      <c r="N73" s="7" t="n">
        <v>0.0634</v>
      </c>
      <c r="O73" s="6" t="s">
        <v>122</v>
      </c>
      <c r="P73" s="6" t="s">
        <v>123</v>
      </c>
      <c r="Q73" s="6" t="s">
        <v>123</v>
      </c>
      <c r="R73" s="6" t="s">
        <v>123</v>
      </c>
      <c r="S73" s="6" t="s">
        <v>123</v>
      </c>
      <c r="T73" s="6" t="s">
        <v>123</v>
      </c>
      <c r="U73" s="6" t="s">
        <v>123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25</v>
      </c>
      <c r="AA73" s="6" t="n">
        <v>-22</v>
      </c>
      <c r="AB73" s="6" t="n">
        <v>-30</v>
      </c>
      <c r="AC73" s="6" t="n">
        <v>25</v>
      </c>
      <c r="AD73" s="6" t="n">
        <v>38</v>
      </c>
      <c r="AE73" s="6" t="s">
        <v>124</v>
      </c>
      <c r="AF73" s="6" t="s">
        <v>123</v>
      </c>
      <c r="AG73" s="6" t="s">
        <v>123</v>
      </c>
      <c r="AH73" s="6" t="s">
        <v>123</v>
      </c>
      <c r="AI73" s="6" t="s">
        <v>123</v>
      </c>
      <c r="AJ73" s="8"/>
      <c r="AK73" s="8"/>
      <c r="AL73" s="8"/>
      <c r="AM73" s="8"/>
      <c r="AN73" s="8"/>
      <c r="AO73" s="8"/>
      <c r="AP73" s="9" t="s">
        <v>546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63.75" hidden="true" customHeight="true" outlineLevel="0" collapsed="false">
      <c r="A74" s="6" t="s">
        <v>1</v>
      </c>
      <c r="B74" s="6" t="n">
        <v>7</v>
      </c>
      <c r="C74" s="6" t="n">
        <v>102234103</v>
      </c>
      <c r="D74" s="6" t="s">
        <v>539</v>
      </c>
      <c r="E74" s="6" t="s">
        <v>6</v>
      </c>
      <c r="F74" s="6" t="s">
        <v>547</v>
      </c>
      <c r="G74" s="6" t="s">
        <v>123</v>
      </c>
      <c r="H74" s="6" t="s">
        <v>548</v>
      </c>
      <c r="I74" s="6"/>
      <c r="J74" s="6" t="s">
        <v>123</v>
      </c>
      <c r="K74" s="6" t="s">
        <v>141</v>
      </c>
      <c r="L74" s="6" t="s">
        <v>549</v>
      </c>
      <c r="M74" s="6" t="n">
        <v>4888</v>
      </c>
      <c r="N74" s="7" t="n">
        <v>0.232</v>
      </c>
      <c r="O74" s="6" t="s">
        <v>122</v>
      </c>
      <c r="P74" s="6" t="s">
        <v>123</v>
      </c>
      <c r="Q74" s="6" t="s">
        <v>123</v>
      </c>
      <c r="R74" s="6" t="s">
        <v>123</v>
      </c>
      <c r="S74" s="6" t="s">
        <v>123</v>
      </c>
      <c r="T74" s="6" t="s">
        <v>123</v>
      </c>
      <c r="U74" s="6" t="s">
        <v>123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-46</v>
      </c>
      <c r="AA74" s="6" t="n">
        <v>35</v>
      </c>
      <c r="AB74" s="6" t="n">
        <v>-10</v>
      </c>
      <c r="AC74" s="6" t="n">
        <v>35</v>
      </c>
      <c r="AD74" s="6" t="n">
        <v>27.8</v>
      </c>
      <c r="AE74" s="6" t="s">
        <v>124</v>
      </c>
      <c r="AF74" s="6" t="s">
        <v>123</v>
      </c>
      <c r="AG74" s="6" t="s">
        <v>123</v>
      </c>
      <c r="AH74" s="6" t="s">
        <v>123</v>
      </c>
      <c r="AI74" s="6" t="s">
        <v>123</v>
      </c>
      <c r="AJ74" s="8"/>
      <c r="AK74" s="8"/>
      <c r="AL74" s="8"/>
      <c r="AM74" s="8"/>
      <c r="AN74" s="8"/>
      <c r="AO74" s="8"/>
      <c r="AP74" s="9" t="s">
        <v>550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76.5" hidden="true" customHeight="true" outlineLevel="0" collapsed="false">
      <c r="A75" s="6" t="s">
        <v>1</v>
      </c>
      <c r="B75" s="6" t="n">
        <v>7</v>
      </c>
      <c r="C75" s="6" t="n">
        <v>101916215</v>
      </c>
      <c r="D75" s="6" t="s">
        <v>539</v>
      </c>
      <c r="E75" s="6" t="s">
        <v>6</v>
      </c>
      <c r="F75" s="6" t="s">
        <v>540</v>
      </c>
      <c r="G75" s="6" t="s">
        <v>551</v>
      </c>
      <c r="H75" s="6" t="s">
        <v>552</v>
      </c>
      <c r="I75" s="6" t="s">
        <v>553</v>
      </c>
      <c r="J75" s="6" t="s">
        <v>554</v>
      </c>
      <c r="K75" s="6" t="s">
        <v>120</v>
      </c>
      <c r="L75" s="6" t="s">
        <v>555</v>
      </c>
      <c r="M75" s="6" t="n">
        <v>4902</v>
      </c>
      <c r="N75" s="7" t="n">
        <v>0.0467</v>
      </c>
      <c r="O75" s="6" t="s">
        <v>122</v>
      </c>
      <c r="P75" s="6" t="s">
        <v>123</v>
      </c>
      <c r="Q75" s="6" t="s">
        <v>123</v>
      </c>
      <c r="R75" s="6" t="s">
        <v>123</v>
      </c>
      <c r="S75" s="10" t="str">
        <f aca="false">HYPERLINK("https://www.ncbi.nlm.nih.gov/snp/rs760414074", "rs760414074")</f>
        <v>rs760414074</v>
      </c>
      <c r="T75" s="6" t="s">
        <v>123</v>
      </c>
      <c r="U75" s="6" t="s">
        <v>123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44</v>
      </c>
      <c r="AA75" s="6" t="n">
        <v>10</v>
      </c>
      <c r="AB75" s="6" t="n">
        <v>17</v>
      </c>
      <c r="AC75" s="6" t="n">
        <v>15</v>
      </c>
      <c r="AD75" s="6" t="n">
        <v>23.2</v>
      </c>
      <c r="AE75" s="6" t="s">
        <v>124</v>
      </c>
      <c r="AF75" s="6" t="s">
        <v>123</v>
      </c>
      <c r="AG75" s="6" t="s">
        <v>123</v>
      </c>
      <c r="AH75" s="6" t="s">
        <v>123</v>
      </c>
      <c r="AI75" s="6" t="s">
        <v>123</v>
      </c>
      <c r="AJ75" s="8"/>
      <c r="AK75" s="8"/>
      <c r="AL75" s="8"/>
      <c r="AM75" s="8"/>
      <c r="AN75" s="8"/>
      <c r="AO75" s="8"/>
      <c r="AP75" s="9" t="s">
        <v>556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63.75" hidden="true" customHeight="true" outlineLevel="0" collapsed="false">
      <c r="A76" s="6" t="s">
        <v>1</v>
      </c>
      <c r="B76" s="6" t="n">
        <v>7</v>
      </c>
      <c r="C76" s="6" t="n">
        <v>102104347</v>
      </c>
      <c r="D76" s="6" t="s">
        <v>539</v>
      </c>
      <c r="E76" s="6" t="s">
        <v>6</v>
      </c>
      <c r="F76" s="6" t="s">
        <v>547</v>
      </c>
      <c r="G76" s="6" t="s">
        <v>557</v>
      </c>
      <c r="H76" s="6" t="s">
        <v>558</v>
      </c>
      <c r="I76" s="6" t="s">
        <v>559</v>
      </c>
      <c r="J76" s="6" t="s">
        <v>560</v>
      </c>
      <c r="K76" s="6" t="s">
        <v>120</v>
      </c>
      <c r="L76" s="6" t="s">
        <v>561</v>
      </c>
      <c r="M76" s="6" t="n">
        <v>3805</v>
      </c>
      <c r="N76" s="7" t="n">
        <v>0.0493</v>
      </c>
      <c r="O76" s="6" t="s">
        <v>155</v>
      </c>
      <c r="P76" s="6" t="s">
        <v>123</v>
      </c>
      <c r="Q76" s="6" t="s">
        <v>123</v>
      </c>
      <c r="R76" s="6" t="s">
        <v>123</v>
      </c>
      <c r="S76" s="6" t="s">
        <v>123</v>
      </c>
      <c r="T76" s="6" t="s">
        <v>123</v>
      </c>
      <c r="U76" s="6" t="s">
        <v>123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1</v>
      </c>
      <c r="AA76" s="6" t="n">
        <v>4</v>
      </c>
      <c r="AB76" s="6" t="n">
        <v>1</v>
      </c>
      <c r="AC76" s="6" t="n">
        <v>-39</v>
      </c>
      <c r="AD76" s="6" t="n">
        <v>25.1</v>
      </c>
      <c r="AE76" s="6" t="s">
        <v>124</v>
      </c>
      <c r="AF76" s="6" t="s">
        <v>123</v>
      </c>
      <c r="AG76" s="6" t="s">
        <v>123</v>
      </c>
      <c r="AH76" s="6" t="s">
        <v>123</v>
      </c>
      <c r="AI76" s="6" t="s">
        <v>123</v>
      </c>
      <c r="AJ76" s="8"/>
      <c r="AK76" s="8"/>
      <c r="AL76" s="8"/>
      <c r="AM76" s="8"/>
      <c r="AN76" s="8"/>
      <c r="AO76" s="8"/>
      <c r="AP76" s="9" t="s">
        <v>562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63.75" hidden="true" customHeight="true" outlineLevel="0" collapsed="false">
      <c r="A77" s="6" t="s">
        <v>1</v>
      </c>
      <c r="B77" s="6" t="n">
        <v>7</v>
      </c>
      <c r="C77" s="6" t="n">
        <v>102104347</v>
      </c>
      <c r="D77" s="6" t="s">
        <v>539</v>
      </c>
      <c r="E77" s="6" t="s">
        <v>6</v>
      </c>
      <c r="F77" s="6" t="s">
        <v>540</v>
      </c>
      <c r="G77" s="6" t="s">
        <v>563</v>
      </c>
      <c r="H77" s="6" t="s">
        <v>564</v>
      </c>
      <c r="I77" s="6" t="s">
        <v>565</v>
      </c>
      <c r="J77" s="6" t="s">
        <v>566</v>
      </c>
      <c r="K77" s="6" t="s">
        <v>120</v>
      </c>
      <c r="L77" s="6" t="s">
        <v>567</v>
      </c>
      <c r="M77" s="6" t="n">
        <v>3805</v>
      </c>
      <c r="N77" s="7" t="n">
        <v>0.0493</v>
      </c>
      <c r="O77" s="6" t="s">
        <v>155</v>
      </c>
      <c r="P77" s="6" t="s">
        <v>123</v>
      </c>
      <c r="Q77" s="6" t="s">
        <v>123</v>
      </c>
      <c r="R77" s="6" t="s">
        <v>123</v>
      </c>
      <c r="S77" s="6" t="s">
        <v>123</v>
      </c>
      <c r="T77" s="6" t="s">
        <v>123</v>
      </c>
      <c r="U77" s="6" t="s">
        <v>123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1</v>
      </c>
      <c r="AA77" s="6" t="n">
        <v>4</v>
      </c>
      <c r="AB77" s="6" t="n">
        <v>1</v>
      </c>
      <c r="AC77" s="6" t="n">
        <v>-39</v>
      </c>
      <c r="AD77" s="6" t="n">
        <v>25.1</v>
      </c>
      <c r="AE77" s="6" t="s">
        <v>124</v>
      </c>
      <c r="AF77" s="6" t="s">
        <v>123</v>
      </c>
      <c r="AG77" s="6" t="s">
        <v>123</v>
      </c>
      <c r="AH77" s="6" t="s">
        <v>123</v>
      </c>
      <c r="AI77" s="6" t="s">
        <v>123</v>
      </c>
      <c r="AJ77" s="8"/>
      <c r="AK77" s="8"/>
      <c r="AL77" s="8"/>
      <c r="AM77" s="8"/>
      <c r="AN77" s="8"/>
      <c r="AO77" s="8"/>
      <c r="AP77" s="9" t="s">
        <v>568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63.75" hidden="true" customHeight="true" outlineLevel="0" collapsed="false">
      <c r="A78" s="6" t="s">
        <v>1</v>
      </c>
      <c r="B78" s="6" t="n">
        <v>7</v>
      </c>
      <c r="C78" s="6" t="n">
        <v>102234103</v>
      </c>
      <c r="D78" s="6" t="s">
        <v>539</v>
      </c>
      <c r="E78" s="6" t="s">
        <v>6</v>
      </c>
      <c r="F78" s="6" t="s">
        <v>540</v>
      </c>
      <c r="G78" s="6" t="s">
        <v>569</v>
      </c>
      <c r="H78" s="6" t="s">
        <v>570</v>
      </c>
      <c r="I78" s="6" t="s">
        <v>571</v>
      </c>
      <c r="J78" s="6" t="s">
        <v>572</v>
      </c>
      <c r="K78" s="6" t="s">
        <v>120</v>
      </c>
      <c r="L78" s="6" t="s">
        <v>573</v>
      </c>
      <c r="M78" s="6" t="n">
        <v>4888</v>
      </c>
      <c r="N78" s="7" t="n">
        <v>0.232</v>
      </c>
      <c r="O78" s="6" t="s">
        <v>122</v>
      </c>
      <c r="P78" s="6" t="s">
        <v>123</v>
      </c>
      <c r="Q78" s="6" t="s">
        <v>123</v>
      </c>
      <c r="R78" s="6" t="s">
        <v>123</v>
      </c>
      <c r="S78" s="6" t="s">
        <v>123</v>
      </c>
      <c r="T78" s="6" t="s">
        <v>123</v>
      </c>
      <c r="U78" s="6" t="s">
        <v>123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-46</v>
      </c>
      <c r="AA78" s="6" t="n">
        <v>35</v>
      </c>
      <c r="AB78" s="6" t="n">
        <v>-10</v>
      </c>
      <c r="AC78" s="6" t="n">
        <v>35</v>
      </c>
      <c r="AD78" s="6" t="n">
        <v>27.8</v>
      </c>
      <c r="AE78" s="6" t="s">
        <v>124</v>
      </c>
      <c r="AF78" s="6" t="s">
        <v>123</v>
      </c>
      <c r="AG78" s="6" t="s">
        <v>123</v>
      </c>
      <c r="AH78" s="6" t="s">
        <v>123</v>
      </c>
      <c r="AI78" s="6" t="s">
        <v>123</v>
      </c>
      <c r="AJ78" s="8"/>
      <c r="AK78" s="8"/>
      <c r="AL78" s="8"/>
      <c r="AM78" s="8"/>
      <c r="AN78" s="8"/>
      <c r="AO78" s="8"/>
      <c r="AP78" s="9" t="s">
        <v>574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63.75" hidden="true" customHeight="true" outlineLevel="0" collapsed="false">
      <c r="A79" s="6" t="s">
        <v>1</v>
      </c>
      <c r="B79" s="6" t="n">
        <v>7</v>
      </c>
      <c r="C79" s="6" t="n">
        <v>102201902</v>
      </c>
      <c r="D79" s="6" t="s">
        <v>539</v>
      </c>
      <c r="E79" s="6" t="s">
        <v>6</v>
      </c>
      <c r="F79" s="6" t="s">
        <v>547</v>
      </c>
      <c r="G79" s="6" t="s">
        <v>123</v>
      </c>
      <c r="H79" s="6" t="s">
        <v>575</v>
      </c>
      <c r="I79" s="6"/>
      <c r="J79" s="6" t="s">
        <v>123</v>
      </c>
      <c r="K79" s="6" t="s">
        <v>141</v>
      </c>
      <c r="L79" s="6" t="s">
        <v>576</v>
      </c>
      <c r="M79" s="6" t="n">
        <v>6542</v>
      </c>
      <c r="N79" s="7" t="n">
        <v>0.0634</v>
      </c>
      <c r="O79" s="6" t="s">
        <v>122</v>
      </c>
      <c r="P79" s="6" t="s">
        <v>123</v>
      </c>
      <c r="Q79" s="6" t="s">
        <v>123</v>
      </c>
      <c r="R79" s="6" t="s">
        <v>123</v>
      </c>
      <c r="S79" s="6" t="s">
        <v>123</v>
      </c>
      <c r="T79" s="6" t="s">
        <v>123</v>
      </c>
      <c r="U79" s="6" t="s">
        <v>123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25</v>
      </c>
      <c r="AA79" s="6" t="n">
        <v>-22</v>
      </c>
      <c r="AB79" s="6" t="n">
        <v>-30</v>
      </c>
      <c r="AC79" s="6" t="n">
        <v>25</v>
      </c>
      <c r="AD79" s="6" t="n">
        <v>38</v>
      </c>
      <c r="AE79" s="6" t="s">
        <v>124</v>
      </c>
      <c r="AF79" s="6" t="s">
        <v>123</v>
      </c>
      <c r="AG79" s="6" t="s">
        <v>123</v>
      </c>
      <c r="AH79" s="6" t="s">
        <v>123</v>
      </c>
      <c r="AI79" s="6" t="s">
        <v>123</v>
      </c>
      <c r="AJ79" s="8"/>
      <c r="AK79" s="8"/>
      <c r="AL79" s="8"/>
      <c r="AM79" s="8"/>
      <c r="AN79" s="8"/>
      <c r="AO79" s="8"/>
      <c r="AP79" s="9" t="s">
        <v>577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76.5" hidden="true" customHeight="true" outlineLevel="0" collapsed="false">
      <c r="A80" s="6" t="s">
        <v>1</v>
      </c>
      <c r="B80" s="6" t="n">
        <v>7</v>
      </c>
      <c r="C80" s="6" t="n">
        <v>102248752</v>
      </c>
      <c r="D80" s="6" t="s">
        <v>539</v>
      </c>
      <c r="E80" s="6" t="s">
        <v>6</v>
      </c>
      <c r="F80" s="6" t="s">
        <v>547</v>
      </c>
      <c r="G80" s="6" t="s">
        <v>123</v>
      </c>
      <c r="H80" s="6" t="s">
        <v>578</v>
      </c>
      <c r="I80" s="6"/>
      <c r="J80" s="6" t="s">
        <v>123</v>
      </c>
      <c r="K80" s="6" t="s">
        <v>141</v>
      </c>
      <c r="L80" s="6" t="s">
        <v>579</v>
      </c>
      <c r="M80" s="6" t="n">
        <v>3822</v>
      </c>
      <c r="N80" s="7" t="n">
        <v>0.0822</v>
      </c>
      <c r="O80" s="6" t="s">
        <v>155</v>
      </c>
      <c r="P80" s="6" t="s">
        <v>123</v>
      </c>
      <c r="Q80" s="6" t="s">
        <v>123</v>
      </c>
      <c r="R80" s="6" t="s">
        <v>123</v>
      </c>
      <c r="S80" s="10" t="str">
        <f aca="false">HYPERLINK("https://www.ncbi.nlm.nih.gov/snp/rs1291999799", "rs1291999799")</f>
        <v>rs1291999799</v>
      </c>
      <c r="T80" s="10" t="n">
        <f aca="false">HYPERLINK("https://gnomad.broadinstitute.org/variant/7-102248752-G-A?dataset=gnomad_r4", 0.0000548388)</f>
        <v>5.48388E-005</v>
      </c>
      <c r="U80" s="10" t="n">
        <f aca="false">HYPERLINK("https://gnomad.broadinstitute.org/variant/7-102248752-G-A?dataset=gnomad_r4", 0.0000524837)</f>
        <v>5.24837E-005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27</v>
      </c>
      <c r="AA80" s="6" t="n">
        <v>43</v>
      </c>
      <c r="AB80" s="6" t="n">
        <v>-36</v>
      </c>
      <c r="AC80" s="6" t="n">
        <v>-48</v>
      </c>
      <c r="AD80" s="6" t="n">
        <v>8.541</v>
      </c>
      <c r="AE80" s="6" t="s">
        <v>124</v>
      </c>
      <c r="AF80" s="6" t="s">
        <v>123</v>
      </c>
      <c r="AG80" s="6" t="s">
        <v>123</v>
      </c>
      <c r="AH80" s="6" t="s">
        <v>123</v>
      </c>
      <c r="AI80" s="6" t="s">
        <v>123</v>
      </c>
      <c r="AJ80" s="8"/>
      <c r="AK80" s="8"/>
      <c r="AL80" s="8"/>
      <c r="AM80" s="8"/>
      <c r="AN80" s="8"/>
      <c r="AO80" s="8"/>
      <c r="AP80" s="9" t="s">
        <v>580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76.5" hidden="true" customHeight="true" outlineLevel="0" collapsed="false">
      <c r="A81" s="6" t="s">
        <v>1</v>
      </c>
      <c r="B81" s="6" t="n">
        <v>7</v>
      </c>
      <c r="C81" s="6" t="n">
        <v>102248752</v>
      </c>
      <c r="D81" s="6" t="s">
        <v>539</v>
      </c>
      <c r="E81" s="6" t="s">
        <v>6</v>
      </c>
      <c r="F81" s="6" t="s">
        <v>540</v>
      </c>
      <c r="G81" s="6" t="s">
        <v>581</v>
      </c>
      <c r="H81" s="6" t="s">
        <v>582</v>
      </c>
      <c r="I81" s="6" t="s">
        <v>583</v>
      </c>
      <c r="J81" s="6" t="s">
        <v>584</v>
      </c>
      <c r="K81" s="6" t="s">
        <v>120</v>
      </c>
      <c r="L81" s="6" t="s">
        <v>585</v>
      </c>
      <c r="M81" s="6" t="n">
        <v>3822</v>
      </c>
      <c r="N81" s="7" t="n">
        <v>0.0822</v>
      </c>
      <c r="O81" s="6" t="s">
        <v>155</v>
      </c>
      <c r="P81" s="6" t="s">
        <v>123</v>
      </c>
      <c r="Q81" s="6" t="s">
        <v>123</v>
      </c>
      <c r="R81" s="6" t="s">
        <v>123</v>
      </c>
      <c r="S81" s="10" t="str">
        <f aca="false">HYPERLINK("https://www.ncbi.nlm.nih.gov/snp/rs1291999799", "rs1291999799")</f>
        <v>rs1291999799</v>
      </c>
      <c r="T81" s="10" t="n">
        <f aca="false">HYPERLINK("https://gnomad.broadinstitute.org/variant/7-102248752-G-A?dataset=gnomad_r4", 0.0000548388)</f>
        <v>5.48388E-005</v>
      </c>
      <c r="U81" s="10" t="n">
        <f aca="false">HYPERLINK("https://gnomad.broadinstitute.org/variant/7-102248752-G-A?dataset=gnomad_r4", 0.0000524837)</f>
        <v>5.24837E-005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27</v>
      </c>
      <c r="AA81" s="6" t="n">
        <v>43</v>
      </c>
      <c r="AB81" s="6" t="n">
        <v>-36</v>
      </c>
      <c r="AC81" s="6" t="n">
        <v>-48</v>
      </c>
      <c r="AD81" s="6" t="n">
        <v>8.541</v>
      </c>
      <c r="AE81" s="6" t="s">
        <v>124</v>
      </c>
      <c r="AF81" s="6" t="s">
        <v>123</v>
      </c>
      <c r="AG81" s="6" t="s">
        <v>123</v>
      </c>
      <c r="AH81" s="6" t="s">
        <v>123</v>
      </c>
      <c r="AI81" s="6" t="s">
        <v>123</v>
      </c>
      <c r="AJ81" s="8"/>
      <c r="AK81" s="8"/>
      <c r="AL81" s="8"/>
      <c r="AM81" s="8"/>
      <c r="AN81" s="8"/>
      <c r="AO81" s="8"/>
      <c r="AP81" s="9" t="s">
        <v>586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76.5" hidden="true" customHeight="true" outlineLevel="0" collapsed="false">
      <c r="A82" s="6" t="s">
        <v>1</v>
      </c>
      <c r="B82" s="6" t="n">
        <v>7</v>
      </c>
      <c r="C82" s="6" t="n">
        <v>101916215</v>
      </c>
      <c r="D82" s="6" t="s">
        <v>539</v>
      </c>
      <c r="E82" s="6" t="s">
        <v>6</v>
      </c>
      <c r="F82" s="6" t="s">
        <v>547</v>
      </c>
      <c r="G82" s="6" t="s">
        <v>587</v>
      </c>
      <c r="H82" s="6" t="s">
        <v>588</v>
      </c>
      <c r="I82" s="6" t="s">
        <v>589</v>
      </c>
      <c r="J82" s="6" t="s">
        <v>590</v>
      </c>
      <c r="K82" s="6" t="s">
        <v>120</v>
      </c>
      <c r="L82" s="6" t="s">
        <v>591</v>
      </c>
      <c r="M82" s="6" t="n">
        <v>4902</v>
      </c>
      <c r="N82" s="7" t="n">
        <v>0.0467</v>
      </c>
      <c r="O82" s="6" t="s">
        <v>122</v>
      </c>
      <c r="P82" s="6" t="s">
        <v>123</v>
      </c>
      <c r="Q82" s="6" t="s">
        <v>123</v>
      </c>
      <c r="R82" s="6" t="s">
        <v>123</v>
      </c>
      <c r="S82" s="10" t="str">
        <f aca="false">HYPERLINK("https://www.ncbi.nlm.nih.gov/snp/rs760414074", "rs760414074")</f>
        <v>rs760414074</v>
      </c>
      <c r="T82" s="6" t="s">
        <v>123</v>
      </c>
      <c r="U82" s="6" t="s">
        <v>123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44</v>
      </c>
      <c r="AA82" s="6" t="n">
        <v>10</v>
      </c>
      <c r="AB82" s="6" t="n">
        <v>17</v>
      </c>
      <c r="AC82" s="6" t="n">
        <v>15</v>
      </c>
      <c r="AD82" s="6" t="n">
        <v>23.2</v>
      </c>
      <c r="AE82" s="6" t="s">
        <v>124</v>
      </c>
      <c r="AF82" s="6" t="s">
        <v>123</v>
      </c>
      <c r="AG82" s="6" t="s">
        <v>123</v>
      </c>
      <c r="AH82" s="6" t="s">
        <v>123</v>
      </c>
      <c r="AI82" s="6" t="s">
        <v>123</v>
      </c>
      <c r="AJ82" s="8"/>
      <c r="AK82" s="8"/>
      <c r="AL82" s="8"/>
      <c r="AM82" s="8"/>
      <c r="AN82" s="8"/>
      <c r="AO82" s="8"/>
      <c r="AP82" s="9" t="s">
        <v>592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63.75" hidden="true" customHeight="true" outlineLevel="0" collapsed="false">
      <c r="A83" s="6" t="s">
        <v>1</v>
      </c>
      <c r="B83" s="6" t="n">
        <v>7</v>
      </c>
      <c r="C83" s="6" t="n">
        <v>102273461</v>
      </c>
      <c r="D83" s="6" t="s">
        <v>539</v>
      </c>
      <c r="E83" s="6" t="s">
        <v>6</v>
      </c>
      <c r="F83" s="6" t="s">
        <v>547</v>
      </c>
      <c r="G83" s="6" t="s">
        <v>593</v>
      </c>
      <c r="H83" s="6" t="s">
        <v>594</v>
      </c>
      <c r="I83" s="6" t="s">
        <v>595</v>
      </c>
      <c r="J83" s="6" t="s">
        <v>596</v>
      </c>
      <c r="K83" s="6" t="s">
        <v>120</v>
      </c>
      <c r="L83" s="6" t="s">
        <v>597</v>
      </c>
      <c r="M83" s="6" t="n">
        <v>5249</v>
      </c>
      <c r="N83" s="7" t="n">
        <v>0.0695</v>
      </c>
      <c r="O83" s="6" t="s">
        <v>122</v>
      </c>
      <c r="P83" s="6" t="s">
        <v>123</v>
      </c>
      <c r="Q83" s="6" t="s">
        <v>123</v>
      </c>
      <c r="R83" s="6" t="s">
        <v>123</v>
      </c>
      <c r="S83" s="6" t="s">
        <v>123</v>
      </c>
      <c r="T83" s="6" t="s">
        <v>123</v>
      </c>
      <c r="U83" s="10" t="n">
        <f aca="false">HYPERLINK("https://gnomad.broadinstitute.org/variant/7-102273461-A-G?dataset=gnomad_r4", 0.000000684451)</f>
        <v>6.84451E-007</v>
      </c>
      <c r="V83" s="6" t="s">
        <v>123</v>
      </c>
      <c r="W83" s="6" t="s">
        <v>123</v>
      </c>
      <c r="X83" s="6" t="s">
        <v>123</v>
      </c>
      <c r="Y83" s="6" t="s">
        <v>123</v>
      </c>
      <c r="Z83" s="6" t="s">
        <v>123</v>
      </c>
      <c r="AA83" s="6" t="s">
        <v>123</v>
      </c>
      <c r="AB83" s="6" t="s">
        <v>123</v>
      </c>
      <c r="AC83" s="6" t="s">
        <v>123</v>
      </c>
      <c r="AD83" s="6" t="n">
        <v>13.12</v>
      </c>
      <c r="AE83" s="6" t="s">
        <v>124</v>
      </c>
      <c r="AF83" s="6" t="s">
        <v>123</v>
      </c>
      <c r="AG83" s="6" t="s">
        <v>123</v>
      </c>
      <c r="AH83" s="6" t="s">
        <v>123</v>
      </c>
      <c r="AI83" s="6" t="s">
        <v>123</v>
      </c>
      <c r="AJ83" s="8"/>
      <c r="AK83" s="8"/>
      <c r="AL83" s="8"/>
      <c r="AM83" s="8"/>
      <c r="AN83" s="8"/>
      <c r="AO83" s="8"/>
      <c r="AP83" s="9" t="s">
        <v>598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76.5" hidden="true" customHeight="true" outlineLevel="0" collapsed="false">
      <c r="A84" s="6" t="s">
        <v>1</v>
      </c>
      <c r="B84" s="6" t="n">
        <v>7</v>
      </c>
      <c r="C84" s="6" t="n">
        <v>102282769</v>
      </c>
      <c r="D84" s="6" t="s">
        <v>539</v>
      </c>
      <c r="E84" s="6" t="s">
        <v>6</v>
      </c>
      <c r="F84" s="6" t="s">
        <v>547</v>
      </c>
      <c r="G84" s="6" t="s">
        <v>599</v>
      </c>
      <c r="H84" s="6" t="s">
        <v>600</v>
      </c>
      <c r="I84" s="6" t="s">
        <v>601</v>
      </c>
      <c r="J84" s="6" t="s">
        <v>602</v>
      </c>
      <c r="K84" s="6" t="s">
        <v>120</v>
      </c>
      <c r="L84" s="6" t="s">
        <v>603</v>
      </c>
      <c r="M84" s="6" t="n">
        <v>3546</v>
      </c>
      <c r="N84" s="7" t="n">
        <v>0.0427</v>
      </c>
      <c r="O84" s="6" t="s">
        <v>122</v>
      </c>
      <c r="P84" s="6" t="s">
        <v>123</v>
      </c>
      <c r="Q84" s="6" t="s">
        <v>123</v>
      </c>
      <c r="R84" s="6" t="s">
        <v>123</v>
      </c>
      <c r="S84" s="10" t="str">
        <f aca="false">HYPERLINK("https://www.ncbi.nlm.nih.gov/snp/rs1039450561", "rs1039450561")</f>
        <v>rs1039450561</v>
      </c>
      <c r="T84" s="10" t="n">
        <f aca="false">HYPERLINK("https://gnomad.broadinstitute.org/variant/7-102282769-G-A?dataset=gnomad_r4", 0.0000263598)</f>
        <v>2.63598E-005</v>
      </c>
      <c r="U84" s="10" t="n">
        <f aca="false">HYPERLINK("https://gnomad.broadinstitute.org/variant/7-102282769-G-A?dataset=gnomad_r4", 0.0000116345)</f>
        <v>1.16345E-005</v>
      </c>
      <c r="V84" s="6" t="s">
        <v>123</v>
      </c>
      <c r="W84" s="6" t="s">
        <v>123</v>
      </c>
      <c r="X84" s="6" t="s">
        <v>123</v>
      </c>
      <c r="Y84" s="6" t="s">
        <v>123</v>
      </c>
      <c r="Z84" s="6" t="s">
        <v>123</v>
      </c>
      <c r="AA84" s="6" t="s">
        <v>123</v>
      </c>
      <c r="AB84" s="6" t="s">
        <v>123</v>
      </c>
      <c r="AC84" s="6" t="s">
        <v>123</v>
      </c>
      <c r="AD84" s="6" t="n">
        <v>24.8</v>
      </c>
      <c r="AE84" s="6" t="s">
        <v>124</v>
      </c>
      <c r="AF84" s="6" t="s">
        <v>123</v>
      </c>
      <c r="AG84" s="6" t="s">
        <v>123</v>
      </c>
      <c r="AH84" s="6" t="s">
        <v>123</v>
      </c>
      <c r="AI84" s="6" t="s">
        <v>123</v>
      </c>
      <c r="AJ84" s="8"/>
      <c r="AK84" s="8"/>
      <c r="AL84" s="8"/>
      <c r="AM84" s="8"/>
      <c r="AN84" s="8"/>
      <c r="AO84" s="8"/>
      <c r="AP84" s="9" t="s">
        <v>604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76.5" hidden="true" customHeight="true" outlineLevel="0" collapsed="false">
      <c r="A85" s="6" t="s">
        <v>1</v>
      </c>
      <c r="B85" s="6" t="n">
        <v>7</v>
      </c>
      <c r="C85" s="6" t="n">
        <v>102277955</v>
      </c>
      <c r="D85" s="6" t="s">
        <v>539</v>
      </c>
      <c r="E85" s="6" t="s">
        <v>6</v>
      </c>
      <c r="F85" s="6" t="s">
        <v>547</v>
      </c>
      <c r="G85" s="6" t="s">
        <v>605</v>
      </c>
      <c r="H85" s="6" t="s">
        <v>606</v>
      </c>
      <c r="I85" s="6" t="s">
        <v>607</v>
      </c>
      <c r="J85" s="6" t="s">
        <v>608</v>
      </c>
      <c r="K85" s="6" t="s">
        <v>120</v>
      </c>
      <c r="L85" s="6" t="s">
        <v>609</v>
      </c>
      <c r="M85" s="6" t="n">
        <v>2839</v>
      </c>
      <c r="N85" s="7" t="n">
        <v>0.0532</v>
      </c>
      <c r="O85" s="6" t="s">
        <v>155</v>
      </c>
      <c r="P85" s="10" t="n">
        <f aca="false">HYPERLINK("https://www.ncbi.nlm.nih.gov/clinvar/variation/2636051", 2636051)</f>
        <v>2636051</v>
      </c>
      <c r="Q85" s="6" t="s">
        <v>253</v>
      </c>
      <c r="R85" s="6" t="s">
        <v>610</v>
      </c>
      <c r="S85" s="10" t="str">
        <f aca="false">HYPERLINK("https://www.ncbi.nlm.nih.gov/snp/rs1288866751", "rs1288866751")</f>
        <v>rs1288866751</v>
      </c>
      <c r="T85" s="10" t="n">
        <f aca="false">HYPERLINK("https://gnomad.broadinstitute.org/variant/7-102277955-C-T?dataset=gnomad_r4", 0.00000658423)</f>
        <v>6.58423E-006</v>
      </c>
      <c r="U85" s="10" t="n">
        <f aca="false">HYPERLINK("https://gnomad.broadinstitute.org/variant/7-102277955-C-T?dataset=gnomad_r4", 0.00000881167)</f>
        <v>8.81167E-006</v>
      </c>
      <c r="V85" s="6" t="s">
        <v>123</v>
      </c>
      <c r="W85" s="6" t="s">
        <v>123</v>
      </c>
      <c r="X85" s="6" t="s">
        <v>123</v>
      </c>
      <c r="Y85" s="6" t="s">
        <v>123</v>
      </c>
      <c r="Z85" s="6" t="s">
        <v>123</v>
      </c>
      <c r="AA85" s="6" t="s">
        <v>123</v>
      </c>
      <c r="AB85" s="6" t="s">
        <v>123</v>
      </c>
      <c r="AC85" s="6" t="s">
        <v>123</v>
      </c>
      <c r="AD85" s="6" t="n">
        <v>27.4</v>
      </c>
      <c r="AE85" s="6" t="s">
        <v>611</v>
      </c>
      <c r="AF85" s="6" t="s">
        <v>123</v>
      </c>
      <c r="AG85" s="6" t="s">
        <v>123</v>
      </c>
      <c r="AH85" s="6" t="s">
        <v>123</v>
      </c>
      <c r="AI85" s="6" t="s">
        <v>123</v>
      </c>
      <c r="AJ85" s="8"/>
      <c r="AK85" s="8"/>
      <c r="AL85" s="8"/>
      <c r="AM85" s="8"/>
      <c r="AN85" s="8"/>
      <c r="AO85" s="8"/>
      <c r="AP85" s="9" t="s">
        <v>612</v>
      </c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76.5" hidden="true" customHeight="true" outlineLevel="0" collapsed="false">
      <c r="A86" s="6" t="s">
        <v>1</v>
      </c>
      <c r="B86" s="6" t="n">
        <v>2</v>
      </c>
      <c r="C86" s="6" t="n">
        <v>136115800</v>
      </c>
      <c r="D86" s="6" t="s">
        <v>613</v>
      </c>
      <c r="E86" s="6" t="s">
        <v>614</v>
      </c>
      <c r="F86" s="6" t="s">
        <v>615</v>
      </c>
      <c r="G86" s="6" t="s">
        <v>616</v>
      </c>
      <c r="H86" s="6" t="s">
        <v>617</v>
      </c>
      <c r="I86" s="6" t="s">
        <v>618</v>
      </c>
      <c r="J86" s="6" t="s">
        <v>619</v>
      </c>
      <c r="K86" s="6" t="s">
        <v>120</v>
      </c>
      <c r="L86" s="6" t="s">
        <v>620</v>
      </c>
      <c r="M86" s="6" t="n">
        <v>3881</v>
      </c>
      <c r="N86" s="7" t="n">
        <v>0.0809</v>
      </c>
      <c r="O86" s="6" t="s">
        <v>155</v>
      </c>
      <c r="P86" s="6" t="s">
        <v>123</v>
      </c>
      <c r="Q86" s="6" t="s">
        <v>123</v>
      </c>
      <c r="R86" s="6" t="s">
        <v>123</v>
      </c>
      <c r="S86" s="10" t="str">
        <f aca="false">HYPERLINK("https://www.ncbi.nlm.nih.gov/snp/rs778969048", "rs778969048")</f>
        <v>rs778969048</v>
      </c>
      <c r="T86" s="10" t="n">
        <f aca="false">HYPERLINK("https://gnomad.broadinstitute.org/variant/2-136115800-G-T?dataset=gnomad_r4", 0.00000657194)</f>
        <v>6.57194E-006</v>
      </c>
      <c r="U86" s="6" t="s">
        <v>123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-2</v>
      </c>
      <c r="AA86" s="6" t="n">
        <v>4</v>
      </c>
      <c r="AB86" s="6" t="n">
        <v>-1</v>
      </c>
      <c r="AC86" s="6" t="n">
        <v>-13</v>
      </c>
      <c r="AD86" s="6" t="n">
        <v>25</v>
      </c>
      <c r="AE86" s="6" t="s">
        <v>124</v>
      </c>
      <c r="AF86" s="6" t="s">
        <v>123</v>
      </c>
      <c r="AG86" s="6" t="s">
        <v>123</v>
      </c>
      <c r="AH86" s="6" t="s">
        <v>123</v>
      </c>
      <c r="AI86" s="6" t="s">
        <v>123</v>
      </c>
      <c r="AJ86" s="8"/>
      <c r="AK86" s="8"/>
      <c r="AL86" s="8"/>
      <c r="AM86" s="8"/>
      <c r="AN86" s="8"/>
      <c r="AO86" s="8"/>
      <c r="AP86" s="9" t="s">
        <v>621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63.75" hidden="true" customHeight="true" outlineLevel="0" collapsed="false">
      <c r="A87" s="6" t="s">
        <v>1</v>
      </c>
      <c r="B87" s="6" t="n">
        <v>2</v>
      </c>
      <c r="C87" s="6" t="n">
        <v>136115701</v>
      </c>
      <c r="D87" s="6" t="s">
        <v>613</v>
      </c>
      <c r="E87" s="6" t="s">
        <v>614</v>
      </c>
      <c r="F87" s="6" t="s">
        <v>615</v>
      </c>
      <c r="G87" s="6" t="s">
        <v>616</v>
      </c>
      <c r="H87" s="6" t="s">
        <v>622</v>
      </c>
      <c r="I87" s="6" t="s">
        <v>623</v>
      </c>
      <c r="J87" s="6" t="s">
        <v>624</v>
      </c>
      <c r="K87" s="6" t="s">
        <v>120</v>
      </c>
      <c r="L87" s="6" t="s">
        <v>625</v>
      </c>
      <c r="M87" s="6" t="n">
        <v>3982</v>
      </c>
      <c r="N87" s="7" t="n">
        <v>0.0978</v>
      </c>
      <c r="O87" s="6" t="s">
        <v>122</v>
      </c>
      <c r="P87" s="6" t="s">
        <v>123</v>
      </c>
      <c r="Q87" s="6" t="s">
        <v>123</v>
      </c>
      <c r="R87" s="6" t="s">
        <v>123</v>
      </c>
      <c r="S87" s="6" t="s">
        <v>123</v>
      </c>
      <c r="T87" s="6" t="s">
        <v>123</v>
      </c>
      <c r="U87" s="6" t="s">
        <v>123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1</v>
      </c>
      <c r="AA87" s="6" t="n">
        <v>28</v>
      </c>
      <c r="AB87" s="6" t="n">
        <v>1</v>
      </c>
      <c r="AC87" s="6" t="n">
        <v>3</v>
      </c>
      <c r="AD87" s="6" t="n">
        <v>32</v>
      </c>
      <c r="AE87" s="6" t="s">
        <v>124</v>
      </c>
      <c r="AF87" s="6" t="s">
        <v>123</v>
      </c>
      <c r="AG87" s="6" t="s">
        <v>123</v>
      </c>
      <c r="AH87" s="6" t="s">
        <v>123</v>
      </c>
      <c r="AI87" s="6" t="s">
        <v>123</v>
      </c>
      <c r="AJ87" s="8"/>
      <c r="AK87" s="8"/>
      <c r="AL87" s="8"/>
      <c r="AM87" s="8"/>
      <c r="AN87" s="8"/>
      <c r="AO87" s="8"/>
      <c r="AP87" s="9" t="s">
        <v>626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76.5" hidden="true" customHeight="true" outlineLevel="0" collapsed="false">
      <c r="A88" s="6" t="s">
        <v>1</v>
      </c>
      <c r="B88" s="6" t="n">
        <v>13</v>
      </c>
      <c r="C88" s="6" t="n">
        <v>72768914</v>
      </c>
      <c r="D88" s="6" t="s">
        <v>627</v>
      </c>
      <c r="E88" s="6" t="s">
        <v>628</v>
      </c>
      <c r="F88" s="6" t="s">
        <v>629</v>
      </c>
      <c r="G88" s="6" t="s">
        <v>123</v>
      </c>
      <c r="H88" s="6" t="s">
        <v>630</v>
      </c>
      <c r="I88" s="6"/>
      <c r="J88" s="6" t="s">
        <v>123</v>
      </c>
      <c r="K88" s="6" t="s">
        <v>127</v>
      </c>
      <c r="L88" s="6" t="s">
        <v>631</v>
      </c>
      <c r="M88" s="6" t="n">
        <v>2415</v>
      </c>
      <c r="N88" s="7" t="n">
        <v>0.0589</v>
      </c>
      <c r="O88" s="6" t="s">
        <v>122</v>
      </c>
      <c r="P88" s="6" t="s">
        <v>123</v>
      </c>
      <c r="Q88" s="6" t="s">
        <v>123</v>
      </c>
      <c r="R88" s="6" t="s">
        <v>123</v>
      </c>
      <c r="S88" s="10" t="str">
        <f aca="false">HYPERLINK("https://www.ncbi.nlm.nih.gov/snp/rs1566244331", "rs1566244331")</f>
        <v>rs1566244331</v>
      </c>
      <c r="T88" s="6" t="s">
        <v>123</v>
      </c>
      <c r="U88" s="6" t="s">
        <v>123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27</v>
      </c>
      <c r="AA88" s="6" t="n">
        <v>-2</v>
      </c>
      <c r="AB88" s="6" t="n">
        <v>-27</v>
      </c>
      <c r="AC88" s="6" t="n">
        <v>-12</v>
      </c>
      <c r="AD88" s="6" t="s">
        <v>123</v>
      </c>
      <c r="AE88" s="6" t="s">
        <v>124</v>
      </c>
      <c r="AF88" s="6" t="s">
        <v>123</v>
      </c>
      <c r="AG88" s="6" t="s">
        <v>123</v>
      </c>
      <c r="AH88" s="6" t="s">
        <v>123</v>
      </c>
      <c r="AI88" s="6" t="s">
        <v>123</v>
      </c>
      <c r="AJ88" s="8"/>
      <c r="AK88" s="8"/>
      <c r="AL88" s="8"/>
      <c r="AM88" s="8"/>
      <c r="AN88" s="8"/>
      <c r="AO88" s="8"/>
      <c r="AP88" s="9" t="s">
        <v>632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63.75" hidden="true" customHeight="true" outlineLevel="0" collapsed="false">
      <c r="A89" s="6" t="s">
        <v>1</v>
      </c>
      <c r="B89" s="6" t="n">
        <v>22</v>
      </c>
      <c r="C89" s="6" t="n">
        <v>41170520</v>
      </c>
      <c r="D89" s="6" t="s">
        <v>633</v>
      </c>
      <c r="E89" s="6" t="s">
        <v>461</v>
      </c>
      <c r="F89" s="6" t="s">
        <v>634</v>
      </c>
      <c r="G89" s="6" t="s">
        <v>635</v>
      </c>
      <c r="H89" s="6" t="s">
        <v>636</v>
      </c>
      <c r="I89" s="6" t="s">
        <v>637</v>
      </c>
      <c r="J89" s="6" t="s">
        <v>638</v>
      </c>
      <c r="K89" s="6" t="s">
        <v>153</v>
      </c>
      <c r="L89" s="6" t="s">
        <v>639</v>
      </c>
      <c r="M89" s="6" t="n">
        <v>3700</v>
      </c>
      <c r="N89" s="7" t="n">
        <v>0.502</v>
      </c>
      <c r="O89" s="6" t="s">
        <v>122</v>
      </c>
      <c r="P89" s="10" t="n">
        <f aca="false">HYPERLINK("https://www.ncbi.nlm.nih.gov/clinvar/variation/3602935", 3602935)</f>
        <v>3602935</v>
      </c>
      <c r="Q89" s="6" t="s">
        <v>165</v>
      </c>
      <c r="R89" s="6" t="s">
        <v>181</v>
      </c>
      <c r="S89" s="6" t="s">
        <v>123</v>
      </c>
      <c r="T89" s="6" t="s">
        <v>123</v>
      </c>
      <c r="U89" s="6" t="s">
        <v>123</v>
      </c>
      <c r="V89" s="6" t="n">
        <v>0</v>
      </c>
      <c r="W89" s="6" t="n">
        <v>0</v>
      </c>
      <c r="X89" s="6" t="n">
        <v>0.08</v>
      </c>
      <c r="Y89" s="6" t="n">
        <v>0</v>
      </c>
      <c r="Z89" s="6" t="n">
        <v>-32</v>
      </c>
      <c r="AA89" s="6" t="n">
        <v>-35</v>
      </c>
      <c r="AB89" s="6" t="n">
        <v>-4</v>
      </c>
      <c r="AC89" s="6" t="n">
        <v>-19</v>
      </c>
      <c r="AD89" s="6" t="s">
        <v>123</v>
      </c>
      <c r="AE89" s="6" t="s">
        <v>124</v>
      </c>
      <c r="AF89" s="6" t="s">
        <v>123</v>
      </c>
      <c r="AG89" s="6" t="s">
        <v>123</v>
      </c>
      <c r="AH89" s="6" t="s">
        <v>123</v>
      </c>
      <c r="AI89" s="6" t="s">
        <v>123</v>
      </c>
      <c r="AJ89" s="8"/>
      <c r="AK89" s="8"/>
      <c r="AL89" s="8"/>
      <c r="AM89" s="8"/>
      <c r="AN89" s="8"/>
      <c r="AO89" s="8"/>
      <c r="AP89" s="9" t="s">
        <v>640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63.75" hidden="true" customHeight="true" outlineLevel="0" collapsed="false">
      <c r="A90" s="6" t="s">
        <v>1</v>
      </c>
      <c r="B90" s="6" t="n">
        <v>22</v>
      </c>
      <c r="C90" s="6" t="n">
        <v>41176805</v>
      </c>
      <c r="D90" s="6" t="s">
        <v>633</v>
      </c>
      <c r="E90" s="6" t="s">
        <v>461</v>
      </c>
      <c r="F90" s="6" t="s">
        <v>634</v>
      </c>
      <c r="G90" s="6" t="s">
        <v>477</v>
      </c>
      <c r="H90" s="6" t="s">
        <v>641</v>
      </c>
      <c r="I90" s="6" t="s">
        <v>642</v>
      </c>
      <c r="J90" s="6" t="s">
        <v>643</v>
      </c>
      <c r="K90" s="6" t="s">
        <v>153</v>
      </c>
      <c r="L90" s="6" t="s">
        <v>644</v>
      </c>
      <c r="M90" s="6" t="n">
        <v>3733</v>
      </c>
      <c r="N90" s="7" t="n">
        <v>0.097</v>
      </c>
      <c r="O90" s="6" t="s">
        <v>122</v>
      </c>
      <c r="P90" s="6" t="s">
        <v>123</v>
      </c>
      <c r="Q90" s="6" t="s">
        <v>123</v>
      </c>
      <c r="R90" s="6" t="s">
        <v>123</v>
      </c>
      <c r="S90" s="6" t="s">
        <v>123</v>
      </c>
      <c r="T90" s="6" t="s">
        <v>123</v>
      </c>
      <c r="U90" s="6" t="s">
        <v>123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32</v>
      </c>
      <c r="AA90" s="6" t="n">
        <v>-32</v>
      </c>
      <c r="AB90" s="6" t="n">
        <v>0</v>
      </c>
      <c r="AC90" s="6" t="n">
        <v>-20</v>
      </c>
      <c r="AD90" s="6" t="s">
        <v>123</v>
      </c>
      <c r="AE90" s="6" t="s">
        <v>124</v>
      </c>
      <c r="AF90" s="6" t="s">
        <v>123</v>
      </c>
      <c r="AG90" s="6" t="s">
        <v>123</v>
      </c>
      <c r="AH90" s="6" t="s">
        <v>123</v>
      </c>
      <c r="AI90" s="6" t="s">
        <v>123</v>
      </c>
      <c r="AJ90" s="8"/>
      <c r="AK90" s="8"/>
      <c r="AL90" s="8"/>
      <c r="AM90" s="8"/>
      <c r="AN90" s="8"/>
      <c r="AO90" s="8"/>
      <c r="AP90" s="9" t="s">
        <v>645</v>
      </c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76.5" hidden="true" customHeight="true" outlineLevel="0" collapsed="false">
      <c r="A91" s="6" t="s">
        <v>1</v>
      </c>
      <c r="B91" s="6" t="n">
        <v>22</v>
      </c>
      <c r="C91" s="6" t="n">
        <v>41151816</v>
      </c>
      <c r="D91" s="6" t="s">
        <v>633</v>
      </c>
      <c r="E91" s="6" t="s">
        <v>461</v>
      </c>
      <c r="F91" s="6" t="s">
        <v>634</v>
      </c>
      <c r="G91" s="6" t="s">
        <v>123</v>
      </c>
      <c r="H91" s="6" t="s">
        <v>646</v>
      </c>
      <c r="I91" s="6"/>
      <c r="J91" s="6" t="s">
        <v>123</v>
      </c>
      <c r="K91" s="6" t="s">
        <v>141</v>
      </c>
      <c r="L91" s="6" t="s">
        <v>647</v>
      </c>
      <c r="M91" s="6" t="n">
        <v>2681</v>
      </c>
      <c r="N91" s="7" t="n">
        <v>0.0698</v>
      </c>
      <c r="O91" s="6" t="s">
        <v>528</v>
      </c>
      <c r="P91" s="6" t="s">
        <v>123</v>
      </c>
      <c r="Q91" s="6" t="s">
        <v>123</v>
      </c>
      <c r="R91" s="6" t="s">
        <v>123</v>
      </c>
      <c r="S91" s="10" t="str">
        <f aca="false">HYPERLINK("https://www.ncbi.nlm.nih.gov/snp/rs1281166131", "rs1281166131")</f>
        <v>rs1281166131</v>
      </c>
      <c r="T91" s="10" t="n">
        <f aca="false">HYPERLINK("https://gnomad.broadinstitute.org/variant/22-41151816-CT-C?dataset=gnomad_r4", 0.00000658007)</f>
        <v>6.58007E-006</v>
      </c>
      <c r="U91" s="10" t="n">
        <f aca="false">HYPERLINK("https://gnomad.broadinstitute.org/variant/22-41151816-CT-C?dataset=gnomad_r4", 0.000000684768)</f>
        <v>6.84768E-007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-26</v>
      </c>
      <c r="AA91" s="6" t="n">
        <v>26</v>
      </c>
      <c r="AB91" s="6" t="n">
        <v>49</v>
      </c>
      <c r="AC91" s="6" t="n">
        <v>30</v>
      </c>
      <c r="AD91" s="6" t="n">
        <v>3.413</v>
      </c>
      <c r="AE91" s="6" t="s">
        <v>124</v>
      </c>
      <c r="AF91" s="6" t="s">
        <v>123</v>
      </c>
      <c r="AG91" s="6" t="s">
        <v>123</v>
      </c>
      <c r="AH91" s="6" t="s">
        <v>123</v>
      </c>
      <c r="AI91" s="6" t="s">
        <v>123</v>
      </c>
      <c r="AJ91" s="8"/>
      <c r="AK91" s="8"/>
      <c r="AL91" s="8"/>
      <c r="AM91" s="8"/>
      <c r="AN91" s="8"/>
      <c r="AO91" s="8"/>
      <c r="AP91" s="9" t="s">
        <v>648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76.5" hidden="true" customHeight="true" outlineLevel="0" collapsed="false">
      <c r="A92" s="6" t="s">
        <v>1</v>
      </c>
      <c r="B92" s="6" t="n">
        <v>22</v>
      </c>
      <c r="C92" s="6" t="n">
        <v>41149020</v>
      </c>
      <c r="D92" s="6" t="s">
        <v>633</v>
      </c>
      <c r="E92" s="6" t="s">
        <v>461</v>
      </c>
      <c r="F92" s="6" t="s">
        <v>634</v>
      </c>
      <c r="G92" s="6" t="s">
        <v>123</v>
      </c>
      <c r="H92" s="6" t="s">
        <v>649</v>
      </c>
      <c r="I92" s="6"/>
      <c r="J92" s="6" t="s">
        <v>123</v>
      </c>
      <c r="K92" s="6" t="s">
        <v>127</v>
      </c>
      <c r="L92" s="6" t="s">
        <v>650</v>
      </c>
      <c r="M92" s="6" t="n">
        <v>3669</v>
      </c>
      <c r="N92" s="7" t="n">
        <v>0.469</v>
      </c>
      <c r="O92" s="6" t="s">
        <v>129</v>
      </c>
      <c r="P92" s="10" t="n">
        <f aca="false">HYPERLINK("https://www.ncbi.nlm.nih.gov/clinvar/variation/4286312", 4286312)</f>
        <v>4286312</v>
      </c>
      <c r="Q92" s="6" t="s">
        <v>123</v>
      </c>
      <c r="R92" s="6" t="s">
        <v>123</v>
      </c>
      <c r="S92" s="10" t="str">
        <f aca="false">HYPERLINK("https://www.ncbi.nlm.nih.gov/snp/rs747710183", "rs747710183")</f>
        <v>rs747710183</v>
      </c>
      <c r="T92" s="6" t="s">
        <v>123</v>
      </c>
      <c r="U92" s="6" t="s">
        <v>123</v>
      </c>
      <c r="V92" s="6" t="n">
        <v>0.01</v>
      </c>
      <c r="W92" s="6" t="n">
        <v>0</v>
      </c>
      <c r="X92" s="6" t="n">
        <v>0</v>
      </c>
      <c r="Y92" s="6" t="n">
        <v>0</v>
      </c>
      <c r="Z92" s="6" t="n">
        <v>-13</v>
      </c>
      <c r="AA92" s="6" t="n">
        <v>18</v>
      </c>
      <c r="AB92" s="6" t="n">
        <v>-10</v>
      </c>
      <c r="AC92" s="6" t="n">
        <v>36</v>
      </c>
      <c r="AD92" s="6" t="s">
        <v>123</v>
      </c>
      <c r="AE92" s="6" t="s">
        <v>124</v>
      </c>
      <c r="AF92" s="6" t="s">
        <v>123</v>
      </c>
      <c r="AG92" s="6" t="s">
        <v>123</v>
      </c>
      <c r="AH92" s="6" t="s">
        <v>123</v>
      </c>
      <c r="AI92" s="6" t="s">
        <v>123</v>
      </c>
      <c r="AJ92" s="8"/>
      <c r="AK92" s="8"/>
      <c r="AL92" s="8"/>
      <c r="AM92" s="8"/>
      <c r="AN92" s="8"/>
      <c r="AO92" s="8"/>
      <c r="AP92" s="9" t="s">
        <v>651</v>
      </c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76.5" hidden="true" customHeight="true" outlineLevel="0" collapsed="false">
      <c r="A93" s="6" t="s">
        <v>1</v>
      </c>
      <c r="B93" s="6" t="n">
        <v>22</v>
      </c>
      <c r="C93" s="6" t="n">
        <v>41154980</v>
      </c>
      <c r="D93" s="6" t="s">
        <v>633</v>
      </c>
      <c r="E93" s="6" t="s">
        <v>461</v>
      </c>
      <c r="F93" s="6" t="s">
        <v>634</v>
      </c>
      <c r="G93" s="6" t="s">
        <v>123</v>
      </c>
      <c r="H93" s="6" t="s">
        <v>652</v>
      </c>
      <c r="I93" s="6"/>
      <c r="J93" s="6" t="s">
        <v>123</v>
      </c>
      <c r="K93" s="6" t="s">
        <v>127</v>
      </c>
      <c r="L93" s="6" t="s">
        <v>653</v>
      </c>
      <c r="M93" s="6" t="n">
        <v>2370</v>
      </c>
      <c r="N93" s="7" t="n">
        <v>0.15</v>
      </c>
      <c r="O93" s="6" t="s">
        <v>179</v>
      </c>
      <c r="P93" s="6" t="s">
        <v>123</v>
      </c>
      <c r="Q93" s="6" t="s">
        <v>123</v>
      </c>
      <c r="R93" s="6" t="s">
        <v>123</v>
      </c>
      <c r="S93" s="10" t="str">
        <f aca="false">HYPERLINK("https://www.ncbi.nlm.nih.gov/snp/rs757931697", "rs757931697")</f>
        <v>rs757931697</v>
      </c>
      <c r="T93" s="10" t="n">
        <f aca="false">HYPERLINK("https://gnomad.broadinstitute.org/variant/22-41154980-CTT-C?dataset=gnomad_r4", 0.00000678887)</f>
        <v>6.78887E-006</v>
      </c>
      <c r="U93" s="10" t="n">
        <f aca="false">HYPERLINK("https://gnomad.broadinstitute.org/variant/22-41154980-CTT-C?dataset=gnomad_r4", 0.00000859578)</f>
        <v>8.59578E-006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30</v>
      </c>
      <c r="AA93" s="6" t="n">
        <v>27</v>
      </c>
      <c r="AB93" s="6" t="n">
        <v>24</v>
      </c>
      <c r="AC93" s="6" t="n">
        <v>27</v>
      </c>
      <c r="AD93" s="6" t="n">
        <v>0.804</v>
      </c>
      <c r="AE93" s="6" t="s">
        <v>124</v>
      </c>
      <c r="AF93" s="6" t="s">
        <v>123</v>
      </c>
      <c r="AG93" s="6" t="s">
        <v>123</v>
      </c>
      <c r="AH93" s="6" t="s">
        <v>123</v>
      </c>
      <c r="AI93" s="6" t="s">
        <v>123</v>
      </c>
      <c r="AJ93" s="8"/>
      <c r="AK93" s="8"/>
      <c r="AL93" s="8"/>
      <c r="AM93" s="8"/>
      <c r="AN93" s="8"/>
      <c r="AO93" s="8"/>
      <c r="AP93" s="9" t="s">
        <v>654</v>
      </c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63.75" hidden="true" customHeight="true" outlineLevel="0" collapsed="false">
      <c r="A94" s="6" t="s">
        <v>1</v>
      </c>
      <c r="B94" s="6" t="n">
        <v>22</v>
      </c>
      <c r="C94" s="6" t="n">
        <v>41154980</v>
      </c>
      <c r="D94" s="6" t="s">
        <v>633</v>
      </c>
      <c r="E94" s="6" t="s">
        <v>461</v>
      </c>
      <c r="F94" s="6" t="s">
        <v>634</v>
      </c>
      <c r="G94" s="6" t="s">
        <v>123</v>
      </c>
      <c r="H94" s="6" t="s">
        <v>655</v>
      </c>
      <c r="I94" s="6"/>
      <c r="J94" s="6" t="s">
        <v>123</v>
      </c>
      <c r="K94" s="6" t="s">
        <v>127</v>
      </c>
      <c r="L94" s="6" t="s">
        <v>656</v>
      </c>
      <c r="M94" s="6" t="n">
        <v>2370</v>
      </c>
      <c r="N94" s="7" t="n">
        <v>0.351</v>
      </c>
      <c r="O94" s="6" t="s">
        <v>179</v>
      </c>
      <c r="P94" s="6" t="s">
        <v>123</v>
      </c>
      <c r="Q94" s="6" t="s">
        <v>123</v>
      </c>
      <c r="R94" s="6" t="s">
        <v>123</v>
      </c>
      <c r="S94" s="6" t="s">
        <v>123</v>
      </c>
      <c r="T94" s="6" t="s">
        <v>123</v>
      </c>
      <c r="U94" s="10" t="n">
        <f aca="false">HYPERLINK("https://gnomad.broadinstitute.org/variant/22-41154980-CTTT-C?dataset=gnomad_r4", 0.000000954761)</f>
        <v>9.54761E-007</v>
      </c>
      <c r="V94" s="6" t="n">
        <v>0.03</v>
      </c>
      <c r="W94" s="6" t="n">
        <v>0</v>
      </c>
      <c r="X94" s="6" t="n">
        <v>0</v>
      </c>
      <c r="Y94" s="6" t="n">
        <v>0</v>
      </c>
      <c r="Z94" s="6" t="n">
        <v>27</v>
      </c>
      <c r="AA94" s="6" t="n">
        <v>14</v>
      </c>
      <c r="AB94" s="6" t="n">
        <v>-20</v>
      </c>
      <c r="AC94" s="6" t="n">
        <v>27</v>
      </c>
      <c r="AD94" s="6" t="s">
        <v>123</v>
      </c>
      <c r="AE94" s="6" t="s">
        <v>124</v>
      </c>
      <c r="AF94" s="6" t="s">
        <v>123</v>
      </c>
      <c r="AG94" s="6" t="s">
        <v>123</v>
      </c>
      <c r="AH94" s="6" t="s">
        <v>123</v>
      </c>
      <c r="AI94" s="6" t="s">
        <v>123</v>
      </c>
      <c r="AJ94" s="8"/>
      <c r="AK94" s="8"/>
      <c r="AL94" s="8"/>
      <c r="AM94" s="8"/>
      <c r="AN94" s="8"/>
      <c r="AO94" s="8"/>
      <c r="AP94" s="9" t="s">
        <v>657</v>
      </c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76.5" hidden="true" customHeight="true" outlineLevel="0" collapsed="false">
      <c r="A95" s="6" t="s">
        <v>1</v>
      </c>
      <c r="B95" s="6" t="n">
        <v>22</v>
      </c>
      <c r="C95" s="6" t="n">
        <v>41140160</v>
      </c>
      <c r="D95" s="6" t="s">
        <v>633</v>
      </c>
      <c r="E95" s="6" t="s">
        <v>461</v>
      </c>
      <c r="F95" s="6" t="s">
        <v>634</v>
      </c>
      <c r="G95" s="6" t="s">
        <v>658</v>
      </c>
      <c r="H95" s="6" t="s">
        <v>659</v>
      </c>
      <c r="I95" s="6" t="s">
        <v>660</v>
      </c>
      <c r="J95" s="6" t="s">
        <v>661</v>
      </c>
      <c r="K95" s="6" t="s">
        <v>120</v>
      </c>
      <c r="L95" s="6" t="s">
        <v>662</v>
      </c>
      <c r="M95" s="6" t="n">
        <v>3531</v>
      </c>
      <c r="N95" s="7" t="n">
        <v>0.321</v>
      </c>
      <c r="O95" s="6" t="s">
        <v>122</v>
      </c>
      <c r="P95" s="10" t="n">
        <f aca="false">HYPERLINK("https://www.ncbi.nlm.nih.gov/clinvar/variation/977155", 977155)</f>
        <v>977155</v>
      </c>
      <c r="Q95" s="6" t="s">
        <v>409</v>
      </c>
      <c r="R95" s="6" t="s">
        <v>663</v>
      </c>
      <c r="S95" s="10" t="str">
        <f aca="false">HYPERLINK("https://www.ncbi.nlm.nih.gov/snp/rs750740148", "rs750740148")</f>
        <v>rs750740148</v>
      </c>
      <c r="T95" s="10" t="n">
        <f aca="false">HYPERLINK("https://gnomad.broadinstitute.org/variant/22-41140160-C-T?dataset=gnomad_r4", 0.0000197189)</f>
        <v>1.97189E-005</v>
      </c>
      <c r="U95" s="10" t="n">
        <f aca="false">HYPERLINK("https://gnomad.broadinstitute.org/variant/22-41140160-C-T?dataset=gnomad_r4", 0.000022577)</f>
        <v>2.2577E-005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24</v>
      </c>
      <c r="AA95" s="6" t="n">
        <v>-42</v>
      </c>
      <c r="AB95" s="6" t="n">
        <v>-20</v>
      </c>
      <c r="AC95" s="6" t="n">
        <v>-17</v>
      </c>
      <c r="AD95" s="6" t="n">
        <v>26.4</v>
      </c>
      <c r="AE95" s="6" t="s">
        <v>124</v>
      </c>
      <c r="AF95" s="6" t="s">
        <v>123</v>
      </c>
      <c r="AG95" s="6" t="s">
        <v>123</v>
      </c>
      <c r="AH95" s="6" t="s">
        <v>123</v>
      </c>
      <c r="AI95" s="6" t="s">
        <v>123</v>
      </c>
      <c r="AJ95" s="8"/>
      <c r="AK95" s="8"/>
      <c r="AL95" s="8"/>
      <c r="AM95" s="8"/>
      <c r="AN95" s="8"/>
      <c r="AO95" s="8"/>
      <c r="AP95" s="9" t="s">
        <v>664</v>
      </c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63.75" hidden="true" customHeight="true" outlineLevel="0" collapsed="false">
      <c r="A96" s="6" t="s">
        <v>1</v>
      </c>
      <c r="B96" s="6" t="n">
        <v>22</v>
      </c>
      <c r="C96" s="6" t="n">
        <v>41126004</v>
      </c>
      <c r="D96" s="6" t="s">
        <v>633</v>
      </c>
      <c r="E96" s="6" t="s">
        <v>461</v>
      </c>
      <c r="F96" s="6" t="s">
        <v>634</v>
      </c>
      <c r="G96" s="6" t="s">
        <v>665</v>
      </c>
      <c r="H96" s="6" t="s">
        <v>666</v>
      </c>
      <c r="I96" s="6" t="s">
        <v>667</v>
      </c>
      <c r="J96" s="6" t="s">
        <v>668</v>
      </c>
      <c r="K96" s="6" t="s">
        <v>153</v>
      </c>
      <c r="L96" s="6" t="s">
        <v>669</v>
      </c>
      <c r="M96" s="6" t="n">
        <v>3423</v>
      </c>
      <c r="N96" s="7" t="n">
        <v>0.0767</v>
      </c>
      <c r="O96" s="6" t="s">
        <v>122</v>
      </c>
      <c r="P96" s="6" t="s">
        <v>123</v>
      </c>
      <c r="Q96" s="6" t="s">
        <v>123</v>
      </c>
      <c r="R96" s="6" t="s">
        <v>123</v>
      </c>
      <c r="S96" s="6" t="s">
        <v>123</v>
      </c>
      <c r="T96" s="6" t="s">
        <v>123</v>
      </c>
      <c r="U96" s="6" t="s">
        <v>123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7</v>
      </c>
      <c r="AA96" s="6" t="n">
        <v>-50</v>
      </c>
      <c r="AB96" s="6" t="n">
        <v>33</v>
      </c>
      <c r="AC96" s="6" t="n">
        <v>36</v>
      </c>
      <c r="AD96" s="6" t="s">
        <v>123</v>
      </c>
      <c r="AE96" s="6" t="s">
        <v>124</v>
      </c>
      <c r="AF96" s="6" t="s">
        <v>123</v>
      </c>
      <c r="AG96" s="6" t="s">
        <v>123</v>
      </c>
      <c r="AH96" s="6" t="s">
        <v>123</v>
      </c>
      <c r="AI96" s="6" t="s">
        <v>123</v>
      </c>
      <c r="AJ96" s="8"/>
      <c r="AK96" s="8"/>
      <c r="AL96" s="8"/>
      <c r="AM96" s="8"/>
      <c r="AN96" s="8"/>
      <c r="AO96" s="8"/>
      <c r="AP96" s="9" t="s">
        <v>670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76.5" hidden="true" customHeight="true" outlineLevel="0" collapsed="false">
      <c r="A97" s="6" t="s">
        <v>1</v>
      </c>
      <c r="B97" s="6" t="n">
        <v>22</v>
      </c>
      <c r="C97" s="6" t="n">
        <v>41149020</v>
      </c>
      <c r="D97" s="6" t="s">
        <v>633</v>
      </c>
      <c r="E97" s="6" t="s">
        <v>461</v>
      </c>
      <c r="F97" s="6" t="s">
        <v>634</v>
      </c>
      <c r="G97" s="6" t="s">
        <v>123</v>
      </c>
      <c r="H97" s="6" t="s">
        <v>671</v>
      </c>
      <c r="I97" s="6"/>
      <c r="J97" s="6" t="s">
        <v>123</v>
      </c>
      <c r="K97" s="6" t="s">
        <v>127</v>
      </c>
      <c r="L97" s="6" t="s">
        <v>672</v>
      </c>
      <c r="M97" s="6" t="n">
        <v>3669</v>
      </c>
      <c r="N97" s="7" t="n">
        <v>0.0974</v>
      </c>
      <c r="O97" s="6" t="s">
        <v>129</v>
      </c>
      <c r="P97" s="6" t="s">
        <v>123</v>
      </c>
      <c r="Q97" s="6" t="s">
        <v>123</v>
      </c>
      <c r="R97" s="6" t="s">
        <v>123</v>
      </c>
      <c r="S97" s="10" t="str">
        <f aca="false">HYPERLINK("https://www.ncbi.nlm.nih.gov/snp/rs747710183", "rs747710183")</f>
        <v>rs747710183</v>
      </c>
      <c r="T97" s="10" t="n">
        <f aca="false">HYPERLINK("https://gnomad.broadinstitute.org/variant/22-41149020-GTT-G?dataset=gnomad_r4", 0.0000306861)</f>
        <v>3.06861E-005</v>
      </c>
      <c r="U97" s="10" t="n">
        <f aca="false">HYPERLINK("https://gnomad.broadinstitute.org/variant/22-41149020-GTT-G?dataset=gnomad_r4", 0.000136645)</f>
        <v>0.000136645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-13</v>
      </c>
      <c r="AA97" s="6" t="n">
        <v>18</v>
      </c>
      <c r="AB97" s="6" t="n">
        <v>-13</v>
      </c>
      <c r="AC97" s="6" t="n">
        <v>36</v>
      </c>
      <c r="AD97" s="6" t="n">
        <v>1.491</v>
      </c>
      <c r="AE97" s="6" t="s">
        <v>124</v>
      </c>
      <c r="AF97" s="6" t="s">
        <v>123</v>
      </c>
      <c r="AG97" s="6" t="s">
        <v>123</v>
      </c>
      <c r="AH97" s="6" t="s">
        <v>123</v>
      </c>
      <c r="AI97" s="6" t="s">
        <v>123</v>
      </c>
      <c r="AJ97" s="8"/>
      <c r="AK97" s="8"/>
      <c r="AL97" s="8"/>
      <c r="AM97" s="8"/>
      <c r="AN97" s="8"/>
      <c r="AO97" s="8"/>
      <c r="AP97" s="9" t="s">
        <v>673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63.75" hidden="true" customHeight="true" outlineLevel="0" collapsed="false">
      <c r="A98" s="6" t="s">
        <v>1</v>
      </c>
      <c r="B98" s="6" t="n">
        <v>22</v>
      </c>
      <c r="C98" s="6" t="n">
        <v>41127583</v>
      </c>
      <c r="D98" s="6" t="s">
        <v>633</v>
      </c>
      <c r="E98" s="6" t="s">
        <v>461</v>
      </c>
      <c r="F98" s="6" t="s">
        <v>634</v>
      </c>
      <c r="G98" s="6" t="s">
        <v>674</v>
      </c>
      <c r="H98" s="6" t="s">
        <v>675</v>
      </c>
      <c r="I98" s="6" t="s">
        <v>676</v>
      </c>
      <c r="J98" s="6" t="s">
        <v>677</v>
      </c>
      <c r="K98" s="6" t="s">
        <v>120</v>
      </c>
      <c r="L98" s="6" t="s">
        <v>678</v>
      </c>
      <c r="M98" s="6" t="n">
        <v>4292</v>
      </c>
      <c r="N98" s="7" t="n">
        <v>0.0548</v>
      </c>
      <c r="O98" s="6" t="s">
        <v>122</v>
      </c>
      <c r="P98" s="6" t="s">
        <v>123</v>
      </c>
      <c r="Q98" s="6" t="s">
        <v>123</v>
      </c>
      <c r="R98" s="6" t="s">
        <v>123</v>
      </c>
      <c r="S98" s="6" t="s">
        <v>123</v>
      </c>
      <c r="T98" s="6" t="s">
        <v>123</v>
      </c>
      <c r="U98" s="10" t="n">
        <f aca="false">HYPERLINK("https://gnomad.broadinstitute.org/variant/22-41127583-C-T?dataset=gnomad_r4", 0.00000136809)</f>
        <v>1.36809E-006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48</v>
      </c>
      <c r="AA98" s="6" t="n">
        <v>18</v>
      </c>
      <c r="AB98" s="6" t="n">
        <v>-2</v>
      </c>
      <c r="AC98" s="6" t="n">
        <v>46</v>
      </c>
      <c r="AD98" s="6" t="n">
        <v>28.2</v>
      </c>
      <c r="AE98" s="6" t="s">
        <v>124</v>
      </c>
      <c r="AF98" s="6" t="s">
        <v>123</v>
      </c>
      <c r="AG98" s="6" t="s">
        <v>123</v>
      </c>
      <c r="AH98" s="6" t="s">
        <v>123</v>
      </c>
      <c r="AI98" s="6" t="s">
        <v>123</v>
      </c>
      <c r="AJ98" s="8"/>
      <c r="AK98" s="8"/>
      <c r="AL98" s="8"/>
      <c r="AM98" s="8"/>
      <c r="AN98" s="8"/>
      <c r="AO98" s="8"/>
      <c r="AP98" s="9" t="s">
        <v>679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76.5" hidden="true" customHeight="true" outlineLevel="0" collapsed="false">
      <c r="A99" s="6" t="s">
        <v>1</v>
      </c>
      <c r="B99" s="6" t="n">
        <v>22</v>
      </c>
      <c r="C99" s="6" t="n">
        <v>41149020</v>
      </c>
      <c r="D99" s="6" t="s">
        <v>633</v>
      </c>
      <c r="E99" s="6" t="s">
        <v>461</v>
      </c>
      <c r="F99" s="6" t="s">
        <v>634</v>
      </c>
      <c r="G99" s="6" t="s">
        <v>123</v>
      </c>
      <c r="H99" s="6" t="s">
        <v>680</v>
      </c>
      <c r="I99" s="6"/>
      <c r="J99" s="6" t="s">
        <v>123</v>
      </c>
      <c r="K99" s="6" t="s">
        <v>127</v>
      </c>
      <c r="L99" s="6" t="s">
        <v>681</v>
      </c>
      <c r="M99" s="6" t="n">
        <v>3669</v>
      </c>
      <c r="N99" s="7" t="n">
        <v>0.313</v>
      </c>
      <c r="O99" s="6" t="s">
        <v>129</v>
      </c>
      <c r="P99" s="10" t="n">
        <f aca="false">HYPERLINK("https://www.ncbi.nlm.nih.gov/clinvar/variation/341793", 341793)</f>
        <v>341793</v>
      </c>
      <c r="Q99" s="6" t="s">
        <v>253</v>
      </c>
      <c r="R99" s="6" t="s">
        <v>682</v>
      </c>
      <c r="S99" s="10" t="str">
        <f aca="false">HYPERLINK("https://www.ncbi.nlm.nih.gov/snp/rs747710183", "rs747710183")</f>
        <v>rs747710183</v>
      </c>
      <c r="T99" s="6" t="s">
        <v>123</v>
      </c>
      <c r="U99" s="10" t="n">
        <f aca="false">HYPERLINK("https://gnomad.broadinstitute.org/variant/22-41149020-GTTT-G?dataset=gnomad_r4", 0.00000376427)</f>
        <v>3.76427E-006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-13</v>
      </c>
      <c r="AA99" s="6" t="n">
        <v>18</v>
      </c>
      <c r="AB99" s="6" t="n">
        <v>-15</v>
      </c>
      <c r="AC99" s="6" t="n">
        <v>36</v>
      </c>
      <c r="AD99" s="6" t="n">
        <v>2.02</v>
      </c>
      <c r="AE99" s="6" t="s">
        <v>124</v>
      </c>
      <c r="AF99" s="6" t="s">
        <v>123</v>
      </c>
      <c r="AG99" s="6" t="s">
        <v>123</v>
      </c>
      <c r="AH99" s="6" t="s">
        <v>123</v>
      </c>
      <c r="AI99" s="6" t="s">
        <v>123</v>
      </c>
      <c r="AJ99" s="8"/>
      <c r="AK99" s="8"/>
      <c r="AL99" s="8"/>
      <c r="AM99" s="8"/>
      <c r="AN99" s="8"/>
      <c r="AO99" s="8"/>
      <c r="AP99" s="9" t="s">
        <v>683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63.75" hidden="true" customHeight="true" outlineLevel="0" collapsed="false">
      <c r="A100" s="6" t="s">
        <v>1</v>
      </c>
      <c r="B100" s="6" t="n">
        <v>12</v>
      </c>
      <c r="C100" s="6" t="n">
        <v>56088069</v>
      </c>
      <c r="D100" s="6" t="s">
        <v>684</v>
      </c>
      <c r="E100" s="6" t="s">
        <v>147</v>
      </c>
      <c r="F100" s="6" t="s">
        <v>685</v>
      </c>
      <c r="G100" s="6" t="s">
        <v>686</v>
      </c>
      <c r="H100" s="6" t="s">
        <v>687</v>
      </c>
      <c r="I100" s="6" t="s">
        <v>688</v>
      </c>
      <c r="J100" s="6" t="s">
        <v>689</v>
      </c>
      <c r="K100" s="6" t="s">
        <v>389</v>
      </c>
      <c r="L100" s="6" t="s">
        <v>690</v>
      </c>
      <c r="M100" s="6" t="n">
        <v>3465</v>
      </c>
      <c r="N100" s="7" t="n">
        <v>0.0901</v>
      </c>
      <c r="O100" s="6" t="s">
        <v>122</v>
      </c>
      <c r="P100" s="6" t="s">
        <v>123</v>
      </c>
      <c r="Q100" s="6" t="s">
        <v>123</v>
      </c>
      <c r="R100" s="6" t="s">
        <v>123</v>
      </c>
      <c r="S100" s="6" t="s">
        <v>123</v>
      </c>
      <c r="T100" s="6" t="s">
        <v>123</v>
      </c>
      <c r="U100" s="6" t="s">
        <v>123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33</v>
      </c>
      <c r="AA100" s="6" t="n">
        <v>3</v>
      </c>
      <c r="AB100" s="6" t="n">
        <v>-16</v>
      </c>
      <c r="AC100" s="6" t="n">
        <v>8</v>
      </c>
      <c r="AD100" s="6" t="n">
        <v>35</v>
      </c>
      <c r="AE100" s="6" t="s">
        <v>124</v>
      </c>
      <c r="AF100" s="6" t="s">
        <v>123</v>
      </c>
      <c r="AG100" s="6" t="s">
        <v>123</v>
      </c>
      <c r="AH100" s="6" t="s">
        <v>123</v>
      </c>
      <c r="AI100" s="6" t="s">
        <v>123</v>
      </c>
      <c r="AJ100" s="8"/>
      <c r="AK100" s="8"/>
      <c r="AL100" s="8"/>
      <c r="AM100" s="8"/>
      <c r="AN100" s="8"/>
      <c r="AO100" s="8"/>
      <c r="AP100" s="9" t="s">
        <v>691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63.75" hidden="true" customHeight="true" outlineLevel="0" collapsed="false">
      <c r="A101" s="6" t="s">
        <v>1</v>
      </c>
      <c r="B101" s="6" t="n">
        <v>7</v>
      </c>
      <c r="C101" s="6" t="n">
        <v>148828860</v>
      </c>
      <c r="D101" s="6" t="s">
        <v>692</v>
      </c>
      <c r="E101" s="6" t="s">
        <v>693</v>
      </c>
      <c r="F101" s="6" t="s">
        <v>694</v>
      </c>
      <c r="G101" s="6" t="s">
        <v>695</v>
      </c>
      <c r="H101" s="6" t="s">
        <v>696</v>
      </c>
      <c r="I101" s="6" t="s">
        <v>697</v>
      </c>
      <c r="J101" s="6" t="s">
        <v>698</v>
      </c>
      <c r="K101" s="6" t="s">
        <v>120</v>
      </c>
      <c r="L101" s="6" t="s">
        <v>699</v>
      </c>
      <c r="M101" s="6" t="n">
        <v>4606</v>
      </c>
      <c r="N101" s="7" t="n">
        <v>0.0544</v>
      </c>
      <c r="O101" s="6" t="s">
        <v>155</v>
      </c>
      <c r="P101" s="6" t="s">
        <v>123</v>
      </c>
      <c r="Q101" s="6" t="s">
        <v>123</v>
      </c>
      <c r="R101" s="6" t="s">
        <v>123</v>
      </c>
      <c r="S101" s="6" t="s">
        <v>123</v>
      </c>
      <c r="T101" s="6" t="s">
        <v>123</v>
      </c>
      <c r="U101" s="6" t="s">
        <v>123</v>
      </c>
      <c r="V101" s="6" t="n">
        <v>0.04</v>
      </c>
      <c r="W101" s="6" t="n">
        <v>0.01</v>
      </c>
      <c r="X101" s="6" t="n">
        <v>0</v>
      </c>
      <c r="Y101" s="6" t="n">
        <v>0</v>
      </c>
      <c r="Z101" s="6" t="n">
        <v>-15</v>
      </c>
      <c r="AA101" s="6" t="n">
        <v>20</v>
      </c>
      <c r="AB101" s="6" t="n">
        <v>20</v>
      </c>
      <c r="AC101" s="6" t="n">
        <v>-17</v>
      </c>
      <c r="AD101" s="6" t="n">
        <v>23.2</v>
      </c>
      <c r="AE101" s="6" t="s">
        <v>124</v>
      </c>
      <c r="AF101" s="6" t="s">
        <v>123</v>
      </c>
      <c r="AG101" s="6" t="s">
        <v>123</v>
      </c>
      <c r="AH101" s="6" t="s">
        <v>123</v>
      </c>
      <c r="AI101" s="6" t="s">
        <v>123</v>
      </c>
      <c r="AJ101" s="8"/>
      <c r="AK101" s="8"/>
      <c r="AL101" s="8"/>
      <c r="AM101" s="8"/>
      <c r="AN101" s="8"/>
      <c r="AO101" s="8"/>
      <c r="AP101" s="9" t="s">
        <v>700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63.75" hidden="true" customHeight="true" outlineLevel="0" collapsed="false">
      <c r="A102" s="6" t="s">
        <v>1</v>
      </c>
      <c r="B102" s="6" t="n">
        <v>7</v>
      </c>
      <c r="C102" s="6" t="n">
        <v>148817932</v>
      </c>
      <c r="D102" s="6" t="s">
        <v>692</v>
      </c>
      <c r="E102" s="6" t="s">
        <v>693</v>
      </c>
      <c r="F102" s="6" t="s">
        <v>694</v>
      </c>
      <c r="G102" s="6" t="s">
        <v>701</v>
      </c>
      <c r="H102" s="6" t="s">
        <v>702</v>
      </c>
      <c r="I102" s="6" t="s">
        <v>703</v>
      </c>
      <c r="J102" s="6" t="s">
        <v>704</v>
      </c>
      <c r="K102" s="6" t="s">
        <v>153</v>
      </c>
      <c r="L102" s="6" t="s">
        <v>705</v>
      </c>
      <c r="M102" s="6" t="n">
        <v>4780</v>
      </c>
      <c r="N102" s="7" t="n">
        <v>0.22</v>
      </c>
      <c r="O102" s="6" t="s">
        <v>122</v>
      </c>
      <c r="P102" s="6" t="s">
        <v>123</v>
      </c>
      <c r="Q102" s="6" t="s">
        <v>123</v>
      </c>
      <c r="R102" s="6" t="s">
        <v>123</v>
      </c>
      <c r="S102" s="6" t="s">
        <v>123</v>
      </c>
      <c r="T102" s="6" t="s">
        <v>123</v>
      </c>
      <c r="U102" s="6" t="s">
        <v>123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16</v>
      </c>
      <c r="AA102" s="6" t="n">
        <v>-17</v>
      </c>
      <c r="AB102" s="6" t="n">
        <v>-16</v>
      </c>
      <c r="AC102" s="6" t="n">
        <v>32</v>
      </c>
      <c r="AD102" s="6" t="s">
        <v>123</v>
      </c>
      <c r="AE102" s="6" t="s">
        <v>124</v>
      </c>
      <c r="AF102" s="6" t="s">
        <v>123</v>
      </c>
      <c r="AG102" s="6" t="s">
        <v>123</v>
      </c>
      <c r="AH102" s="6" t="s">
        <v>123</v>
      </c>
      <c r="AI102" s="6" t="s">
        <v>123</v>
      </c>
      <c r="AJ102" s="8"/>
      <c r="AK102" s="8"/>
      <c r="AL102" s="8"/>
      <c r="AM102" s="8"/>
      <c r="AN102" s="8"/>
      <c r="AO102" s="8"/>
      <c r="AP102" s="9" t="s">
        <v>706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63.75" hidden="true" customHeight="true" outlineLevel="0" collapsed="false">
      <c r="A103" s="6" t="s">
        <v>1</v>
      </c>
      <c r="B103" s="6" t="n">
        <v>1</v>
      </c>
      <c r="C103" s="6" t="n">
        <v>117623731</v>
      </c>
      <c r="D103" s="6" t="s">
        <v>707</v>
      </c>
      <c r="E103" s="6" t="s">
        <v>628</v>
      </c>
      <c r="F103" s="6" t="s">
        <v>708</v>
      </c>
      <c r="G103" s="6" t="s">
        <v>616</v>
      </c>
      <c r="H103" s="6" t="s">
        <v>709</v>
      </c>
      <c r="I103" s="6" t="s">
        <v>710</v>
      </c>
      <c r="J103" s="6" t="s">
        <v>711</v>
      </c>
      <c r="K103" s="6" t="s">
        <v>120</v>
      </c>
      <c r="L103" s="6" t="s">
        <v>712</v>
      </c>
      <c r="M103" s="6" t="n">
        <v>3498</v>
      </c>
      <c r="N103" s="7" t="n">
        <v>0.108</v>
      </c>
      <c r="O103" s="6" t="s">
        <v>122</v>
      </c>
      <c r="P103" s="6" t="s">
        <v>123</v>
      </c>
      <c r="Q103" s="6" t="s">
        <v>123</v>
      </c>
      <c r="R103" s="6" t="s">
        <v>123</v>
      </c>
      <c r="S103" s="6" t="s">
        <v>123</v>
      </c>
      <c r="T103" s="6" t="s">
        <v>123</v>
      </c>
      <c r="U103" s="6" t="s">
        <v>123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-44</v>
      </c>
      <c r="AA103" s="6" t="n">
        <v>-1</v>
      </c>
      <c r="AB103" s="6" t="n">
        <v>43</v>
      </c>
      <c r="AC103" s="6" t="n">
        <v>45</v>
      </c>
      <c r="AD103" s="6" t="n">
        <v>24.1</v>
      </c>
      <c r="AE103" s="6" t="s">
        <v>124</v>
      </c>
      <c r="AF103" s="6" t="s">
        <v>123</v>
      </c>
      <c r="AG103" s="6" t="s">
        <v>123</v>
      </c>
      <c r="AH103" s="6" t="s">
        <v>123</v>
      </c>
      <c r="AI103" s="6" t="s">
        <v>123</v>
      </c>
      <c r="AJ103" s="8"/>
      <c r="AK103" s="8"/>
      <c r="AL103" s="8"/>
      <c r="AM103" s="8"/>
      <c r="AN103" s="8"/>
      <c r="AO103" s="8"/>
      <c r="AP103" s="9" t="s">
        <v>713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63.75" hidden="true" customHeight="true" outlineLevel="0" collapsed="false">
      <c r="A104" s="6" t="s">
        <v>1</v>
      </c>
      <c r="B104" s="6" t="n">
        <v>4</v>
      </c>
      <c r="C104" s="6" t="n">
        <v>152347075</v>
      </c>
      <c r="D104" s="6" t="s">
        <v>714</v>
      </c>
      <c r="E104" s="6" t="s">
        <v>715</v>
      </c>
      <c r="F104" s="6" t="s">
        <v>716</v>
      </c>
      <c r="G104" s="6" t="s">
        <v>123</v>
      </c>
      <c r="H104" s="6" t="s">
        <v>717</v>
      </c>
      <c r="I104" s="6"/>
      <c r="J104" s="6" t="s">
        <v>123</v>
      </c>
      <c r="K104" s="6" t="s">
        <v>127</v>
      </c>
      <c r="L104" s="6" t="s">
        <v>718</v>
      </c>
      <c r="M104" s="6" t="n">
        <v>1980</v>
      </c>
      <c r="N104" s="7" t="n">
        <v>0.122</v>
      </c>
      <c r="O104" s="6" t="s">
        <v>129</v>
      </c>
      <c r="P104" s="6" t="s">
        <v>123</v>
      </c>
      <c r="Q104" s="6" t="s">
        <v>123</v>
      </c>
      <c r="R104" s="6" t="s">
        <v>123</v>
      </c>
      <c r="S104" s="6" t="s">
        <v>123</v>
      </c>
      <c r="T104" s="6" t="s">
        <v>123</v>
      </c>
      <c r="U104" s="10" t="n">
        <f aca="false">HYPERLINK("https://gnomad.broadinstitute.org/variant/4-152347075-CAAAA-C?dataset=gnomad_r4", 0.0000324837)</f>
        <v>3.24837E-005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-4</v>
      </c>
      <c r="AA104" s="6" t="n">
        <v>-30</v>
      </c>
      <c r="AB104" s="6" t="n">
        <v>-13</v>
      </c>
      <c r="AC104" s="6" t="n">
        <v>4</v>
      </c>
      <c r="AD104" s="6" t="n">
        <v>4.07</v>
      </c>
      <c r="AE104" s="6" t="s">
        <v>124</v>
      </c>
      <c r="AF104" s="6" t="s">
        <v>123</v>
      </c>
      <c r="AG104" s="6" t="s">
        <v>123</v>
      </c>
      <c r="AH104" s="6" t="s">
        <v>123</v>
      </c>
      <c r="AI104" s="6" t="s">
        <v>123</v>
      </c>
      <c r="AJ104" s="8"/>
      <c r="AK104" s="8"/>
      <c r="AL104" s="8"/>
      <c r="AM104" s="8"/>
      <c r="AN104" s="8"/>
      <c r="AO104" s="8"/>
      <c r="AP104" s="9" t="s">
        <v>719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76.5" hidden="true" customHeight="true" outlineLevel="0" collapsed="false">
      <c r="A105" s="6" t="s">
        <v>1</v>
      </c>
      <c r="B105" s="6" t="n">
        <v>4</v>
      </c>
      <c r="C105" s="6" t="n">
        <v>152347075</v>
      </c>
      <c r="D105" s="6" t="s">
        <v>714</v>
      </c>
      <c r="E105" s="6" t="s">
        <v>715</v>
      </c>
      <c r="F105" s="6" t="s">
        <v>716</v>
      </c>
      <c r="G105" s="6" t="s">
        <v>123</v>
      </c>
      <c r="H105" s="6" t="s">
        <v>720</v>
      </c>
      <c r="I105" s="6"/>
      <c r="J105" s="6" t="s">
        <v>123</v>
      </c>
      <c r="K105" s="6" t="s">
        <v>127</v>
      </c>
      <c r="L105" s="6" t="s">
        <v>721</v>
      </c>
      <c r="M105" s="6" t="n">
        <v>1980</v>
      </c>
      <c r="N105" s="7" t="n">
        <v>0.222</v>
      </c>
      <c r="O105" s="6" t="s">
        <v>129</v>
      </c>
      <c r="P105" s="10" t="n">
        <f aca="false">HYPERLINK("https://www.ncbi.nlm.nih.gov/clinvar/variation/3046988", 3046988)</f>
        <v>3046988</v>
      </c>
      <c r="Q105" s="6" t="s">
        <v>215</v>
      </c>
      <c r="R105" s="6" t="s">
        <v>722</v>
      </c>
      <c r="S105" s="10" t="str">
        <f aca="false">HYPERLINK("https://www.ncbi.nlm.nih.gov/snp/rs745908066", "rs745908066")</f>
        <v>rs745908066</v>
      </c>
      <c r="T105" s="10" t="n">
        <f aca="false">HYPERLINK("https://gnomad.broadinstitute.org/variant/4-152347075-CAAA-C?dataset=gnomad_r4", 0.0000405992)</f>
        <v>4.05992E-005</v>
      </c>
      <c r="U105" s="10" t="n">
        <f aca="false">HYPERLINK("https://gnomad.broadinstitute.org/variant/4-152347075-CAAA-C?dataset=gnomad_r4", 0.0004095)</f>
        <v>0.0004095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-4</v>
      </c>
      <c r="AA105" s="6" t="n">
        <v>-30</v>
      </c>
      <c r="AB105" s="6" t="n">
        <v>-12</v>
      </c>
      <c r="AC105" s="6" t="n">
        <v>-16</v>
      </c>
      <c r="AD105" s="6" t="n">
        <v>3.457</v>
      </c>
      <c r="AE105" s="6" t="s">
        <v>723</v>
      </c>
      <c r="AF105" s="6" t="s">
        <v>123</v>
      </c>
      <c r="AG105" s="6" t="s">
        <v>123</v>
      </c>
      <c r="AH105" s="6" t="s">
        <v>123</v>
      </c>
      <c r="AI105" s="6" t="s">
        <v>123</v>
      </c>
      <c r="AJ105" s="8"/>
      <c r="AK105" s="8"/>
      <c r="AL105" s="8"/>
      <c r="AM105" s="8"/>
      <c r="AN105" s="8"/>
      <c r="AO105" s="8"/>
      <c r="AP105" s="9" t="s">
        <v>724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63.75" hidden="false" customHeight="true" outlineLevel="0" collapsed="false">
      <c r="A106" s="6" t="s">
        <v>1</v>
      </c>
      <c r="B106" s="6" t="n">
        <v>4</v>
      </c>
      <c r="C106" s="6" t="n">
        <v>152323003</v>
      </c>
      <c r="D106" s="6" t="s">
        <v>714</v>
      </c>
      <c r="E106" s="6" t="s">
        <v>715</v>
      </c>
      <c r="F106" s="6" t="s">
        <v>716</v>
      </c>
      <c r="G106" s="6" t="s">
        <v>364</v>
      </c>
      <c r="H106" s="6" t="s">
        <v>725</v>
      </c>
      <c r="I106" s="6" t="s">
        <v>726</v>
      </c>
      <c r="J106" s="6" t="s">
        <v>727</v>
      </c>
      <c r="K106" s="6" t="s">
        <v>153</v>
      </c>
      <c r="L106" s="6" t="s">
        <v>728</v>
      </c>
      <c r="M106" s="6" t="n">
        <v>4228</v>
      </c>
      <c r="N106" s="7" t="n">
        <v>0.331</v>
      </c>
      <c r="O106" s="6" t="s">
        <v>122</v>
      </c>
      <c r="P106" s="6" t="s">
        <v>123</v>
      </c>
      <c r="Q106" s="6" t="s">
        <v>123</v>
      </c>
      <c r="R106" s="6" t="s">
        <v>123</v>
      </c>
      <c r="S106" s="6" t="s">
        <v>123</v>
      </c>
      <c r="T106" s="6" t="s">
        <v>123</v>
      </c>
      <c r="U106" s="6" t="s">
        <v>123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7</v>
      </c>
      <c r="AA106" s="6" t="n">
        <v>-42</v>
      </c>
      <c r="AB106" s="6" t="n">
        <v>-44</v>
      </c>
      <c r="AC106" s="6" t="n">
        <v>42</v>
      </c>
      <c r="AD106" s="6" t="s">
        <v>123</v>
      </c>
      <c r="AE106" s="6" t="s">
        <v>124</v>
      </c>
      <c r="AF106" s="6" t="s">
        <v>123</v>
      </c>
      <c r="AG106" s="6" t="s">
        <v>123</v>
      </c>
      <c r="AH106" s="6" t="s">
        <v>123</v>
      </c>
      <c r="AI106" s="6" t="s">
        <v>123</v>
      </c>
      <c r="AJ106" s="8"/>
      <c r="AK106" s="8" t="s">
        <v>401</v>
      </c>
      <c r="AL106" s="8" t="s">
        <v>729</v>
      </c>
      <c r="AM106" s="8" t="s">
        <v>730</v>
      </c>
      <c r="AN106" s="8"/>
      <c r="AO106" s="8"/>
      <c r="AP106" s="9" t="s">
        <v>731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63.75" hidden="true" customHeight="true" outlineLevel="0" collapsed="false">
      <c r="A107" s="6" t="s">
        <v>1</v>
      </c>
      <c r="B107" s="6" t="n">
        <v>13</v>
      </c>
      <c r="C107" s="6" t="n">
        <v>28100461</v>
      </c>
      <c r="D107" s="6" t="s">
        <v>732</v>
      </c>
      <c r="E107" s="6" t="s">
        <v>531</v>
      </c>
      <c r="F107" s="6" t="s">
        <v>733</v>
      </c>
      <c r="G107" s="6" t="s">
        <v>123</v>
      </c>
      <c r="H107" s="6" t="s">
        <v>734</v>
      </c>
      <c r="I107" s="6"/>
      <c r="J107" s="6" t="s">
        <v>123</v>
      </c>
      <c r="K107" s="6" t="s">
        <v>127</v>
      </c>
      <c r="L107" s="6" t="s">
        <v>735</v>
      </c>
      <c r="M107" s="6" t="n">
        <v>2820</v>
      </c>
      <c r="N107" s="7" t="n">
        <v>0.31</v>
      </c>
      <c r="O107" s="6" t="s">
        <v>155</v>
      </c>
      <c r="P107" s="6" t="s">
        <v>123</v>
      </c>
      <c r="Q107" s="6" t="s">
        <v>123</v>
      </c>
      <c r="R107" s="6" t="s">
        <v>123</v>
      </c>
      <c r="S107" s="6" t="s">
        <v>123</v>
      </c>
      <c r="T107" s="6" t="s">
        <v>123</v>
      </c>
      <c r="U107" s="6" t="s">
        <v>123</v>
      </c>
      <c r="V107" s="6" t="n">
        <v>0</v>
      </c>
      <c r="W107" s="6" t="n">
        <v>0</v>
      </c>
      <c r="X107" s="6" t="n">
        <v>0.01</v>
      </c>
      <c r="Y107" s="6" t="n">
        <v>0</v>
      </c>
      <c r="Z107" s="6" t="n">
        <v>1</v>
      </c>
      <c r="AA107" s="6" t="n">
        <v>-20</v>
      </c>
      <c r="AB107" s="6" t="n">
        <v>2</v>
      </c>
      <c r="AC107" s="6" t="n">
        <v>7</v>
      </c>
      <c r="AD107" s="6" t="n">
        <v>17.39</v>
      </c>
      <c r="AE107" s="6" t="s">
        <v>124</v>
      </c>
      <c r="AF107" s="6" t="s">
        <v>123</v>
      </c>
      <c r="AG107" s="6" t="s">
        <v>123</v>
      </c>
      <c r="AH107" s="6" t="s">
        <v>123</v>
      </c>
      <c r="AI107" s="6" t="s">
        <v>123</v>
      </c>
      <c r="AJ107" s="8"/>
      <c r="AK107" s="8"/>
      <c r="AL107" s="8"/>
      <c r="AM107" s="8"/>
      <c r="AN107" s="8"/>
      <c r="AO107" s="8"/>
      <c r="AP107" s="9" t="s">
        <v>736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63.75" hidden="true" customHeight="true" outlineLevel="0" collapsed="false">
      <c r="A108" s="6" t="s">
        <v>1</v>
      </c>
      <c r="B108" s="6" t="n">
        <v>13</v>
      </c>
      <c r="C108" s="6" t="n">
        <v>28052569</v>
      </c>
      <c r="D108" s="6" t="s">
        <v>732</v>
      </c>
      <c r="E108" s="6" t="s">
        <v>531</v>
      </c>
      <c r="F108" s="6" t="s">
        <v>733</v>
      </c>
      <c r="G108" s="6" t="s">
        <v>737</v>
      </c>
      <c r="H108" s="6" t="s">
        <v>738</v>
      </c>
      <c r="I108" s="6" t="s">
        <v>739</v>
      </c>
      <c r="J108" s="6" t="s">
        <v>740</v>
      </c>
      <c r="K108" s="6" t="s">
        <v>120</v>
      </c>
      <c r="L108" s="6" t="s">
        <v>741</v>
      </c>
      <c r="M108" s="6" t="n">
        <v>3706</v>
      </c>
      <c r="N108" s="7" t="n">
        <v>0.0894</v>
      </c>
      <c r="O108" s="6" t="s">
        <v>122</v>
      </c>
      <c r="P108" s="6" t="s">
        <v>123</v>
      </c>
      <c r="Q108" s="6" t="s">
        <v>123</v>
      </c>
      <c r="R108" s="6" t="s">
        <v>123</v>
      </c>
      <c r="S108" s="6" t="s">
        <v>123</v>
      </c>
      <c r="T108" s="6" t="s">
        <v>123</v>
      </c>
      <c r="U108" s="10" t="n">
        <f aca="false">HYPERLINK("https://gnomad.broadinstitute.org/variant/13-28052569-A-G?dataset=gnomad_r4", 0.000000684321)</f>
        <v>6.84321E-007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18</v>
      </c>
      <c r="AA108" s="6" t="n">
        <v>2</v>
      </c>
      <c r="AB108" s="6" t="n">
        <v>-24</v>
      </c>
      <c r="AC108" s="6" t="n">
        <v>-40</v>
      </c>
      <c r="AD108" s="6" t="n">
        <v>22</v>
      </c>
      <c r="AE108" s="6" t="s">
        <v>124</v>
      </c>
      <c r="AF108" s="6" t="s">
        <v>123</v>
      </c>
      <c r="AG108" s="6" t="s">
        <v>123</v>
      </c>
      <c r="AH108" s="6" t="s">
        <v>123</v>
      </c>
      <c r="AI108" s="6" t="s">
        <v>123</v>
      </c>
      <c r="AJ108" s="8"/>
      <c r="AK108" s="8"/>
      <c r="AL108" s="8"/>
      <c r="AM108" s="8"/>
      <c r="AN108" s="8"/>
      <c r="AO108" s="8"/>
      <c r="AP108" s="9" t="s">
        <v>742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63.75" hidden="true" customHeight="true" outlineLevel="0" collapsed="false">
      <c r="A109" s="6" t="s">
        <v>1</v>
      </c>
      <c r="B109" s="6" t="n">
        <v>13</v>
      </c>
      <c r="C109" s="6" t="n">
        <v>28004077</v>
      </c>
      <c r="D109" s="6" t="s">
        <v>732</v>
      </c>
      <c r="E109" s="6" t="s">
        <v>531</v>
      </c>
      <c r="F109" s="6" t="s">
        <v>733</v>
      </c>
      <c r="G109" s="6" t="s">
        <v>581</v>
      </c>
      <c r="H109" s="6" t="s">
        <v>743</v>
      </c>
      <c r="I109" s="6" t="s">
        <v>744</v>
      </c>
      <c r="J109" s="6" t="s">
        <v>745</v>
      </c>
      <c r="K109" s="6" t="s">
        <v>153</v>
      </c>
      <c r="L109" s="6" t="s">
        <v>746</v>
      </c>
      <c r="M109" s="6" t="n">
        <v>3601</v>
      </c>
      <c r="N109" s="7" t="n">
        <v>0.1</v>
      </c>
      <c r="O109" s="6" t="s">
        <v>155</v>
      </c>
      <c r="P109" s="6" t="s">
        <v>123</v>
      </c>
      <c r="Q109" s="6" t="s">
        <v>123</v>
      </c>
      <c r="R109" s="6" t="s">
        <v>123</v>
      </c>
      <c r="S109" s="6" t="s">
        <v>123</v>
      </c>
      <c r="T109" s="6" t="s">
        <v>123</v>
      </c>
      <c r="U109" s="6" t="s">
        <v>123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-37</v>
      </c>
      <c r="AA109" s="6" t="n">
        <v>-5</v>
      </c>
      <c r="AB109" s="6" t="n">
        <v>-40</v>
      </c>
      <c r="AC109" s="6" t="n">
        <v>-10</v>
      </c>
      <c r="AD109" s="6" t="s">
        <v>123</v>
      </c>
      <c r="AE109" s="6" t="s">
        <v>124</v>
      </c>
      <c r="AF109" s="6" t="s">
        <v>123</v>
      </c>
      <c r="AG109" s="6" t="s">
        <v>123</v>
      </c>
      <c r="AH109" s="6" t="s">
        <v>123</v>
      </c>
      <c r="AI109" s="6" t="s">
        <v>123</v>
      </c>
      <c r="AJ109" s="8"/>
      <c r="AK109" s="8"/>
      <c r="AL109" s="8"/>
      <c r="AM109" s="8"/>
      <c r="AN109" s="8"/>
      <c r="AO109" s="8"/>
      <c r="AP109" s="9" t="s">
        <v>747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76.5" hidden="true" customHeight="true" outlineLevel="0" collapsed="false">
      <c r="A110" s="6" t="s">
        <v>1</v>
      </c>
      <c r="B110" s="6" t="n">
        <v>13</v>
      </c>
      <c r="C110" s="6" t="n">
        <v>40559882</v>
      </c>
      <c r="D110" s="6" t="s">
        <v>748</v>
      </c>
      <c r="E110" s="6" t="s">
        <v>614</v>
      </c>
      <c r="F110" s="6" t="s">
        <v>749</v>
      </c>
      <c r="G110" s="6" t="s">
        <v>750</v>
      </c>
      <c r="H110" s="6" t="s">
        <v>751</v>
      </c>
      <c r="I110" s="6" t="s">
        <v>752</v>
      </c>
      <c r="J110" s="6" t="s">
        <v>753</v>
      </c>
      <c r="K110" s="6" t="s">
        <v>120</v>
      </c>
      <c r="L110" s="6" t="s">
        <v>754</v>
      </c>
      <c r="M110" s="6" t="n">
        <v>4206</v>
      </c>
      <c r="N110" s="7" t="n">
        <v>0.104</v>
      </c>
      <c r="O110" s="6" t="s">
        <v>122</v>
      </c>
      <c r="P110" s="6" t="s">
        <v>123</v>
      </c>
      <c r="Q110" s="6" t="s">
        <v>123</v>
      </c>
      <c r="R110" s="6" t="s">
        <v>123</v>
      </c>
      <c r="S110" s="10" t="str">
        <f aca="false">HYPERLINK("https://www.ncbi.nlm.nih.gov/snp/rs146488369", "rs146488369")</f>
        <v>rs146488369</v>
      </c>
      <c r="T110" s="10" t="n">
        <f aca="false">HYPERLINK("https://gnomad.broadinstitute.org/variant/13-40559882-G-A?dataset=gnomad_r4", 0.000138007)</f>
        <v>0.000138007</v>
      </c>
      <c r="U110" s="10" t="n">
        <f aca="false">HYPERLINK("https://gnomad.broadinstitute.org/variant/13-40559882-G-A?dataset=gnomad_r4", 0.0000574619)</f>
        <v>5.74619E-005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-23</v>
      </c>
      <c r="AA110" s="6" t="n">
        <v>49</v>
      </c>
      <c r="AB110" s="6" t="n">
        <v>-42</v>
      </c>
      <c r="AC110" s="6" t="n">
        <v>-17</v>
      </c>
      <c r="AD110" s="6" t="n">
        <v>23.5</v>
      </c>
      <c r="AE110" s="6" t="s">
        <v>124</v>
      </c>
      <c r="AF110" s="6" t="s">
        <v>123</v>
      </c>
      <c r="AG110" s="6" t="s">
        <v>123</v>
      </c>
      <c r="AH110" s="6" t="s">
        <v>123</v>
      </c>
      <c r="AI110" s="6" t="s">
        <v>123</v>
      </c>
      <c r="AJ110" s="8"/>
      <c r="AK110" s="8"/>
      <c r="AL110" s="8"/>
      <c r="AM110" s="8"/>
      <c r="AN110" s="8"/>
      <c r="AO110" s="8"/>
      <c r="AP110" s="9" t="s">
        <v>755</v>
      </c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63.75" hidden="true" customHeight="true" outlineLevel="0" collapsed="false">
      <c r="A111" s="6" t="s">
        <v>1</v>
      </c>
      <c r="B111" s="6" t="n">
        <v>6</v>
      </c>
      <c r="C111" s="6" t="n">
        <v>111661809</v>
      </c>
      <c r="D111" s="6" t="s">
        <v>756</v>
      </c>
      <c r="E111" s="6" t="s">
        <v>757</v>
      </c>
      <c r="F111" s="6" t="s">
        <v>758</v>
      </c>
      <c r="G111" s="6" t="s">
        <v>364</v>
      </c>
      <c r="H111" s="6" t="s">
        <v>759</v>
      </c>
      <c r="I111" s="6" t="s">
        <v>760</v>
      </c>
      <c r="J111" s="6" t="s">
        <v>761</v>
      </c>
      <c r="K111" s="6" t="s">
        <v>120</v>
      </c>
      <c r="L111" s="6" t="s">
        <v>762</v>
      </c>
      <c r="M111" s="6" t="n">
        <v>3682</v>
      </c>
      <c r="N111" s="7" t="n">
        <v>0.335</v>
      </c>
      <c r="O111" s="6" t="s">
        <v>122</v>
      </c>
      <c r="P111" s="6" t="s">
        <v>123</v>
      </c>
      <c r="Q111" s="6" t="s">
        <v>123</v>
      </c>
      <c r="R111" s="6" t="s">
        <v>123</v>
      </c>
      <c r="S111" s="6" t="s">
        <v>123</v>
      </c>
      <c r="T111" s="6" t="s">
        <v>123</v>
      </c>
      <c r="U111" s="6" t="s">
        <v>123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28</v>
      </c>
      <c r="AA111" s="6" t="n">
        <v>-8</v>
      </c>
      <c r="AB111" s="6" t="n">
        <v>1</v>
      </c>
      <c r="AC111" s="6" t="n">
        <v>3</v>
      </c>
      <c r="AD111" s="6" t="n">
        <v>29</v>
      </c>
      <c r="AE111" s="6" t="s">
        <v>124</v>
      </c>
      <c r="AF111" s="6" t="s">
        <v>123</v>
      </c>
      <c r="AG111" s="6" t="s">
        <v>123</v>
      </c>
      <c r="AH111" s="6" t="s">
        <v>123</v>
      </c>
      <c r="AI111" s="6" t="s">
        <v>123</v>
      </c>
      <c r="AJ111" s="8"/>
      <c r="AK111" s="8"/>
      <c r="AL111" s="8"/>
      <c r="AM111" s="8"/>
      <c r="AN111" s="8"/>
      <c r="AO111" s="8"/>
      <c r="AP111" s="9" t="s">
        <v>763</v>
      </c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76.5" hidden="true" customHeight="true" outlineLevel="0" collapsed="false">
      <c r="A112" s="6" t="s">
        <v>1</v>
      </c>
      <c r="B112" s="6" t="n">
        <v>3</v>
      </c>
      <c r="C112" s="6" t="n">
        <v>128485998</v>
      </c>
      <c r="D112" s="6" t="s">
        <v>764</v>
      </c>
      <c r="E112" s="6" t="s">
        <v>6</v>
      </c>
      <c r="F112" s="6" t="s">
        <v>765</v>
      </c>
      <c r="G112" s="6" t="s">
        <v>766</v>
      </c>
      <c r="H112" s="6" t="s">
        <v>767</v>
      </c>
      <c r="I112" s="6" t="s">
        <v>768</v>
      </c>
      <c r="J112" s="6" t="s">
        <v>769</v>
      </c>
      <c r="K112" s="6" t="s">
        <v>153</v>
      </c>
      <c r="L112" s="6" t="s">
        <v>770</v>
      </c>
      <c r="M112" s="6" t="n">
        <v>3172</v>
      </c>
      <c r="N112" s="7" t="n">
        <v>0.0931</v>
      </c>
      <c r="O112" s="6" t="s">
        <v>122</v>
      </c>
      <c r="P112" s="10" t="n">
        <f aca="false">HYPERLINK("https://www.ncbi.nlm.nih.gov/clinvar/variation/800690", 800690)</f>
        <v>800690</v>
      </c>
      <c r="Q112" s="6" t="s">
        <v>165</v>
      </c>
      <c r="R112" s="6" t="s">
        <v>771</v>
      </c>
      <c r="S112" s="10" t="str">
        <f aca="false">HYPERLINK("https://www.ncbi.nlm.nih.gov/snp/rs768767517", "rs768767517")</f>
        <v>rs768767517</v>
      </c>
      <c r="T112" s="6" t="s">
        <v>123</v>
      </c>
      <c r="U112" s="6" t="s">
        <v>123</v>
      </c>
      <c r="V112" s="6" t="n">
        <v>0.02</v>
      </c>
      <c r="W112" s="6" t="n">
        <v>0</v>
      </c>
      <c r="X112" s="6" t="n">
        <v>0</v>
      </c>
      <c r="Y112" s="6" t="n">
        <v>0</v>
      </c>
      <c r="Z112" s="6" t="n">
        <v>-8</v>
      </c>
      <c r="AA112" s="6" t="n">
        <v>19</v>
      </c>
      <c r="AB112" s="6" t="n">
        <v>3</v>
      </c>
      <c r="AC112" s="6" t="n">
        <v>-42</v>
      </c>
      <c r="AD112" s="6" t="s">
        <v>123</v>
      </c>
      <c r="AE112" s="6" t="s">
        <v>124</v>
      </c>
      <c r="AF112" s="6" t="s">
        <v>123</v>
      </c>
      <c r="AG112" s="6" t="s">
        <v>123</v>
      </c>
      <c r="AH112" s="6" t="s">
        <v>123</v>
      </c>
      <c r="AI112" s="6" t="s">
        <v>123</v>
      </c>
      <c r="AJ112" s="8"/>
      <c r="AK112" s="8"/>
      <c r="AL112" s="8"/>
      <c r="AM112" s="8"/>
      <c r="AN112" s="8"/>
      <c r="AO112" s="8"/>
      <c r="AP112" s="9" t="s">
        <v>772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63.75" hidden="true" customHeight="true" outlineLevel="0" collapsed="false">
      <c r="A113" s="6" t="s">
        <v>1</v>
      </c>
      <c r="B113" s="6" t="n">
        <v>20</v>
      </c>
      <c r="C113" s="6" t="n">
        <v>58909668</v>
      </c>
      <c r="D113" s="6" t="s">
        <v>773</v>
      </c>
      <c r="E113" s="6" t="s">
        <v>6</v>
      </c>
      <c r="F113" s="6" t="s">
        <v>774</v>
      </c>
      <c r="G113" s="6" t="s">
        <v>123</v>
      </c>
      <c r="H113" s="6" t="s">
        <v>775</v>
      </c>
      <c r="I113" s="6"/>
      <c r="J113" s="6" t="s">
        <v>123</v>
      </c>
      <c r="K113" s="6" t="s">
        <v>141</v>
      </c>
      <c r="L113" s="6" t="s">
        <v>776</v>
      </c>
      <c r="M113" s="6" t="n">
        <v>4248</v>
      </c>
      <c r="N113" s="7" t="n">
        <v>0.298</v>
      </c>
      <c r="O113" s="6" t="s">
        <v>122</v>
      </c>
      <c r="P113" s="6" t="s">
        <v>123</v>
      </c>
      <c r="Q113" s="6" t="s">
        <v>123</v>
      </c>
      <c r="R113" s="6" t="s">
        <v>123</v>
      </c>
      <c r="S113" s="6" t="s">
        <v>123</v>
      </c>
      <c r="T113" s="6" t="s">
        <v>123</v>
      </c>
      <c r="U113" s="6" t="s">
        <v>123</v>
      </c>
      <c r="V113" s="6" t="n">
        <v>0.06</v>
      </c>
      <c r="W113" s="6" t="n">
        <v>0</v>
      </c>
      <c r="X113" s="6" t="n">
        <v>0</v>
      </c>
      <c r="Y113" s="6" t="n">
        <v>0</v>
      </c>
      <c r="Z113" s="6" t="n">
        <v>-32</v>
      </c>
      <c r="AA113" s="6" t="n">
        <v>16</v>
      </c>
      <c r="AB113" s="6" t="n">
        <v>50</v>
      </c>
      <c r="AC113" s="6" t="n">
        <v>17</v>
      </c>
      <c r="AD113" s="6" t="s">
        <v>123</v>
      </c>
      <c r="AE113" s="6" t="s">
        <v>124</v>
      </c>
      <c r="AF113" s="6" t="s">
        <v>123</v>
      </c>
      <c r="AG113" s="6" t="s">
        <v>123</v>
      </c>
      <c r="AH113" s="6" t="s">
        <v>123</v>
      </c>
      <c r="AI113" s="6" t="s">
        <v>123</v>
      </c>
      <c r="AJ113" s="8"/>
      <c r="AK113" s="8"/>
      <c r="AL113" s="8"/>
      <c r="AM113" s="8"/>
      <c r="AN113" s="8"/>
      <c r="AO113" s="8"/>
      <c r="AP113" s="9" t="s">
        <v>777</v>
      </c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63.75" hidden="true" customHeight="true" outlineLevel="0" collapsed="false">
      <c r="A114" s="6" t="s">
        <v>1</v>
      </c>
      <c r="B114" s="6" t="n">
        <v>20</v>
      </c>
      <c r="C114" s="6" t="n">
        <v>58909668</v>
      </c>
      <c r="D114" s="6" t="s">
        <v>773</v>
      </c>
      <c r="E114" s="6" t="s">
        <v>6</v>
      </c>
      <c r="F114" s="6" t="s">
        <v>778</v>
      </c>
      <c r="G114" s="6" t="s">
        <v>123</v>
      </c>
      <c r="H114" s="6" t="s">
        <v>779</v>
      </c>
      <c r="I114" s="6"/>
      <c r="J114" s="6" t="s">
        <v>123</v>
      </c>
      <c r="K114" s="6" t="s">
        <v>141</v>
      </c>
      <c r="L114" s="6" t="s">
        <v>780</v>
      </c>
      <c r="M114" s="6" t="n">
        <v>4248</v>
      </c>
      <c r="N114" s="7" t="n">
        <v>0.298</v>
      </c>
      <c r="O114" s="6" t="s">
        <v>122</v>
      </c>
      <c r="P114" s="6" t="s">
        <v>123</v>
      </c>
      <c r="Q114" s="6" t="s">
        <v>123</v>
      </c>
      <c r="R114" s="6" t="s">
        <v>123</v>
      </c>
      <c r="S114" s="6" t="s">
        <v>123</v>
      </c>
      <c r="T114" s="6" t="s">
        <v>123</v>
      </c>
      <c r="U114" s="6" t="s">
        <v>123</v>
      </c>
      <c r="V114" s="6" t="n">
        <v>0.06</v>
      </c>
      <c r="W114" s="6" t="n">
        <v>0</v>
      </c>
      <c r="X114" s="6" t="n">
        <v>0</v>
      </c>
      <c r="Y114" s="6" t="n">
        <v>0</v>
      </c>
      <c r="Z114" s="6" t="n">
        <v>-32</v>
      </c>
      <c r="AA114" s="6" t="n">
        <v>16</v>
      </c>
      <c r="AB114" s="6" t="n">
        <v>50</v>
      </c>
      <c r="AC114" s="6" t="n">
        <v>17</v>
      </c>
      <c r="AD114" s="6" t="s">
        <v>123</v>
      </c>
      <c r="AE114" s="6" t="s">
        <v>124</v>
      </c>
      <c r="AF114" s="6" t="s">
        <v>123</v>
      </c>
      <c r="AG114" s="6" t="s">
        <v>123</v>
      </c>
      <c r="AH114" s="6" t="s">
        <v>123</v>
      </c>
      <c r="AI114" s="6" t="s">
        <v>123</v>
      </c>
      <c r="AJ114" s="8"/>
      <c r="AK114" s="8"/>
      <c r="AL114" s="8"/>
      <c r="AM114" s="8"/>
      <c r="AN114" s="8"/>
      <c r="AO114" s="8"/>
      <c r="AP114" s="9" t="s">
        <v>781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63.75" hidden="true" customHeight="true" outlineLevel="0" collapsed="false">
      <c r="A115" s="6" t="s">
        <v>1</v>
      </c>
      <c r="B115" s="6" t="n">
        <v>20</v>
      </c>
      <c r="C115" s="6" t="n">
        <v>58840416</v>
      </c>
      <c r="D115" s="6" t="s">
        <v>773</v>
      </c>
      <c r="E115" s="6" t="s">
        <v>6</v>
      </c>
      <c r="F115" s="6" t="s">
        <v>778</v>
      </c>
      <c r="G115" s="6" t="s">
        <v>782</v>
      </c>
      <c r="H115" s="6" t="s">
        <v>783</v>
      </c>
      <c r="I115" s="6" t="s">
        <v>784</v>
      </c>
      <c r="J115" s="6" t="s">
        <v>785</v>
      </c>
      <c r="K115" s="6" t="s">
        <v>120</v>
      </c>
      <c r="L115" s="6" t="s">
        <v>786</v>
      </c>
      <c r="M115" s="6" t="n">
        <v>4089</v>
      </c>
      <c r="N115" s="7" t="n">
        <v>0.305</v>
      </c>
      <c r="O115" s="6" t="s">
        <v>122</v>
      </c>
      <c r="P115" s="6" t="s">
        <v>123</v>
      </c>
      <c r="Q115" s="6" t="s">
        <v>123</v>
      </c>
      <c r="R115" s="6" t="s">
        <v>123</v>
      </c>
      <c r="S115" s="6" t="s">
        <v>123</v>
      </c>
      <c r="T115" s="6" t="s">
        <v>123</v>
      </c>
      <c r="U115" s="10" t="n">
        <f aca="false">HYPERLINK("https://gnomad.broadinstitute.org/variant/20-58840416-G-A?dataset=gnomad_r4", 0.00000136861)</f>
        <v>1.36861E-006</v>
      </c>
      <c r="V115" s="6" t="s">
        <v>123</v>
      </c>
      <c r="W115" s="6" t="s">
        <v>123</v>
      </c>
      <c r="X115" s="6" t="s">
        <v>123</v>
      </c>
      <c r="Y115" s="6" t="s">
        <v>123</v>
      </c>
      <c r="Z115" s="6" t="s">
        <v>123</v>
      </c>
      <c r="AA115" s="6" t="s">
        <v>123</v>
      </c>
      <c r="AB115" s="6" t="s">
        <v>123</v>
      </c>
      <c r="AC115" s="6" t="s">
        <v>123</v>
      </c>
      <c r="AD115" s="6" t="n">
        <v>23.3</v>
      </c>
      <c r="AE115" s="6" t="s">
        <v>124</v>
      </c>
      <c r="AF115" s="6" t="s">
        <v>123</v>
      </c>
      <c r="AG115" s="6" t="s">
        <v>123</v>
      </c>
      <c r="AH115" s="6" t="s">
        <v>123</v>
      </c>
      <c r="AI115" s="6" t="s">
        <v>123</v>
      </c>
      <c r="AJ115" s="8"/>
      <c r="AK115" s="8"/>
      <c r="AL115" s="8"/>
      <c r="AM115" s="8"/>
      <c r="AN115" s="8"/>
      <c r="AO115" s="8"/>
      <c r="AP115" s="9" t="s">
        <v>787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63.75" hidden="true" customHeight="true" outlineLevel="0" collapsed="false">
      <c r="A116" s="6" t="s">
        <v>1</v>
      </c>
      <c r="B116" s="6" t="n">
        <v>20</v>
      </c>
      <c r="C116" s="6" t="n">
        <v>58854698</v>
      </c>
      <c r="D116" s="6" t="s">
        <v>773</v>
      </c>
      <c r="E116" s="6" t="s">
        <v>6</v>
      </c>
      <c r="F116" s="6" t="s">
        <v>774</v>
      </c>
      <c r="G116" s="6" t="s">
        <v>782</v>
      </c>
      <c r="H116" s="6" t="s">
        <v>788</v>
      </c>
      <c r="I116" s="6" t="s">
        <v>789</v>
      </c>
      <c r="J116" s="6" t="s">
        <v>790</v>
      </c>
      <c r="K116" s="6" t="s">
        <v>120</v>
      </c>
      <c r="L116" s="6" t="s">
        <v>791</v>
      </c>
      <c r="M116" s="6" t="n">
        <v>5110</v>
      </c>
      <c r="N116" s="7" t="n">
        <v>0.299</v>
      </c>
      <c r="O116" s="6" t="s">
        <v>155</v>
      </c>
      <c r="P116" s="6" t="s">
        <v>123</v>
      </c>
      <c r="Q116" s="6" t="s">
        <v>123</v>
      </c>
      <c r="R116" s="6" t="s">
        <v>123</v>
      </c>
      <c r="S116" s="6" t="s">
        <v>123</v>
      </c>
      <c r="T116" s="6" t="s">
        <v>123</v>
      </c>
      <c r="U116" s="6" t="s">
        <v>123</v>
      </c>
      <c r="V116" s="6" t="s">
        <v>123</v>
      </c>
      <c r="W116" s="6" t="s">
        <v>123</v>
      </c>
      <c r="X116" s="6" t="s">
        <v>123</v>
      </c>
      <c r="Y116" s="6" t="s">
        <v>123</v>
      </c>
      <c r="Z116" s="6" t="s">
        <v>123</v>
      </c>
      <c r="AA116" s="6" t="s">
        <v>123</v>
      </c>
      <c r="AB116" s="6" t="s">
        <v>123</v>
      </c>
      <c r="AC116" s="6" t="s">
        <v>123</v>
      </c>
      <c r="AD116" s="6" t="n">
        <v>15.02</v>
      </c>
      <c r="AE116" s="6" t="s">
        <v>124</v>
      </c>
      <c r="AF116" s="6" t="s">
        <v>123</v>
      </c>
      <c r="AG116" s="6" t="s">
        <v>123</v>
      </c>
      <c r="AH116" s="6" t="s">
        <v>123</v>
      </c>
      <c r="AI116" s="6" t="s">
        <v>123</v>
      </c>
      <c r="AJ116" s="8"/>
      <c r="AK116" s="8"/>
      <c r="AL116" s="8"/>
      <c r="AM116" s="8"/>
      <c r="AN116" s="8"/>
      <c r="AO116" s="8"/>
      <c r="AP116" s="9" t="s">
        <v>792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63.75" hidden="true" customHeight="true" outlineLevel="0" collapsed="false">
      <c r="A117" s="6" t="s">
        <v>1</v>
      </c>
      <c r="B117" s="6" t="n">
        <v>20</v>
      </c>
      <c r="C117" s="6" t="n">
        <v>58854698</v>
      </c>
      <c r="D117" s="6" t="s">
        <v>773</v>
      </c>
      <c r="E117" s="6" t="s">
        <v>6</v>
      </c>
      <c r="F117" s="6" t="s">
        <v>778</v>
      </c>
      <c r="G117" s="6" t="s">
        <v>123</v>
      </c>
      <c r="H117" s="6" t="s">
        <v>793</v>
      </c>
      <c r="I117" s="6"/>
      <c r="J117" s="6" t="s">
        <v>123</v>
      </c>
      <c r="K117" s="6" t="s">
        <v>141</v>
      </c>
      <c r="L117" s="6" t="s">
        <v>794</v>
      </c>
      <c r="M117" s="6" t="n">
        <v>5110</v>
      </c>
      <c r="N117" s="7" t="n">
        <v>0.299</v>
      </c>
      <c r="O117" s="6" t="s">
        <v>155</v>
      </c>
      <c r="P117" s="6" t="s">
        <v>123</v>
      </c>
      <c r="Q117" s="6" t="s">
        <v>123</v>
      </c>
      <c r="R117" s="6" t="s">
        <v>123</v>
      </c>
      <c r="S117" s="6" t="s">
        <v>123</v>
      </c>
      <c r="T117" s="6" t="s">
        <v>123</v>
      </c>
      <c r="U117" s="6" t="s">
        <v>123</v>
      </c>
      <c r="V117" s="6" t="s">
        <v>123</v>
      </c>
      <c r="W117" s="6" t="s">
        <v>123</v>
      </c>
      <c r="X117" s="6" t="s">
        <v>123</v>
      </c>
      <c r="Y117" s="6" t="s">
        <v>123</v>
      </c>
      <c r="Z117" s="6" t="s">
        <v>123</v>
      </c>
      <c r="AA117" s="6" t="s">
        <v>123</v>
      </c>
      <c r="AB117" s="6" t="s">
        <v>123</v>
      </c>
      <c r="AC117" s="6" t="s">
        <v>123</v>
      </c>
      <c r="AD117" s="6" t="n">
        <v>15.02</v>
      </c>
      <c r="AE117" s="6" t="s">
        <v>124</v>
      </c>
      <c r="AF117" s="6" t="s">
        <v>123</v>
      </c>
      <c r="AG117" s="6" t="s">
        <v>123</v>
      </c>
      <c r="AH117" s="6" t="s">
        <v>123</v>
      </c>
      <c r="AI117" s="6" t="s">
        <v>123</v>
      </c>
      <c r="AJ117" s="8"/>
      <c r="AK117" s="8"/>
      <c r="AL117" s="8"/>
      <c r="AM117" s="8"/>
      <c r="AN117" s="8"/>
      <c r="AO117" s="8"/>
      <c r="AP117" s="9" t="s">
        <v>795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63.75" hidden="true" customHeight="true" outlineLevel="0" collapsed="false">
      <c r="A118" s="6" t="s">
        <v>1</v>
      </c>
      <c r="B118" s="6" t="n">
        <v>20</v>
      </c>
      <c r="C118" s="6" t="n">
        <v>58854641</v>
      </c>
      <c r="D118" s="6" t="s">
        <v>773</v>
      </c>
      <c r="E118" s="6" t="s">
        <v>6</v>
      </c>
      <c r="F118" s="6" t="s">
        <v>774</v>
      </c>
      <c r="G118" s="6" t="s">
        <v>782</v>
      </c>
      <c r="H118" s="6" t="s">
        <v>796</v>
      </c>
      <c r="I118" s="6" t="s">
        <v>797</v>
      </c>
      <c r="J118" s="6" t="s">
        <v>798</v>
      </c>
      <c r="K118" s="6" t="s">
        <v>799</v>
      </c>
      <c r="L118" s="6" t="s">
        <v>800</v>
      </c>
      <c r="M118" s="6" t="n">
        <v>5119</v>
      </c>
      <c r="N118" s="7" t="n">
        <v>0.233</v>
      </c>
      <c r="O118" s="6" t="s">
        <v>179</v>
      </c>
      <c r="P118" s="6" t="s">
        <v>123</v>
      </c>
      <c r="Q118" s="6" t="s">
        <v>123</v>
      </c>
      <c r="R118" s="6" t="s">
        <v>123</v>
      </c>
      <c r="S118" s="6" t="s">
        <v>123</v>
      </c>
      <c r="T118" s="6" t="s">
        <v>123</v>
      </c>
      <c r="U118" s="6" t="s">
        <v>123</v>
      </c>
      <c r="V118" s="6" t="s">
        <v>123</v>
      </c>
      <c r="W118" s="6" t="s">
        <v>123</v>
      </c>
      <c r="X118" s="6" t="s">
        <v>123</v>
      </c>
      <c r="Y118" s="6" t="s">
        <v>123</v>
      </c>
      <c r="Z118" s="6" t="s">
        <v>123</v>
      </c>
      <c r="AA118" s="6" t="s">
        <v>123</v>
      </c>
      <c r="AB118" s="6" t="s">
        <v>123</v>
      </c>
      <c r="AC118" s="6" t="s">
        <v>123</v>
      </c>
      <c r="AD118" s="6" t="s">
        <v>123</v>
      </c>
      <c r="AE118" s="6" t="s">
        <v>124</v>
      </c>
      <c r="AF118" s="6" t="s">
        <v>123</v>
      </c>
      <c r="AG118" s="6" t="s">
        <v>123</v>
      </c>
      <c r="AH118" s="6" t="s">
        <v>123</v>
      </c>
      <c r="AI118" s="6" t="s">
        <v>123</v>
      </c>
      <c r="AJ118" s="8"/>
      <c r="AK118" s="8"/>
      <c r="AL118" s="8"/>
      <c r="AM118" s="8"/>
      <c r="AN118" s="8"/>
      <c r="AO118" s="8"/>
      <c r="AP118" s="9" t="s">
        <v>801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63.75" hidden="true" customHeight="true" outlineLevel="0" collapsed="false">
      <c r="A119" s="6" t="s">
        <v>1</v>
      </c>
      <c r="B119" s="6" t="n">
        <v>20</v>
      </c>
      <c r="C119" s="6" t="n">
        <v>58854294</v>
      </c>
      <c r="D119" s="6" t="s">
        <v>773</v>
      </c>
      <c r="E119" s="6" t="s">
        <v>6</v>
      </c>
      <c r="F119" s="6" t="s">
        <v>778</v>
      </c>
      <c r="G119" s="6" t="s">
        <v>123</v>
      </c>
      <c r="H119" s="6" t="s">
        <v>802</v>
      </c>
      <c r="I119" s="6"/>
      <c r="J119" s="6" t="s">
        <v>123</v>
      </c>
      <c r="K119" s="6" t="s">
        <v>141</v>
      </c>
      <c r="L119" s="6" t="s">
        <v>803</v>
      </c>
      <c r="M119" s="6" t="n">
        <v>4476</v>
      </c>
      <c r="N119" s="7" t="n">
        <v>0.143</v>
      </c>
      <c r="O119" s="6" t="s">
        <v>122</v>
      </c>
      <c r="P119" s="6" t="s">
        <v>123</v>
      </c>
      <c r="Q119" s="6" t="s">
        <v>123</v>
      </c>
      <c r="R119" s="6" t="s">
        <v>123</v>
      </c>
      <c r="S119" s="6" t="s">
        <v>123</v>
      </c>
      <c r="T119" s="6" t="s">
        <v>123</v>
      </c>
      <c r="U119" s="6" t="s">
        <v>123</v>
      </c>
      <c r="V119" s="6" t="s">
        <v>123</v>
      </c>
      <c r="W119" s="6" t="s">
        <v>123</v>
      </c>
      <c r="X119" s="6" t="s">
        <v>123</v>
      </c>
      <c r="Y119" s="6" t="s">
        <v>123</v>
      </c>
      <c r="Z119" s="6" t="s">
        <v>123</v>
      </c>
      <c r="AA119" s="6" t="s">
        <v>123</v>
      </c>
      <c r="AB119" s="6" t="s">
        <v>123</v>
      </c>
      <c r="AC119" s="6" t="s">
        <v>123</v>
      </c>
      <c r="AD119" s="6" t="n">
        <v>13.89</v>
      </c>
      <c r="AE119" s="6" t="s">
        <v>124</v>
      </c>
      <c r="AF119" s="6" t="s">
        <v>123</v>
      </c>
      <c r="AG119" s="6" t="s">
        <v>123</v>
      </c>
      <c r="AH119" s="6" t="s">
        <v>123</v>
      </c>
      <c r="AI119" s="6" t="s">
        <v>123</v>
      </c>
      <c r="AJ119" s="8"/>
      <c r="AK119" s="8"/>
      <c r="AL119" s="8"/>
      <c r="AM119" s="8"/>
      <c r="AN119" s="8"/>
      <c r="AO119" s="8"/>
      <c r="AP119" s="9" t="s">
        <v>804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63.75" hidden="true" customHeight="true" outlineLevel="0" collapsed="false">
      <c r="A120" s="6" t="s">
        <v>1</v>
      </c>
      <c r="B120" s="6" t="n">
        <v>20</v>
      </c>
      <c r="C120" s="6" t="n">
        <v>58910064</v>
      </c>
      <c r="D120" s="6" t="s">
        <v>773</v>
      </c>
      <c r="E120" s="6" t="s">
        <v>6</v>
      </c>
      <c r="F120" s="6" t="s">
        <v>778</v>
      </c>
      <c r="G120" s="6" t="s">
        <v>805</v>
      </c>
      <c r="H120" s="6" t="s">
        <v>806</v>
      </c>
      <c r="I120" s="6"/>
      <c r="J120" s="6" t="s">
        <v>123</v>
      </c>
      <c r="K120" s="6" t="s">
        <v>807</v>
      </c>
      <c r="L120" s="6" t="s">
        <v>808</v>
      </c>
      <c r="M120" s="6" t="n">
        <v>4160</v>
      </c>
      <c r="N120" s="7" t="n">
        <v>0.0984</v>
      </c>
      <c r="O120" s="6" t="s">
        <v>122</v>
      </c>
      <c r="P120" s="6" t="s">
        <v>123</v>
      </c>
      <c r="Q120" s="6" t="s">
        <v>123</v>
      </c>
      <c r="R120" s="6" t="s">
        <v>123</v>
      </c>
      <c r="S120" s="6" t="s">
        <v>123</v>
      </c>
      <c r="T120" s="6" t="s">
        <v>123</v>
      </c>
      <c r="U120" s="6" t="s">
        <v>123</v>
      </c>
      <c r="V120" s="6" t="n">
        <v>0</v>
      </c>
      <c r="W120" s="6" t="n">
        <v>0</v>
      </c>
      <c r="X120" s="6" t="n">
        <v>0.01</v>
      </c>
      <c r="Y120" s="6" t="n">
        <v>0</v>
      </c>
      <c r="Z120" s="6" t="n">
        <v>-12</v>
      </c>
      <c r="AA120" s="6" t="n">
        <v>2</v>
      </c>
      <c r="AB120" s="6" t="n">
        <v>21</v>
      </c>
      <c r="AC120" s="6" t="n">
        <v>17</v>
      </c>
      <c r="AD120" s="6" t="n">
        <v>32</v>
      </c>
      <c r="AE120" s="6" t="s">
        <v>124</v>
      </c>
      <c r="AF120" s="6" t="s">
        <v>123</v>
      </c>
      <c r="AG120" s="6" t="s">
        <v>123</v>
      </c>
      <c r="AH120" s="6" t="s">
        <v>123</v>
      </c>
      <c r="AI120" s="6" t="s">
        <v>123</v>
      </c>
      <c r="AJ120" s="8"/>
      <c r="AK120" s="8"/>
      <c r="AL120" s="8"/>
      <c r="AM120" s="8"/>
      <c r="AN120" s="8"/>
      <c r="AO120" s="8"/>
      <c r="AP120" s="9" t="s">
        <v>809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63.75" hidden="true" customHeight="true" outlineLevel="0" collapsed="false">
      <c r="A121" s="6" t="s">
        <v>1</v>
      </c>
      <c r="B121" s="6" t="n">
        <v>20</v>
      </c>
      <c r="C121" s="6" t="n">
        <v>58910064</v>
      </c>
      <c r="D121" s="6" t="s">
        <v>773</v>
      </c>
      <c r="E121" s="6" t="s">
        <v>6</v>
      </c>
      <c r="F121" s="6" t="s">
        <v>774</v>
      </c>
      <c r="G121" s="6" t="s">
        <v>805</v>
      </c>
      <c r="H121" s="6" t="s">
        <v>810</v>
      </c>
      <c r="I121" s="6" t="s">
        <v>811</v>
      </c>
      <c r="J121" s="6" t="s">
        <v>812</v>
      </c>
      <c r="K121" s="6" t="s">
        <v>120</v>
      </c>
      <c r="L121" s="6" t="s">
        <v>813</v>
      </c>
      <c r="M121" s="6" t="n">
        <v>4160</v>
      </c>
      <c r="N121" s="7" t="n">
        <v>0.0984</v>
      </c>
      <c r="O121" s="6" t="s">
        <v>122</v>
      </c>
      <c r="P121" s="6" t="s">
        <v>123</v>
      </c>
      <c r="Q121" s="6" t="s">
        <v>123</v>
      </c>
      <c r="R121" s="6" t="s">
        <v>123</v>
      </c>
      <c r="S121" s="6" t="s">
        <v>123</v>
      </c>
      <c r="T121" s="6" t="s">
        <v>123</v>
      </c>
      <c r="U121" s="6" t="s">
        <v>123</v>
      </c>
      <c r="V121" s="6" t="n">
        <v>0</v>
      </c>
      <c r="W121" s="6" t="n">
        <v>0</v>
      </c>
      <c r="X121" s="6" t="n">
        <v>0.01</v>
      </c>
      <c r="Y121" s="6" t="n">
        <v>0</v>
      </c>
      <c r="Z121" s="6" t="n">
        <v>-12</v>
      </c>
      <c r="AA121" s="6" t="n">
        <v>2</v>
      </c>
      <c r="AB121" s="6" t="n">
        <v>21</v>
      </c>
      <c r="AC121" s="6" t="n">
        <v>17</v>
      </c>
      <c r="AD121" s="6" t="n">
        <v>32</v>
      </c>
      <c r="AE121" s="6" t="s">
        <v>124</v>
      </c>
      <c r="AF121" s="6" t="s">
        <v>123</v>
      </c>
      <c r="AG121" s="6" t="s">
        <v>123</v>
      </c>
      <c r="AH121" s="6" t="s">
        <v>123</v>
      </c>
      <c r="AI121" s="6" t="s">
        <v>123</v>
      </c>
      <c r="AJ121" s="8"/>
      <c r="AK121" s="8"/>
      <c r="AL121" s="8"/>
      <c r="AM121" s="8"/>
      <c r="AN121" s="8"/>
      <c r="AO121" s="8"/>
      <c r="AP121" s="9" t="s">
        <v>814</v>
      </c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63.75" hidden="true" customHeight="true" outlineLevel="0" collapsed="false">
      <c r="A122" s="6" t="s">
        <v>1</v>
      </c>
      <c r="B122" s="6" t="n">
        <v>2</v>
      </c>
      <c r="C122" s="6" t="n">
        <v>208242062</v>
      </c>
      <c r="D122" s="6" t="s">
        <v>815</v>
      </c>
      <c r="E122" s="6" t="s">
        <v>6</v>
      </c>
      <c r="F122" s="6" t="s">
        <v>816</v>
      </c>
      <c r="G122" s="6" t="s">
        <v>817</v>
      </c>
      <c r="H122" s="6" t="s">
        <v>818</v>
      </c>
      <c r="I122" s="6" t="s">
        <v>819</v>
      </c>
      <c r="J122" s="6" t="s">
        <v>820</v>
      </c>
      <c r="K122" s="6" t="s">
        <v>120</v>
      </c>
      <c r="L122" s="6" t="s">
        <v>821</v>
      </c>
      <c r="M122" s="6" t="n">
        <v>3579</v>
      </c>
      <c r="N122" s="7" t="n">
        <v>0.0875</v>
      </c>
      <c r="O122" s="6" t="s">
        <v>122</v>
      </c>
      <c r="P122" s="6" t="s">
        <v>123</v>
      </c>
      <c r="Q122" s="6" t="s">
        <v>123</v>
      </c>
      <c r="R122" s="6" t="s">
        <v>123</v>
      </c>
      <c r="S122" s="6" t="s">
        <v>123</v>
      </c>
      <c r="T122" s="6" t="s">
        <v>123</v>
      </c>
      <c r="U122" s="6" t="s">
        <v>123</v>
      </c>
      <c r="V122" s="6" t="n">
        <v>0</v>
      </c>
      <c r="W122" s="6" t="n">
        <v>0</v>
      </c>
      <c r="X122" s="6" t="n">
        <v>0.01</v>
      </c>
      <c r="Y122" s="6" t="n">
        <v>0</v>
      </c>
      <c r="Z122" s="6" t="n">
        <v>9</v>
      </c>
      <c r="AA122" s="6" t="n">
        <v>35</v>
      </c>
      <c r="AB122" s="6" t="n">
        <v>48</v>
      </c>
      <c r="AC122" s="6" t="n">
        <v>-23</v>
      </c>
      <c r="AD122" s="6" t="n">
        <v>32</v>
      </c>
      <c r="AE122" s="6" t="s">
        <v>124</v>
      </c>
      <c r="AF122" s="6" t="s">
        <v>123</v>
      </c>
      <c r="AG122" s="6" t="s">
        <v>123</v>
      </c>
      <c r="AH122" s="6" t="s">
        <v>123</v>
      </c>
      <c r="AI122" s="6" t="s">
        <v>123</v>
      </c>
      <c r="AJ122" s="8"/>
      <c r="AK122" s="8"/>
      <c r="AL122" s="8"/>
      <c r="AM122" s="8"/>
      <c r="AN122" s="8"/>
      <c r="AO122" s="8"/>
      <c r="AP122" s="9" t="s">
        <v>822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76.5" hidden="true" customHeight="true" outlineLevel="0" collapsed="false">
      <c r="A123" s="6" t="s">
        <v>1</v>
      </c>
      <c r="B123" s="6" t="n">
        <v>15</v>
      </c>
      <c r="C123" s="6" t="n">
        <v>90088468</v>
      </c>
      <c r="D123" s="6" t="s">
        <v>823</v>
      </c>
      <c r="E123" s="6" t="s">
        <v>336</v>
      </c>
      <c r="F123" s="6" t="s">
        <v>824</v>
      </c>
      <c r="G123" s="6" t="s">
        <v>825</v>
      </c>
      <c r="H123" s="6" t="s">
        <v>826</v>
      </c>
      <c r="I123" s="6" t="s">
        <v>827</v>
      </c>
      <c r="J123" s="6" t="s">
        <v>828</v>
      </c>
      <c r="K123" s="6" t="s">
        <v>120</v>
      </c>
      <c r="L123" s="6" t="s">
        <v>829</v>
      </c>
      <c r="M123" s="6" t="n">
        <v>4157</v>
      </c>
      <c r="N123" s="7" t="n">
        <v>0.0942</v>
      </c>
      <c r="O123" s="6" t="s">
        <v>155</v>
      </c>
      <c r="P123" s="6" t="s">
        <v>123</v>
      </c>
      <c r="Q123" s="6" t="s">
        <v>123</v>
      </c>
      <c r="R123" s="6" t="s">
        <v>123</v>
      </c>
      <c r="S123" s="10" t="str">
        <f aca="false">HYPERLINK("https://www.ncbi.nlm.nih.gov/snp/rs868324434", "rs868324434")</f>
        <v>rs868324434</v>
      </c>
      <c r="T123" s="6" t="s">
        <v>123</v>
      </c>
      <c r="U123" s="6" t="s">
        <v>123</v>
      </c>
      <c r="V123" s="6" t="n">
        <v>0.03</v>
      </c>
      <c r="W123" s="6" t="n">
        <v>0</v>
      </c>
      <c r="X123" s="6" t="n">
        <v>0</v>
      </c>
      <c r="Y123" s="6" t="n">
        <v>0</v>
      </c>
      <c r="Z123" s="6" t="n">
        <v>-30</v>
      </c>
      <c r="AA123" s="6" t="n">
        <v>28</v>
      </c>
      <c r="AB123" s="6" t="n">
        <v>-13</v>
      </c>
      <c r="AC123" s="6" t="n">
        <v>1</v>
      </c>
      <c r="AD123" s="6" t="n">
        <v>26.5</v>
      </c>
      <c r="AE123" s="6" t="s">
        <v>124</v>
      </c>
      <c r="AF123" s="6" t="s">
        <v>123</v>
      </c>
      <c r="AG123" s="6" t="s">
        <v>123</v>
      </c>
      <c r="AH123" s="6" t="s">
        <v>123</v>
      </c>
      <c r="AI123" s="6" t="s">
        <v>123</v>
      </c>
      <c r="AJ123" s="8"/>
      <c r="AK123" s="8"/>
      <c r="AL123" s="8"/>
      <c r="AM123" s="8"/>
      <c r="AN123" s="8"/>
      <c r="AO123" s="8"/>
      <c r="AP123" s="9" t="s">
        <v>830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63.75" hidden="true" customHeight="true" outlineLevel="0" collapsed="false">
      <c r="A124" s="6" t="s">
        <v>1</v>
      </c>
      <c r="B124" s="6" t="n">
        <v>7</v>
      </c>
      <c r="C124" s="6" t="n">
        <v>50376574</v>
      </c>
      <c r="D124" s="6" t="s">
        <v>831</v>
      </c>
      <c r="E124" s="6" t="s">
        <v>832</v>
      </c>
      <c r="F124" s="6" t="s">
        <v>833</v>
      </c>
      <c r="G124" s="6" t="s">
        <v>834</v>
      </c>
      <c r="H124" s="6" t="s">
        <v>835</v>
      </c>
      <c r="I124" s="6" t="s">
        <v>836</v>
      </c>
      <c r="J124" s="6" t="s">
        <v>837</v>
      </c>
      <c r="K124" s="6" t="s">
        <v>120</v>
      </c>
      <c r="L124" s="6" t="s">
        <v>838</v>
      </c>
      <c r="M124" s="6" t="n">
        <v>4161</v>
      </c>
      <c r="N124" s="7" t="n">
        <v>0.237</v>
      </c>
      <c r="O124" s="6" t="s">
        <v>122</v>
      </c>
      <c r="P124" s="6" t="s">
        <v>123</v>
      </c>
      <c r="Q124" s="6" t="s">
        <v>123</v>
      </c>
      <c r="R124" s="6" t="s">
        <v>123</v>
      </c>
      <c r="S124" s="6" t="s">
        <v>123</v>
      </c>
      <c r="T124" s="6" t="s">
        <v>123</v>
      </c>
      <c r="U124" s="10" t="n">
        <f aca="false">HYPERLINK("https://gnomad.broadinstitute.org/variant/7-50376574-G-A?dataset=gnomad_r4", 0.00000136827)</f>
        <v>1.36827E-006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2</v>
      </c>
      <c r="AA124" s="6" t="n">
        <v>-37</v>
      </c>
      <c r="AB124" s="6" t="n">
        <v>1</v>
      </c>
      <c r="AC124" s="6" t="n">
        <v>30</v>
      </c>
      <c r="AD124" s="6" t="n">
        <v>28.1</v>
      </c>
      <c r="AE124" s="6" t="s">
        <v>124</v>
      </c>
      <c r="AF124" s="6" t="s">
        <v>123</v>
      </c>
      <c r="AG124" s="6" t="s">
        <v>123</v>
      </c>
      <c r="AH124" s="6" t="s">
        <v>123</v>
      </c>
      <c r="AI124" s="6" t="s">
        <v>123</v>
      </c>
      <c r="AJ124" s="8"/>
      <c r="AK124" s="8"/>
      <c r="AL124" s="8"/>
      <c r="AM124" s="8"/>
      <c r="AN124" s="8"/>
      <c r="AO124" s="8"/>
      <c r="AP124" s="9" t="s">
        <v>839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76.5" hidden="true" customHeight="true" outlineLevel="0" collapsed="false">
      <c r="A125" s="6" t="s">
        <v>1</v>
      </c>
      <c r="B125" s="6" t="n">
        <v>9</v>
      </c>
      <c r="C125" s="6" t="n">
        <v>5126453</v>
      </c>
      <c r="D125" s="6" t="s">
        <v>840</v>
      </c>
      <c r="E125" s="6" t="s">
        <v>841</v>
      </c>
      <c r="F125" s="6" t="s">
        <v>842</v>
      </c>
      <c r="G125" s="6" t="s">
        <v>123</v>
      </c>
      <c r="H125" s="6" t="s">
        <v>843</v>
      </c>
      <c r="I125" s="6"/>
      <c r="J125" s="6" t="s">
        <v>123</v>
      </c>
      <c r="K125" s="6" t="s">
        <v>141</v>
      </c>
      <c r="L125" s="6" t="s">
        <v>844</v>
      </c>
      <c r="M125" s="6" t="n">
        <v>4042</v>
      </c>
      <c r="N125" s="7" t="n">
        <v>0.112</v>
      </c>
      <c r="O125" s="6" t="s">
        <v>129</v>
      </c>
      <c r="P125" s="10" t="n">
        <f aca="false">HYPERLINK("https://www.ncbi.nlm.nih.gov/clinvar/variation/2972445", 2972445)</f>
        <v>2972445</v>
      </c>
      <c r="Q125" s="6" t="s">
        <v>418</v>
      </c>
      <c r="R125" s="6" t="s">
        <v>181</v>
      </c>
      <c r="S125" s="10" t="str">
        <f aca="false">HYPERLINK("https://www.ncbi.nlm.nih.gov/snp/rs749188860", "rs749188860")</f>
        <v>rs749188860</v>
      </c>
      <c r="T125" s="6" t="s">
        <v>123</v>
      </c>
      <c r="U125" s="10" t="n">
        <f aca="false">HYPERLINK("https://gnomad.broadinstitute.org/variant/9-5126453-A-AT?dataset=gnomad_r4", 0.000151894)</f>
        <v>0.000151894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-48</v>
      </c>
      <c r="AA125" s="6" t="n">
        <v>17</v>
      </c>
      <c r="AB125" s="6" t="n">
        <v>-7</v>
      </c>
      <c r="AC125" s="6" t="n">
        <v>17</v>
      </c>
      <c r="AD125" s="6" t="n">
        <v>0.215</v>
      </c>
      <c r="AE125" s="6" t="s">
        <v>124</v>
      </c>
      <c r="AF125" s="6" t="s">
        <v>123</v>
      </c>
      <c r="AG125" s="6" t="s">
        <v>123</v>
      </c>
      <c r="AH125" s="6" t="s">
        <v>123</v>
      </c>
      <c r="AI125" s="6" t="s">
        <v>123</v>
      </c>
      <c r="AJ125" s="8"/>
      <c r="AK125" s="8"/>
      <c r="AL125" s="8"/>
      <c r="AM125" s="8"/>
      <c r="AN125" s="8"/>
      <c r="AO125" s="8"/>
      <c r="AP125" s="9" t="s">
        <v>845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76.5" hidden="true" customHeight="true" outlineLevel="0" collapsed="false">
      <c r="A126" s="6" t="s">
        <v>1</v>
      </c>
      <c r="B126" s="6" t="n">
        <v>9</v>
      </c>
      <c r="C126" s="6" t="n">
        <v>5073681</v>
      </c>
      <c r="D126" s="6" t="s">
        <v>840</v>
      </c>
      <c r="E126" s="6" t="s">
        <v>841</v>
      </c>
      <c r="F126" s="6" t="s">
        <v>842</v>
      </c>
      <c r="G126" s="6" t="s">
        <v>123</v>
      </c>
      <c r="H126" s="6" t="s">
        <v>846</v>
      </c>
      <c r="I126" s="6"/>
      <c r="J126" s="6" t="s">
        <v>123</v>
      </c>
      <c r="K126" s="6" t="s">
        <v>127</v>
      </c>
      <c r="L126" s="6" t="s">
        <v>847</v>
      </c>
      <c r="M126" s="6" t="n">
        <v>3729</v>
      </c>
      <c r="N126" s="7" t="n">
        <v>0.483</v>
      </c>
      <c r="O126" s="6" t="s">
        <v>129</v>
      </c>
      <c r="P126" s="10" t="n">
        <f aca="false">HYPERLINK("https://www.ncbi.nlm.nih.gov/clinvar/variation/1898161", 1898161)</f>
        <v>1898161</v>
      </c>
      <c r="Q126" s="6" t="s">
        <v>418</v>
      </c>
      <c r="R126" s="6" t="s">
        <v>181</v>
      </c>
      <c r="S126" s="10" t="str">
        <f aca="false">HYPERLINK("https://www.ncbi.nlm.nih.gov/snp/rs750624043", "rs750624043")</f>
        <v>rs750624043</v>
      </c>
      <c r="T126" s="10" t="n">
        <f aca="false">HYPERLINK("https://gnomad.broadinstitute.org/variant/9-5073681-CT-C?dataset=gnomad_r4", 0.0000399016)</f>
        <v>3.99016E-005</v>
      </c>
      <c r="U126" s="10" t="n">
        <f aca="false">HYPERLINK("https://gnomad.broadinstitute.org/variant/9-5073681-CT-C?dataset=gnomad_r4", 0.000984875)</f>
        <v>0.000984875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17</v>
      </c>
      <c r="AA126" s="6" t="n">
        <v>1</v>
      </c>
      <c r="AB126" s="6" t="n">
        <v>31</v>
      </c>
      <c r="AC126" s="6" t="n">
        <v>35</v>
      </c>
      <c r="AD126" s="6" t="n">
        <v>6.165</v>
      </c>
      <c r="AE126" s="6" t="s">
        <v>124</v>
      </c>
      <c r="AF126" s="6" t="s">
        <v>123</v>
      </c>
      <c r="AG126" s="6" t="s">
        <v>123</v>
      </c>
      <c r="AH126" s="6" t="s">
        <v>123</v>
      </c>
      <c r="AI126" s="6" t="s">
        <v>123</v>
      </c>
      <c r="AJ126" s="8"/>
      <c r="AK126" s="8"/>
      <c r="AL126" s="8"/>
      <c r="AM126" s="8"/>
      <c r="AN126" s="8"/>
      <c r="AO126" s="8"/>
      <c r="AP126" s="9" t="s">
        <v>848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63.75" hidden="true" customHeight="true" outlineLevel="0" collapsed="false">
      <c r="A127" s="6" t="s">
        <v>1</v>
      </c>
      <c r="B127" s="6" t="n">
        <v>9</v>
      </c>
      <c r="C127" s="6" t="n">
        <v>5073681</v>
      </c>
      <c r="D127" s="6" t="s">
        <v>840</v>
      </c>
      <c r="E127" s="6" t="s">
        <v>841</v>
      </c>
      <c r="F127" s="6" t="s">
        <v>842</v>
      </c>
      <c r="G127" s="6" t="s">
        <v>123</v>
      </c>
      <c r="H127" s="6" t="s">
        <v>849</v>
      </c>
      <c r="I127" s="6"/>
      <c r="J127" s="6" t="s">
        <v>123</v>
      </c>
      <c r="K127" s="6" t="s">
        <v>127</v>
      </c>
      <c r="L127" s="6" t="s">
        <v>850</v>
      </c>
      <c r="M127" s="6" t="n">
        <v>3729</v>
      </c>
      <c r="N127" s="7" t="n">
        <v>0.0561</v>
      </c>
      <c r="O127" s="6" t="s">
        <v>129</v>
      </c>
      <c r="P127" s="6" t="s">
        <v>123</v>
      </c>
      <c r="Q127" s="6" t="s">
        <v>123</v>
      </c>
      <c r="R127" s="6" t="s">
        <v>123</v>
      </c>
      <c r="S127" s="6" t="s">
        <v>123</v>
      </c>
      <c r="T127" s="6" t="s">
        <v>123</v>
      </c>
      <c r="U127" s="10" t="n">
        <f aca="false">HYPERLINK("https://gnomad.broadinstitute.org/variant/9-5073681-CTT-C?dataset=gnomad_r4", 0.000000784212)</f>
        <v>7.84212E-007</v>
      </c>
      <c r="V127" s="6" t="n">
        <v>0</v>
      </c>
      <c r="W127" s="6" t="n">
        <v>0.01</v>
      </c>
      <c r="X127" s="6" t="n">
        <v>0</v>
      </c>
      <c r="Y127" s="6" t="n">
        <v>0</v>
      </c>
      <c r="Z127" s="6" t="n">
        <v>3</v>
      </c>
      <c r="AA127" s="6" t="n">
        <v>17</v>
      </c>
      <c r="AB127" s="6" t="n">
        <v>-4</v>
      </c>
      <c r="AC127" s="6" t="n">
        <v>35</v>
      </c>
      <c r="AD127" s="6" t="s">
        <v>123</v>
      </c>
      <c r="AE127" s="6" t="s">
        <v>124</v>
      </c>
      <c r="AF127" s="6" t="s">
        <v>123</v>
      </c>
      <c r="AG127" s="6" t="s">
        <v>123</v>
      </c>
      <c r="AH127" s="6" t="s">
        <v>123</v>
      </c>
      <c r="AI127" s="6" t="s">
        <v>123</v>
      </c>
      <c r="AJ127" s="8"/>
      <c r="AK127" s="8"/>
      <c r="AL127" s="8"/>
      <c r="AM127" s="8"/>
      <c r="AN127" s="8"/>
      <c r="AO127" s="8"/>
      <c r="AP127" s="9" t="s">
        <v>851</v>
      </c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76.5" hidden="true" customHeight="true" outlineLevel="0" collapsed="false">
      <c r="A128" s="6" t="s">
        <v>1</v>
      </c>
      <c r="B128" s="6" t="n">
        <v>4</v>
      </c>
      <c r="C128" s="6" t="n">
        <v>54733155</v>
      </c>
      <c r="D128" s="6" t="s">
        <v>852</v>
      </c>
      <c r="E128" s="6" t="s">
        <v>6</v>
      </c>
      <c r="F128" s="6" t="s">
        <v>853</v>
      </c>
      <c r="G128" s="6" t="s">
        <v>854</v>
      </c>
      <c r="H128" s="6" t="s">
        <v>855</v>
      </c>
      <c r="I128" s="6" t="s">
        <v>856</v>
      </c>
      <c r="J128" s="6" t="s">
        <v>857</v>
      </c>
      <c r="K128" s="6" t="s">
        <v>120</v>
      </c>
      <c r="L128" s="6" t="s">
        <v>858</v>
      </c>
      <c r="M128" s="6" t="n">
        <v>3239</v>
      </c>
      <c r="N128" s="7" t="n">
        <v>0.102</v>
      </c>
      <c r="O128" s="6" t="s">
        <v>122</v>
      </c>
      <c r="P128" s="10" t="n">
        <f aca="false">HYPERLINK("https://www.ncbi.nlm.nih.gov/clinvar/variation/13852", 13852)</f>
        <v>13852</v>
      </c>
      <c r="Q128" s="6" t="s">
        <v>409</v>
      </c>
      <c r="R128" s="6" t="s">
        <v>859</v>
      </c>
      <c r="S128" s="10" t="str">
        <f aca="false">HYPERLINK("https://www.ncbi.nlm.nih.gov/snp/rs121913507", "rs121913507")</f>
        <v>rs121913507</v>
      </c>
      <c r="T128" s="6" t="s">
        <v>123</v>
      </c>
      <c r="U128" s="10" t="n">
        <f aca="false">HYPERLINK("https://gnomad.broadinstitute.org/variant/4-54733155-A-T?dataset=gnomad_r4", 0.00000205396)</f>
        <v>2.05396E-006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-6</v>
      </c>
      <c r="AA128" s="6" t="n">
        <v>-25</v>
      </c>
      <c r="AB128" s="6" t="n">
        <v>-2</v>
      </c>
      <c r="AC128" s="6" t="n">
        <v>37</v>
      </c>
      <c r="AD128" s="6" t="n">
        <v>28.1</v>
      </c>
      <c r="AE128" s="6" t="s">
        <v>860</v>
      </c>
      <c r="AF128" s="6" t="s">
        <v>225</v>
      </c>
      <c r="AG128" s="6" t="s">
        <v>861</v>
      </c>
      <c r="AH128" s="6" t="s">
        <v>862</v>
      </c>
      <c r="AI128" s="6" t="s">
        <v>863</v>
      </c>
      <c r="AJ128" s="8"/>
      <c r="AK128" s="8"/>
      <c r="AL128" s="8"/>
      <c r="AM128" s="8"/>
      <c r="AN128" s="8"/>
      <c r="AO128" s="8"/>
      <c r="AP128" s="9" t="s">
        <v>864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63.75" hidden="true" customHeight="true" outlineLevel="0" collapsed="false">
      <c r="A129" s="6" t="s">
        <v>1</v>
      </c>
      <c r="B129" s="6" t="n">
        <v>4</v>
      </c>
      <c r="C129" s="6" t="n">
        <v>54709476</v>
      </c>
      <c r="D129" s="6" t="s">
        <v>852</v>
      </c>
      <c r="E129" s="6" t="s">
        <v>6</v>
      </c>
      <c r="F129" s="6" t="s">
        <v>853</v>
      </c>
      <c r="G129" s="6" t="s">
        <v>865</v>
      </c>
      <c r="H129" s="6" t="s">
        <v>866</v>
      </c>
      <c r="I129" s="6" t="s">
        <v>867</v>
      </c>
      <c r="J129" s="6" t="s">
        <v>868</v>
      </c>
      <c r="K129" s="6" t="s">
        <v>120</v>
      </c>
      <c r="L129" s="6" t="s">
        <v>869</v>
      </c>
      <c r="M129" s="6" t="n">
        <v>3647</v>
      </c>
      <c r="N129" s="7" t="n">
        <v>0.0556</v>
      </c>
      <c r="O129" s="6" t="s">
        <v>122</v>
      </c>
      <c r="P129" s="6" t="s">
        <v>123</v>
      </c>
      <c r="Q129" s="6" t="s">
        <v>123</v>
      </c>
      <c r="R129" s="6" t="s">
        <v>123</v>
      </c>
      <c r="S129" s="6" t="s">
        <v>123</v>
      </c>
      <c r="T129" s="6" t="s">
        <v>123</v>
      </c>
      <c r="U129" s="6" t="s">
        <v>123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-8</v>
      </c>
      <c r="AA129" s="6" t="n">
        <v>-43</v>
      </c>
      <c r="AB129" s="6" t="n">
        <v>11</v>
      </c>
      <c r="AC129" s="6" t="n">
        <v>-49</v>
      </c>
      <c r="AD129" s="6" t="n">
        <v>26.7</v>
      </c>
      <c r="AE129" s="6" t="s">
        <v>124</v>
      </c>
      <c r="AF129" s="6" t="s">
        <v>123</v>
      </c>
      <c r="AG129" s="6" t="s">
        <v>123</v>
      </c>
      <c r="AH129" s="6" t="s">
        <v>123</v>
      </c>
      <c r="AI129" s="6" t="s">
        <v>123</v>
      </c>
      <c r="AJ129" s="8"/>
      <c r="AK129" s="8"/>
      <c r="AL129" s="8"/>
      <c r="AM129" s="8"/>
      <c r="AN129" s="8"/>
      <c r="AO129" s="8"/>
      <c r="AP129" s="9" t="s">
        <v>870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76.5" hidden="true" customHeight="true" outlineLevel="0" collapsed="false">
      <c r="A130" s="6" t="s">
        <v>1</v>
      </c>
      <c r="B130" s="6" t="n">
        <v>11</v>
      </c>
      <c r="C130" s="6" t="n">
        <v>118473470</v>
      </c>
      <c r="D130" s="6" t="s">
        <v>871</v>
      </c>
      <c r="E130" s="6" t="s">
        <v>6</v>
      </c>
      <c r="F130" s="6" t="s">
        <v>872</v>
      </c>
      <c r="G130" s="6" t="s">
        <v>873</v>
      </c>
      <c r="H130" s="6" t="s">
        <v>874</v>
      </c>
      <c r="I130" s="6" t="s">
        <v>875</v>
      </c>
      <c r="J130" s="6" t="s">
        <v>876</v>
      </c>
      <c r="K130" s="6" t="s">
        <v>153</v>
      </c>
      <c r="L130" s="6" t="s">
        <v>877</v>
      </c>
      <c r="M130" s="6" t="n">
        <v>4341</v>
      </c>
      <c r="N130" s="7" t="n">
        <v>0.0776</v>
      </c>
      <c r="O130" s="6" t="s">
        <v>122</v>
      </c>
      <c r="P130" s="10" t="n">
        <f aca="false">HYPERLINK("https://www.ncbi.nlm.nih.gov/clinvar/variation/522154", 522154)</f>
        <v>522154</v>
      </c>
      <c r="Q130" s="6" t="s">
        <v>165</v>
      </c>
      <c r="R130" s="6" t="s">
        <v>878</v>
      </c>
      <c r="S130" s="10" t="str">
        <f aca="false">HYPERLINK("https://www.ncbi.nlm.nih.gov/snp/rs782297546", "rs782297546")</f>
        <v>rs782297546</v>
      </c>
      <c r="T130" s="6" t="s">
        <v>123</v>
      </c>
      <c r="U130" s="6" t="s">
        <v>123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32</v>
      </c>
      <c r="AA130" s="6" t="n">
        <v>-19</v>
      </c>
      <c r="AB130" s="6" t="n">
        <v>-29</v>
      </c>
      <c r="AC130" s="6" t="n">
        <v>38</v>
      </c>
      <c r="AD130" s="6" t="s">
        <v>123</v>
      </c>
      <c r="AE130" s="6" t="s">
        <v>124</v>
      </c>
      <c r="AF130" s="6" t="s">
        <v>123</v>
      </c>
      <c r="AG130" s="6" t="s">
        <v>123</v>
      </c>
      <c r="AH130" s="6" t="s">
        <v>123</v>
      </c>
      <c r="AI130" s="6" t="s">
        <v>123</v>
      </c>
      <c r="AJ130" s="8"/>
      <c r="AK130" s="8"/>
      <c r="AL130" s="8"/>
      <c r="AM130" s="8"/>
      <c r="AN130" s="8"/>
      <c r="AO130" s="8"/>
      <c r="AP130" s="9" t="s">
        <v>879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76.5" hidden="true" customHeight="true" outlineLevel="0" collapsed="false">
      <c r="A131" s="6" t="s">
        <v>1</v>
      </c>
      <c r="B131" s="6" t="n">
        <v>11</v>
      </c>
      <c r="C131" s="6" t="n">
        <v>118473778</v>
      </c>
      <c r="D131" s="6" t="s">
        <v>871</v>
      </c>
      <c r="E131" s="6" t="s">
        <v>6</v>
      </c>
      <c r="F131" s="6" t="s">
        <v>872</v>
      </c>
      <c r="G131" s="6" t="s">
        <v>873</v>
      </c>
      <c r="H131" s="6" t="s">
        <v>880</v>
      </c>
      <c r="I131" s="6" t="s">
        <v>881</v>
      </c>
      <c r="J131" s="6" t="s">
        <v>882</v>
      </c>
      <c r="K131" s="6" t="s">
        <v>153</v>
      </c>
      <c r="L131" s="6" t="s">
        <v>883</v>
      </c>
      <c r="M131" s="6" t="n">
        <v>3969</v>
      </c>
      <c r="N131" s="7" t="n">
        <v>0.0811</v>
      </c>
      <c r="O131" s="6" t="s">
        <v>143</v>
      </c>
      <c r="P131" s="10" t="n">
        <f aca="false">HYPERLINK("https://www.ncbi.nlm.nih.gov/clinvar/variation/1073103", 1073103)</f>
        <v>1073103</v>
      </c>
      <c r="Q131" s="6" t="s">
        <v>165</v>
      </c>
      <c r="R131" s="6" t="s">
        <v>884</v>
      </c>
      <c r="S131" s="10" t="str">
        <f aca="false">HYPERLINK("https://www.ncbi.nlm.nih.gov/snp/rs782311054", "rs782311054")</f>
        <v>rs782311054</v>
      </c>
      <c r="T131" s="6" t="s">
        <v>123</v>
      </c>
      <c r="U131" s="6" t="s">
        <v>123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-2</v>
      </c>
      <c r="AA131" s="6" t="n">
        <v>3</v>
      </c>
      <c r="AB131" s="6" t="n">
        <v>-2</v>
      </c>
      <c r="AC131" s="6" t="n">
        <v>-9</v>
      </c>
      <c r="AD131" s="6" t="s">
        <v>123</v>
      </c>
      <c r="AE131" s="6" t="s">
        <v>124</v>
      </c>
      <c r="AF131" s="6" t="s">
        <v>123</v>
      </c>
      <c r="AG131" s="6" t="s">
        <v>123</v>
      </c>
      <c r="AH131" s="6" t="s">
        <v>123</v>
      </c>
      <c r="AI131" s="6" t="s">
        <v>123</v>
      </c>
      <c r="AJ131" s="8"/>
      <c r="AK131" s="8"/>
      <c r="AL131" s="8"/>
      <c r="AM131" s="8"/>
      <c r="AN131" s="8"/>
      <c r="AO131" s="8"/>
      <c r="AP131" s="9" t="s">
        <v>885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76.5" hidden="true" customHeight="true" outlineLevel="0" collapsed="false">
      <c r="A132" s="6" t="s">
        <v>1</v>
      </c>
      <c r="B132" s="6" t="n">
        <v>11</v>
      </c>
      <c r="C132" s="6" t="n">
        <v>118490255</v>
      </c>
      <c r="D132" s="6" t="s">
        <v>871</v>
      </c>
      <c r="E132" s="6" t="s">
        <v>6</v>
      </c>
      <c r="F132" s="6" t="s">
        <v>872</v>
      </c>
      <c r="G132" s="6" t="s">
        <v>123</v>
      </c>
      <c r="H132" s="6" t="s">
        <v>886</v>
      </c>
      <c r="I132" s="6"/>
      <c r="J132" s="6" t="s">
        <v>123</v>
      </c>
      <c r="K132" s="6" t="s">
        <v>141</v>
      </c>
      <c r="L132" s="6" t="s">
        <v>887</v>
      </c>
      <c r="M132" s="6" t="n">
        <v>3354</v>
      </c>
      <c r="N132" s="7" t="n">
        <v>0.323</v>
      </c>
      <c r="O132" s="6" t="s">
        <v>122</v>
      </c>
      <c r="P132" s="10" t="n">
        <f aca="false">HYPERLINK("https://www.ncbi.nlm.nih.gov/clinvar/variation/2783908", 2783908)</f>
        <v>2783908</v>
      </c>
      <c r="Q132" s="6" t="s">
        <v>418</v>
      </c>
      <c r="R132" s="6" t="s">
        <v>181</v>
      </c>
      <c r="S132" s="10" t="str">
        <f aca="false">HYPERLINK("https://www.ncbi.nlm.nih.gov/snp/rs35483459", "rs35483459")</f>
        <v>rs35483459</v>
      </c>
      <c r="T132" s="6" t="s">
        <v>123</v>
      </c>
      <c r="U132" s="10" t="n">
        <f aca="false">HYPERLINK("https://gnomad.broadinstitute.org/variant/11-118490255-CA-C?dataset=gnomad_r4", 0.00000863149)</f>
        <v>8.63149E-006</v>
      </c>
      <c r="V132" s="6" t="n">
        <v>0</v>
      </c>
      <c r="W132" s="6" t="n">
        <v>0</v>
      </c>
      <c r="X132" s="6" t="n">
        <v>0.01</v>
      </c>
      <c r="Y132" s="6" t="n">
        <v>0</v>
      </c>
      <c r="Z132" s="6" t="n">
        <v>-18</v>
      </c>
      <c r="AA132" s="6" t="n">
        <v>-31</v>
      </c>
      <c r="AB132" s="6" t="n">
        <v>50</v>
      </c>
      <c r="AC132" s="6" t="n">
        <v>-6</v>
      </c>
      <c r="AD132" s="6" t="s">
        <v>123</v>
      </c>
      <c r="AE132" s="6" t="s">
        <v>124</v>
      </c>
      <c r="AF132" s="6" t="s">
        <v>123</v>
      </c>
      <c r="AG132" s="6" t="s">
        <v>123</v>
      </c>
      <c r="AH132" s="6" t="s">
        <v>123</v>
      </c>
      <c r="AI132" s="6" t="s">
        <v>123</v>
      </c>
      <c r="AJ132" s="8"/>
      <c r="AK132" s="8"/>
      <c r="AL132" s="8"/>
      <c r="AM132" s="8"/>
      <c r="AN132" s="8"/>
      <c r="AO132" s="8"/>
      <c r="AP132" s="9" t="s">
        <v>888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76.5" hidden="true" customHeight="true" outlineLevel="0" collapsed="false">
      <c r="A133" s="6" t="s">
        <v>1</v>
      </c>
      <c r="B133" s="6" t="n">
        <v>7</v>
      </c>
      <c r="C133" s="6" t="n">
        <v>152358681</v>
      </c>
      <c r="D133" s="6" t="s">
        <v>889</v>
      </c>
      <c r="E133" s="6" t="s">
        <v>832</v>
      </c>
      <c r="F133" s="6" t="s">
        <v>890</v>
      </c>
      <c r="G133" s="6" t="s">
        <v>123</v>
      </c>
      <c r="H133" s="6" t="s">
        <v>891</v>
      </c>
      <c r="I133" s="6"/>
      <c r="J133" s="6" t="s">
        <v>123</v>
      </c>
      <c r="K133" s="6" t="s">
        <v>127</v>
      </c>
      <c r="L133" s="6" t="s">
        <v>892</v>
      </c>
      <c r="M133" s="6" t="n">
        <v>3428</v>
      </c>
      <c r="N133" s="7" t="n">
        <v>0.0571</v>
      </c>
      <c r="O133" s="6" t="s">
        <v>129</v>
      </c>
      <c r="P133" s="10" t="n">
        <f aca="false">HYPERLINK("https://www.ncbi.nlm.nih.gov/clinvar/variation/2796013", 2796013)</f>
        <v>2796013</v>
      </c>
      <c r="Q133" s="6" t="s">
        <v>418</v>
      </c>
      <c r="R133" s="6" t="s">
        <v>181</v>
      </c>
      <c r="S133" s="10" t="str">
        <f aca="false">HYPERLINK("https://www.ncbi.nlm.nih.gov/snp/rs376309362", "rs376309362")</f>
        <v>rs376309362</v>
      </c>
      <c r="T133" s="6" t="s">
        <v>123</v>
      </c>
      <c r="U133" s="6" t="s">
        <v>123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-18</v>
      </c>
      <c r="AA133" s="6" t="n">
        <v>12</v>
      </c>
      <c r="AB133" s="6" t="n">
        <v>-37</v>
      </c>
      <c r="AC133" s="6" t="n">
        <v>24</v>
      </c>
      <c r="AD133" s="6" t="n">
        <v>0.728</v>
      </c>
      <c r="AE133" s="6" t="s">
        <v>124</v>
      </c>
      <c r="AF133" s="6" t="s">
        <v>123</v>
      </c>
      <c r="AG133" s="6" t="s">
        <v>123</v>
      </c>
      <c r="AH133" s="6" t="s">
        <v>123</v>
      </c>
      <c r="AI133" s="6" t="s">
        <v>123</v>
      </c>
      <c r="AJ133" s="8"/>
      <c r="AK133" s="8"/>
      <c r="AL133" s="8"/>
      <c r="AM133" s="8"/>
      <c r="AN133" s="8"/>
      <c r="AO133" s="8"/>
      <c r="AP133" s="9" t="s">
        <v>893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76.5" hidden="true" customHeight="true" outlineLevel="0" collapsed="false">
      <c r="A134" s="6" t="s">
        <v>1</v>
      </c>
      <c r="B134" s="6" t="n">
        <v>7</v>
      </c>
      <c r="C134" s="6" t="n">
        <v>152148297</v>
      </c>
      <c r="D134" s="6" t="s">
        <v>889</v>
      </c>
      <c r="E134" s="6" t="s">
        <v>832</v>
      </c>
      <c r="F134" s="6" t="s">
        <v>890</v>
      </c>
      <c r="G134" s="6" t="s">
        <v>894</v>
      </c>
      <c r="H134" s="6" t="s">
        <v>895</v>
      </c>
      <c r="I134" s="6" t="s">
        <v>896</v>
      </c>
      <c r="J134" s="6" t="s">
        <v>897</v>
      </c>
      <c r="K134" s="6" t="s">
        <v>120</v>
      </c>
      <c r="L134" s="6" t="s">
        <v>898</v>
      </c>
      <c r="M134" s="6" t="n">
        <v>5166</v>
      </c>
      <c r="N134" s="7" t="n">
        <v>0.473</v>
      </c>
      <c r="O134" s="6" t="s">
        <v>122</v>
      </c>
      <c r="P134" s="10" t="n">
        <f aca="false">HYPERLINK("https://www.ncbi.nlm.nih.gov/clinvar/variation/1410238", 1410238)</f>
        <v>1410238</v>
      </c>
      <c r="Q134" s="6" t="s">
        <v>215</v>
      </c>
      <c r="R134" s="6" t="s">
        <v>181</v>
      </c>
      <c r="S134" s="10" t="str">
        <f aca="false">HYPERLINK("https://www.ncbi.nlm.nih.gov/snp/rs766559750", "rs766559750")</f>
        <v>rs766559750</v>
      </c>
      <c r="T134" s="10" t="n">
        <f aca="false">HYPERLINK("https://gnomad.broadinstitute.org/variant/7-152148297-G-A?dataset=gnomad_r4", 0.0000131387)</f>
        <v>1.31387E-005</v>
      </c>
      <c r="U134" s="10" t="n">
        <f aca="false">HYPERLINK("https://gnomad.broadinstitute.org/variant/7-152148297-G-A?dataset=gnomad_r4", 0.00000342023)</f>
        <v>3.42023E-006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-26</v>
      </c>
      <c r="AA134" s="6" t="n">
        <v>45</v>
      </c>
      <c r="AB134" s="6" t="n">
        <v>37</v>
      </c>
      <c r="AC134" s="6" t="n">
        <v>-17</v>
      </c>
      <c r="AD134" s="6" t="n">
        <v>31</v>
      </c>
      <c r="AE134" s="6" t="s">
        <v>124</v>
      </c>
      <c r="AF134" s="6" t="s">
        <v>123</v>
      </c>
      <c r="AG134" s="6" t="s">
        <v>123</v>
      </c>
      <c r="AH134" s="6" t="s">
        <v>123</v>
      </c>
      <c r="AI134" s="6" t="s">
        <v>123</v>
      </c>
      <c r="AJ134" s="8"/>
      <c r="AK134" s="8"/>
      <c r="AL134" s="8"/>
      <c r="AM134" s="8"/>
      <c r="AN134" s="8"/>
      <c r="AO134" s="8"/>
      <c r="AP134" s="9" t="s">
        <v>899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63.75" hidden="true" customHeight="true" outlineLevel="0" collapsed="false">
      <c r="A135" s="6" t="s">
        <v>1</v>
      </c>
      <c r="B135" s="6" t="n">
        <v>7</v>
      </c>
      <c r="C135" s="6" t="n">
        <v>152177547</v>
      </c>
      <c r="D135" s="6" t="s">
        <v>889</v>
      </c>
      <c r="E135" s="6" t="s">
        <v>832</v>
      </c>
      <c r="F135" s="6" t="s">
        <v>890</v>
      </c>
      <c r="G135" s="6" t="s">
        <v>900</v>
      </c>
      <c r="H135" s="6" t="s">
        <v>901</v>
      </c>
      <c r="I135" s="6" t="s">
        <v>902</v>
      </c>
      <c r="J135" s="6" t="s">
        <v>903</v>
      </c>
      <c r="K135" s="6" t="s">
        <v>120</v>
      </c>
      <c r="L135" s="6" t="s">
        <v>904</v>
      </c>
      <c r="M135" s="6" t="n">
        <v>5174</v>
      </c>
      <c r="N135" s="7" t="n">
        <v>0.055</v>
      </c>
      <c r="O135" s="6" t="s">
        <v>122</v>
      </c>
      <c r="P135" s="6" t="s">
        <v>123</v>
      </c>
      <c r="Q135" s="6" t="s">
        <v>123</v>
      </c>
      <c r="R135" s="6" t="s">
        <v>123</v>
      </c>
      <c r="S135" s="6" t="s">
        <v>123</v>
      </c>
      <c r="T135" s="6" t="s">
        <v>123</v>
      </c>
      <c r="U135" s="6" t="s">
        <v>123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35</v>
      </c>
      <c r="AA135" s="6" t="n">
        <v>0</v>
      </c>
      <c r="AB135" s="6" t="n">
        <v>-26</v>
      </c>
      <c r="AC135" s="6" t="n">
        <v>0</v>
      </c>
      <c r="AD135" s="6" t="n">
        <v>17.4</v>
      </c>
      <c r="AE135" s="6" t="s">
        <v>124</v>
      </c>
      <c r="AF135" s="6" t="s">
        <v>123</v>
      </c>
      <c r="AG135" s="6" t="s">
        <v>123</v>
      </c>
      <c r="AH135" s="6" t="s">
        <v>123</v>
      </c>
      <c r="AI135" s="6" t="s">
        <v>123</v>
      </c>
      <c r="AJ135" s="8"/>
      <c r="AK135" s="8"/>
      <c r="AL135" s="8"/>
      <c r="AM135" s="8"/>
      <c r="AN135" s="8"/>
      <c r="AO135" s="8"/>
      <c r="AP135" s="9" t="s">
        <v>905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63.75" hidden="true" customHeight="true" outlineLevel="0" collapsed="false">
      <c r="A136" s="6" t="s">
        <v>1</v>
      </c>
      <c r="B136" s="6" t="n">
        <v>7</v>
      </c>
      <c r="C136" s="6" t="n">
        <v>152178014</v>
      </c>
      <c r="D136" s="6" t="s">
        <v>889</v>
      </c>
      <c r="E136" s="6" t="s">
        <v>832</v>
      </c>
      <c r="F136" s="6" t="s">
        <v>890</v>
      </c>
      <c r="G136" s="6" t="s">
        <v>123</v>
      </c>
      <c r="H136" s="6" t="s">
        <v>906</v>
      </c>
      <c r="I136" s="6"/>
      <c r="J136" s="6" t="s">
        <v>123</v>
      </c>
      <c r="K136" s="6" t="s">
        <v>127</v>
      </c>
      <c r="L136" s="6" t="s">
        <v>907</v>
      </c>
      <c r="M136" s="6" t="n">
        <v>1898</v>
      </c>
      <c r="N136" s="7" t="n">
        <v>0.0381</v>
      </c>
      <c r="O136" s="6" t="s">
        <v>129</v>
      </c>
      <c r="P136" s="6" t="s">
        <v>123</v>
      </c>
      <c r="Q136" s="6" t="s">
        <v>123</v>
      </c>
      <c r="R136" s="6" t="s">
        <v>123</v>
      </c>
      <c r="S136" s="6" t="s">
        <v>123</v>
      </c>
      <c r="T136" s="6" t="s">
        <v>123</v>
      </c>
      <c r="U136" s="6" t="s">
        <v>123</v>
      </c>
      <c r="V136" s="6" t="s">
        <v>123</v>
      </c>
      <c r="W136" s="6" t="s">
        <v>123</v>
      </c>
      <c r="X136" s="6" t="s">
        <v>123</v>
      </c>
      <c r="Y136" s="6" t="s">
        <v>123</v>
      </c>
      <c r="Z136" s="6" t="s">
        <v>123</v>
      </c>
      <c r="AA136" s="6" t="s">
        <v>123</v>
      </c>
      <c r="AB136" s="6" t="s">
        <v>123</v>
      </c>
      <c r="AC136" s="6" t="s">
        <v>123</v>
      </c>
      <c r="AD136" s="6" t="s">
        <v>123</v>
      </c>
      <c r="AE136" s="6" t="s">
        <v>124</v>
      </c>
      <c r="AF136" s="6" t="s">
        <v>123</v>
      </c>
      <c r="AG136" s="6" t="s">
        <v>123</v>
      </c>
      <c r="AH136" s="6" t="s">
        <v>123</v>
      </c>
      <c r="AI136" s="6" t="s">
        <v>123</v>
      </c>
      <c r="AJ136" s="8"/>
      <c r="AK136" s="8"/>
      <c r="AL136" s="8"/>
      <c r="AM136" s="8"/>
      <c r="AN136" s="8"/>
      <c r="AO136" s="8"/>
      <c r="AP136" s="9" t="s">
        <v>908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63.75" hidden="true" customHeight="true" outlineLevel="0" collapsed="false">
      <c r="A137" s="6" t="s">
        <v>1</v>
      </c>
      <c r="B137" s="6" t="n">
        <v>7</v>
      </c>
      <c r="C137" s="6" t="n">
        <v>152177062</v>
      </c>
      <c r="D137" s="6" t="s">
        <v>889</v>
      </c>
      <c r="E137" s="6" t="s">
        <v>832</v>
      </c>
      <c r="F137" s="6" t="s">
        <v>890</v>
      </c>
      <c r="G137" s="6" t="s">
        <v>900</v>
      </c>
      <c r="H137" s="6" t="s">
        <v>909</v>
      </c>
      <c r="I137" s="6" t="s">
        <v>910</v>
      </c>
      <c r="J137" s="6" t="s">
        <v>911</v>
      </c>
      <c r="K137" s="6" t="s">
        <v>153</v>
      </c>
      <c r="L137" s="6" t="s">
        <v>912</v>
      </c>
      <c r="M137" s="6" t="n">
        <v>4355</v>
      </c>
      <c r="N137" s="7" t="n">
        <v>0.11</v>
      </c>
      <c r="O137" s="6" t="s">
        <v>129</v>
      </c>
      <c r="P137" s="6" t="s">
        <v>123</v>
      </c>
      <c r="Q137" s="6" t="s">
        <v>123</v>
      </c>
      <c r="R137" s="6" t="s">
        <v>123</v>
      </c>
      <c r="S137" s="6" t="s">
        <v>123</v>
      </c>
      <c r="T137" s="6" t="s">
        <v>123</v>
      </c>
      <c r="U137" s="6" t="s">
        <v>123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-1</v>
      </c>
      <c r="AA137" s="6" t="n">
        <v>-49</v>
      </c>
      <c r="AB137" s="6" t="n">
        <v>-21</v>
      </c>
      <c r="AC137" s="6" t="n">
        <v>28</v>
      </c>
      <c r="AD137" s="6" t="s">
        <v>123</v>
      </c>
      <c r="AE137" s="6" t="s">
        <v>124</v>
      </c>
      <c r="AF137" s="6" t="s">
        <v>123</v>
      </c>
      <c r="AG137" s="6" t="s">
        <v>123</v>
      </c>
      <c r="AH137" s="6" t="s">
        <v>123</v>
      </c>
      <c r="AI137" s="6" t="s">
        <v>123</v>
      </c>
      <c r="AJ137" s="8"/>
      <c r="AK137" s="8"/>
      <c r="AL137" s="8"/>
      <c r="AM137" s="8"/>
      <c r="AN137" s="8"/>
      <c r="AO137" s="8"/>
      <c r="AP137" s="9" t="s">
        <v>913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76.5" hidden="true" customHeight="true" outlineLevel="0" collapsed="false">
      <c r="A138" s="6" t="s">
        <v>1</v>
      </c>
      <c r="B138" s="6" t="n">
        <v>7</v>
      </c>
      <c r="C138" s="6" t="n">
        <v>152178015</v>
      </c>
      <c r="D138" s="6" t="s">
        <v>889</v>
      </c>
      <c r="E138" s="6" t="s">
        <v>832</v>
      </c>
      <c r="F138" s="6" t="s">
        <v>890</v>
      </c>
      <c r="G138" s="6" t="s">
        <v>123</v>
      </c>
      <c r="H138" s="6" t="s">
        <v>914</v>
      </c>
      <c r="I138" s="6"/>
      <c r="J138" s="6" t="s">
        <v>123</v>
      </c>
      <c r="K138" s="6" t="s">
        <v>127</v>
      </c>
      <c r="L138" s="6" t="s">
        <v>915</v>
      </c>
      <c r="M138" s="6" t="n">
        <v>1889</v>
      </c>
      <c r="N138" s="7" t="n">
        <v>0.266</v>
      </c>
      <c r="O138" s="6" t="s">
        <v>129</v>
      </c>
      <c r="P138" s="10" t="n">
        <f aca="false">HYPERLINK("https://www.ncbi.nlm.nih.gov/clinvar/variation/3036524", 3036524)</f>
        <v>3036524</v>
      </c>
      <c r="Q138" s="6" t="s">
        <v>215</v>
      </c>
      <c r="R138" s="6" t="s">
        <v>916</v>
      </c>
      <c r="S138" s="10" t="str">
        <f aca="false">HYPERLINK("https://www.ncbi.nlm.nih.gov/snp/rs746018833", "rs746018833")</f>
        <v>rs746018833</v>
      </c>
      <c r="T138" s="10" t="n">
        <f aca="false">HYPERLINK("https://gnomad.broadinstitute.org/variant/7-152178015-TAAAAAAAAAA-T?dataset=gnomad_r4", 0.00120335)</f>
        <v>0.00120335</v>
      </c>
      <c r="U138" s="10" t="n">
        <f aca="false">HYPERLINK("https://gnomad.broadinstitute.org/variant/7-152178015-TAAAAAAAAAA-T?dataset=gnomad_r4", 0.000224726)</f>
        <v>0.000224726</v>
      </c>
      <c r="V138" s="6" t="s">
        <v>123</v>
      </c>
      <c r="W138" s="6" t="s">
        <v>123</v>
      </c>
      <c r="X138" s="6" t="s">
        <v>123</v>
      </c>
      <c r="Y138" s="6" t="s">
        <v>123</v>
      </c>
      <c r="Z138" s="6" t="s">
        <v>123</v>
      </c>
      <c r="AA138" s="6" t="s">
        <v>123</v>
      </c>
      <c r="AB138" s="6" t="s">
        <v>123</v>
      </c>
      <c r="AC138" s="6" t="s">
        <v>123</v>
      </c>
      <c r="AD138" s="6" t="n">
        <v>8.631</v>
      </c>
      <c r="AE138" s="6" t="s">
        <v>611</v>
      </c>
      <c r="AF138" s="6" t="s">
        <v>123</v>
      </c>
      <c r="AG138" s="6" t="s">
        <v>123</v>
      </c>
      <c r="AH138" s="6" t="s">
        <v>123</v>
      </c>
      <c r="AI138" s="6" t="s">
        <v>123</v>
      </c>
      <c r="AJ138" s="8"/>
      <c r="AK138" s="8"/>
      <c r="AL138" s="8"/>
      <c r="AM138" s="8"/>
      <c r="AN138" s="8"/>
      <c r="AO138" s="8"/>
      <c r="AP138" s="9" t="s">
        <v>917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63.75" hidden="true" customHeight="true" outlineLevel="0" collapsed="false">
      <c r="A139" s="6" t="s">
        <v>1</v>
      </c>
      <c r="B139" s="6" t="n">
        <v>7</v>
      </c>
      <c r="C139" s="6" t="n">
        <v>152248046</v>
      </c>
      <c r="D139" s="6" t="s">
        <v>889</v>
      </c>
      <c r="E139" s="6" t="s">
        <v>832</v>
      </c>
      <c r="F139" s="6" t="s">
        <v>890</v>
      </c>
      <c r="G139" s="6" t="s">
        <v>918</v>
      </c>
      <c r="H139" s="6" t="s">
        <v>919</v>
      </c>
      <c r="I139" s="6" t="s">
        <v>920</v>
      </c>
      <c r="J139" s="6" t="s">
        <v>921</v>
      </c>
      <c r="K139" s="6" t="s">
        <v>120</v>
      </c>
      <c r="L139" s="6" t="s">
        <v>922</v>
      </c>
      <c r="M139" s="6" t="n">
        <v>6831</v>
      </c>
      <c r="N139" s="7" t="n">
        <v>0.153</v>
      </c>
      <c r="O139" s="6" t="s">
        <v>155</v>
      </c>
      <c r="P139" s="6" t="s">
        <v>123</v>
      </c>
      <c r="Q139" s="6" t="s">
        <v>123</v>
      </c>
      <c r="R139" s="6" t="s">
        <v>123</v>
      </c>
      <c r="S139" s="6" t="s">
        <v>123</v>
      </c>
      <c r="T139" s="6" t="s">
        <v>123</v>
      </c>
      <c r="U139" s="6" t="s">
        <v>123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-2</v>
      </c>
      <c r="AA139" s="6" t="n">
        <v>-20</v>
      </c>
      <c r="AB139" s="6" t="n">
        <v>48</v>
      </c>
      <c r="AC139" s="6" t="n">
        <v>-8</v>
      </c>
      <c r="AD139" s="6" t="n">
        <v>18.06</v>
      </c>
      <c r="AE139" s="6" t="s">
        <v>124</v>
      </c>
      <c r="AF139" s="6" t="s">
        <v>123</v>
      </c>
      <c r="AG139" s="6" t="s">
        <v>123</v>
      </c>
      <c r="AH139" s="6" t="s">
        <v>123</v>
      </c>
      <c r="AI139" s="6" t="s">
        <v>123</v>
      </c>
      <c r="AJ139" s="8"/>
      <c r="AK139" s="8"/>
      <c r="AL139" s="8"/>
      <c r="AM139" s="8"/>
      <c r="AN139" s="8"/>
      <c r="AO139" s="8"/>
      <c r="AP139" s="9" t="s">
        <v>923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63.75" hidden="true" customHeight="true" outlineLevel="0" collapsed="false">
      <c r="A140" s="6" t="s">
        <v>1</v>
      </c>
      <c r="B140" s="6" t="n">
        <v>7</v>
      </c>
      <c r="C140" s="6" t="n">
        <v>152263059</v>
      </c>
      <c r="D140" s="6" t="s">
        <v>889</v>
      </c>
      <c r="E140" s="6" t="s">
        <v>832</v>
      </c>
      <c r="F140" s="6" t="s">
        <v>890</v>
      </c>
      <c r="G140" s="6" t="s">
        <v>924</v>
      </c>
      <c r="H140" s="6" t="s">
        <v>925</v>
      </c>
      <c r="I140" s="6" t="s">
        <v>926</v>
      </c>
      <c r="J140" s="6" t="s">
        <v>927</v>
      </c>
      <c r="K140" s="6" t="s">
        <v>120</v>
      </c>
      <c r="L140" s="6" t="s">
        <v>928</v>
      </c>
      <c r="M140" s="6" t="n">
        <v>4501</v>
      </c>
      <c r="N140" s="7" t="n">
        <v>0.0683</v>
      </c>
      <c r="O140" s="6" t="s">
        <v>122</v>
      </c>
      <c r="P140" s="10" t="n">
        <f aca="false">HYPERLINK("https://www.ncbi.nlm.nih.gov/clinvar/variation/3233336", 3233336)</f>
        <v>3233336</v>
      </c>
      <c r="Q140" s="6" t="s">
        <v>253</v>
      </c>
      <c r="R140" s="6" t="s">
        <v>929</v>
      </c>
      <c r="S140" s="6" t="s">
        <v>123</v>
      </c>
      <c r="T140" s="6" t="s">
        <v>123</v>
      </c>
      <c r="U140" s="10" t="n">
        <f aca="false">HYPERLINK("https://gnomad.broadinstitute.org/variant/7-152263059-T-C?dataset=gnomad_r4", 0.000000684593)</f>
        <v>6.84593E-007</v>
      </c>
      <c r="V140" s="6" t="n">
        <v>0</v>
      </c>
      <c r="W140" s="6" t="n">
        <v>0</v>
      </c>
      <c r="X140" s="6" t="n">
        <v>0</v>
      </c>
      <c r="Y140" s="6" t="n">
        <v>0</v>
      </c>
      <c r="Z140" s="6" t="n">
        <v>-1</v>
      </c>
      <c r="AA140" s="6" t="n">
        <v>-6</v>
      </c>
      <c r="AB140" s="6" t="n">
        <v>-43</v>
      </c>
      <c r="AC140" s="6" t="n">
        <v>21</v>
      </c>
      <c r="AD140" s="6" t="n">
        <v>25.6</v>
      </c>
      <c r="AE140" s="6" t="s">
        <v>124</v>
      </c>
      <c r="AF140" s="6" t="s">
        <v>123</v>
      </c>
      <c r="AG140" s="6" t="s">
        <v>123</v>
      </c>
      <c r="AH140" s="6" t="s">
        <v>123</v>
      </c>
      <c r="AI140" s="6" t="s">
        <v>123</v>
      </c>
      <c r="AJ140" s="8"/>
      <c r="AK140" s="8"/>
      <c r="AL140" s="8"/>
      <c r="AM140" s="8"/>
      <c r="AN140" s="8"/>
      <c r="AO140" s="8"/>
      <c r="AP140" s="9" t="s">
        <v>930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76.5" hidden="true" customHeight="true" outlineLevel="0" collapsed="false">
      <c r="A141" s="6" t="s">
        <v>1</v>
      </c>
      <c r="B141" s="6" t="n">
        <v>7</v>
      </c>
      <c r="C141" s="6" t="n">
        <v>152178015</v>
      </c>
      <c r="D141" s="6" t="s">
        <v>889</v>
      </c>
      <c r="E141" s="6" t="s">
        <v>832</v>
      </c>
      <c r="F141" s="6" t="s">
        <v>890</v>
      </c>
      <c r="G141" s="6" t="s">
        <v>123</v>
      </c>
      <c r="H141" s="6" t="s">
        <v>931</v>
      </c>
      <c r="I141" s="6"/>
      <c r="J141" s="6" t="s">
        <v>123</v>
      </c>
      <c r="K141" s="6" t="s">
        <v>127</v>
      </c>
      <c r="L141" s="6" t="s">
        <v>932</v>
      </c>
      <c r="M141" s="6" t="n">
        <v>1889</v>
      </c>
      <c r="N141" s="7" t="n">
        <v>0.186</v>
      </c>
      <c r="O141" s="6" t="s">
        <v>129</v>
      </c>
      <c r="P141" s="6" t="s">
        <v>123</v>
      </c>
      <c r="Q141" s="6" t="s">
        <v>123</v>
      </c>
      <c r="R141" s="6" t="s">
        <v>123</v>
      </c>
      <c r="S141" s="10" t="str">
        <f aca="false">HYPERLINK("https://www.ncbi.nlm.nih.gov/snp/rs746018833", "rs746018833")</f>
        <v>rs746018833</v>
      </c>
      <c r="T141" s="10" t="n">
        <f aca="false">HYPERLINK("https://gnomad.broadinstitute.org/variant/7-152178015-TAAAAAAAAAAAA-T?dataset=gnomad_r4", 0.000372894)</f>
        <v>0.000372894</v>
      </c>
      <c r="U141" s="10" t="n">
        <f aca="false">HYPERLINK("https://gnomad.broadinstitute.org/variant/7-152178015-TAAAAAAAAAAAA-T?dataset=gnomad_r4", 0.0000904181)</f>
        <v>9.04181E-005</v>
      </c>
      <c r="V141" s="6" t="s">
        <v>123</v>
      </c>
      <c r="W141" s="6" t="s">
        <v>123</v>
      </c>
      <c r="X141" s="6" t="s">
        <v>123</v>
      </c>
      <c r="Y141" s="6" t="s">
        <v>123</v>
      </c>
      <c r="Z141" s="6" t="s">
        <v>123</v>
      </c>
      <c r="AA141" s="6" t="s">
        <v>123</v>
      </c>
      <c r="AB141" s="6" t="s">
        <v>123</v>
      </c>
      <c r="AC141" s="6" t="s">
        <v>123</v>
      </c>
      <c r="AD141" s="6" t="n">
        <v>8.8</v>
      </c>
      <c r="AE141" s="6" t="s">
        <v>933</v>
      </c>
      <c r="AF141" s="6" t="s">
        <v>123</v>
      </c>
      <c r="AG141" s="6" t="s">
        <v>123</v>
      </c>
      <c r="AH141" s="6" t="s">
        <v>123</v>
      </c>
      <c r="AI141" s="6" t="s">
        <v>123</v>
      </c>
      <c r="AJ141" s="8"/>
      <c r="AK141" s="8"/>
      <c r="AL141" s="8"/>
      <c r="AM141" s="8"/>
      <c r="AN141" s="8"/>
      <c r="AO141" s="8"/>
      <c r="AP141" s="9" t="s">
        <v>934</v>
      </c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76.5" hidden="true" customHeight="true" outlineLevel="0" collapsed="false">
      <c r="A142" s="6" t="s">
        <v>1</v>
      </c>
      <c r="B142" s="6" t="n">
        <v>7</v>
      </c>
      <c r="C142" s="6" t="n">
        <v>152229931</v>
      </c>
      <c r="D142" s="6" t="s">
        <v>889</v>
      </c>
      <c r="E142" s="6" t="s">
        <v>832</v>
      </c>
      <c r="F142" s="6" t="s">
        <v>890</v>
      </c>
      <c r="G142" s="6" t="s">
        <v>935</v>
      </c>
      <c r="H142" s="6" t="s">
        <v>936</v>
      </c>
      <c r="I142" s="6" t="s">
        <v>937</v>
      </c>
      <c r="J142" s="6" t="s">
        <v>938</v>
      </c>
      <c r="K142" s="6" t="s">
        <v>120</v>
      </c>
      <c r="L142" s="6" t="s">
        <v>939</v>
      </c>
      <c r="M142" s="6" t="n">
        <v>7345</v>
      </c>
      <c r="N142" s="7" t="n">
        <v>0.0356</v>
      </c>
      <c r="O142" s="6" t="s">
        <v>940</v>
      </c>
      <c r="P142" s="10" t="n">
        <f aca="false">HYPERLINK("https://www.ncbi.nlm.nih.gov/clinvar/variation/1164215", 1164215)</f>
        <v>1164215</v>
      </c>
      <c r="Q142" s="6" t="s">
        <v>418</v>
      </c>
      <c r="R142" s="6" t="s">
        <v>181</v>
      </c>
      <c r="S142" s="10" t="str">
        <f aca="false">HYPERLINK("https://www.ncbi.nlm.nih.gov/snp/rs79608986", "rs79608986")</f>
        <v>rs79608986</v>
      </c>
      <c r="T142" s="10" t="n">
        <f aca="false">HYPERLINK("https://gnomad.broadinstitute.org/variant/7-152229931-T-C?dataset=gnomad_r4", 0.0000791411)</f>
        <v>7.91411E-005</v>
      </c>
      <c r="U142" s="6" t="s">
        <v>123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30</v>
      </c>
      <c r="AB142" s="6" t="n">
        <v>-8</v>
      </c>
      <c r="AC142" s="6" t="n">
        <v>4</v>
      </c>
      <c r="AD142" s="6" t="n">
        <v>23.9</v>
      </c>
      <c r="AE142" s="6" t="s">
        <v>941</v>
      </c>
      <c r="AF142" s="6" t="s">
        <v>123</v>
      </c>
      <c r="AG142" s="6" t="s">
        <v>123</v>
      </c>
      <c r="AH142" s="6" t="s">
        <v>123</v>
      </c>
      <c r="AI142" s="6" t="s">
        <v>123</v>
      </c>
      <c r="AJ142" s="8"/>
      <c r="AK142" s="8"/>
      <c r="AL142" s="8"/>
      <c r="AM142" s="8"/>
      <c r="AN142" s="8"/>
      <c r="AO142" s="8"/>
      <c r="AP142" s="9" t="s">
        <v>942</v>
      </c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76.5" hidden="true" customHeight="true" outlineLevel="0" collapsed="false">
      <c r="A143" s="6" t="s">
        <v>1</v>
      </c>
      <c r="B143" s="6" t="n">
        <v>7</v>
      </c>
      <c r="C143" s="6" t="n">
        <v>152222074</v>
      </c>
      <c r="D143" s="6" t="s">
        <v>889</v>
      </c>
      <c r="E143" s="6" t="s">
        <v>832</v>
      </c>
      <c r="F143" s="6" t="s">
        <v>890</v>
      </c>
      <c r="G143" s="6" t="s">
        <v>123</v>
      </c>
      <c r="H143" s="6" t="s">
        <v>943</v>
      </c>
      <c r="I143" s="6"/>
      <c r="J143" s="6" t="s">
        <v>123</v>
      </c>
      <c r="K143" s="6" t="s">
        <v>141</v>
      </c>
      <c r="L143" s="6" t="s">
        <v>944</v>
      </c>
      <c r="M143" s="6" t="n">
        <v>3390</v>
      </c>
      <c r="N143" s="7" t="n">
        <v>0.0565</v>
      </c>
      <c r="O143" s="6" t="s">
        <v>129</v>
      </c>
      <c r="P143" s="10" t="n">
        <f aca="false">HYPERLINK("https://www.ncbi.nlm.nih.gov/clinvar/variation/2046860", 2046860)</f>
        <v>2046860</v>
      </c>
      <c r="Q143" s="6" t="s">
        <v>418</v>
      </c>
      <c r="R143" s="6" t="s">
        <v>181</v>
      </c>
      <c r="S143" s="10" t="str">
        <f aca="false">HYPERLINK("https://www.ncbi.nlm.nih.gov/snp/rs761294296", "rs761294296")</f>
        <v>rs761294296</v>
      </c>
      <c r="T143" s="10" t="n">
        <f aca="false">HYPERLINK("https://gnomad.broadinstitute.org/variant/7-152222074-G-GA?dataset=gnomad_r4", 0.000811956)</f>
        <v>0.000811956</v>
      </c>
      <c r="U143" s="6" t="s">
        <v>123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-8</v>
      </c>
      <c r="AA143" s="6" t="n">
        <v>-20</v>
      </c>
      <c r="AB143" s="6" t="n">
        <v>-20</v>
      </c>
      <c r="AC143" s="6" t="n">
        <v>-8</v>
      </c>
      <c r="AD143" s="6" t="n">
        <v>9.591</v>
      </c>
      <c r="AE143" s="6" t="s">
        <v>124</v>
      </c>
      <c r="AF143" s="6" t="s">
        <v>123</v>
      </c>
      <c r="AG143" s="6" t="s">
        <v>123</v>
      </c>
      <c r="AH143" s="6" t="s">
        <v>123</v>
      </c>
      <c r="AI143" s="6" t="s">
        <v>123</v>
      </c>
      <c r="AJ143" s="8"/>
      <c r="AK143" s="8"/>
      <c r="AL143" s="8"/>
      <c r="AM143" s="8"/>
      <c r="AN143" s="8"/>
      <c r="AO143" s="8"/>
      <c r="AP143" s="9" t="s">
        <v>945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76.5" hidden="true" customHeight="true" outlineLevel="0" collapsed="false">
      <c r="A144" s="6" t="s">
        <v>1</v>
      </c>
      <c r="B144" s="6" t="n">
        <v>7</v>
      </c>
      <c r="C144" s="6" t="n">
        <v>152222074</v>
      </c>
      <c r="D144" s="6" t="s">
        <v>889</v>
      </c>
      <c r="E144" s="6" t="s">
        <v>832</v>
      </c>
      <c r="F144" s="6" t="s">
        <v>890</v>
      </c>
      <c r="G144" s="6" t="s">
        <v>123</v>
      </c>
      <c r="H144" s="6" t="s">
        <v>946</v>
      </c>
      <c r="I144" s="6"/>
      <c r="J144" s="6" t="s">
        <v>123</v>
      </c>
      <c r="K144" s="6" t="s">
        <v>141</v>
      </c>
      <c r="L144" s="6" t="s">
        <v>947</v>
      </c>
      <c r="M144" s="6" t="n">
        <v>3390</v>
      </c>
      <c r="N144" s="7" t="n">
        <v>0.627</v>
      </c>
      <c r="O144" s="6" t="s">
        <v>129</v>
      </c>
      <c r="P144" s="10" t="n">
        <f aca="false">HYPERLINK("https://www.ncbi.nlm.nih.gov/clinvar/variation/1567364", 1567364)</f>
        <v>1567364</v>
      </c>
      <c r="Q144" s="6" t="s">
        <v>418</v>
      </c>
      <c r="R144" s="6" t="s">
        <v>181</v>
      </c>
      <c r="S144" s="10" t="str">
        <f aca="false">HYPERLINK("https://www.ncbi.nlm.nih.gov/snp/rs761294296", "rs761294296")</f>
        <v>rs761294296</v>
      </c>
      <c r="T144" s="10" t="n">
        <f aca="false">HYPERLINK("https://gnomad.broadinstitute.org/variant/7-152222074-GA-G?dataset=gnomad_r4", 0.00108049)</f>
        <v>0.00108049</v>
      </c>
      <c r="U144" s="6" t="s">
        <v>123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22</v>
      </c>
      <c r="AA144" s="6" t="n">
        <v>-8</v>
      </c>
      <c r="AB144" s="6" t="n">
        <v>-20</v>
      </c>
      <c r="AC144" s="6" t="n">
        <v>-25</v>
      </c>
      <c r="AD144" s="6" t="n">
        <v>5.712</v>
      </c>
      <c r="AE144" s="6" t="s">
        <v>124</v>
      </c>
      <c r="AF144" s="6" t="s">
        <v>123</v>
      </c>
      <c r="AG144" s="6" t="s">
        <v>123</v>
      </c>
      <c r="AH144" s="6" t="s">
        <v>123</v>
      </c>
      <c r="AI144" s="6" t="s">
        <v>123</v>
      </c>
      <c r="AJ144" s="8"/>
      <c r="AK144" s="8"/>
      <c r="AL144" s="8"/>
      <c r="AM144" s="8"/>
      <c r="AN144" s="8"/>
      <c r="AO144" s="8"/>
      <c r="AP144" s="9" t="s">
        <v>948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76.5" hidden="true" customHeight="true" outlineLevel="0" collapsed="false">
      <c r="A145" s="6" t="s">
        <v>1</v>
      </c>
      <c r="B145" s="6" t="n">
        <v>7</v>
      </c>
      <c r="C145" s="6" t="n">
        <v>152230042</v>
      </c>
      <c r="D145" s="6" t="s">
        <v>889</v>
      </c>
      <c r="E145" s="6" t="s">
        <v>832</v>
      </c>
      <c r="F145" s="6" t="s">
        <v>890</v>
      </c>
      <c r="G145" s="6" t="s">
        <v>123</v>
      </c>
      <c r="H145" s="6" t="s">
        <v>949</v>
      </c>
      <c r="I145" s="6"/>
      <c r="J145" s="6" t="s">
        <v>123</v>
      </c>
      <c r="K145" s="6" t="s">
        <v>141</v>
      </c>
      <c r="L145" s="6" t="s">
        <v>950</v>
      </c>
      <c r="M145" s="6" t="n">
        <v>5475</v>
      </c>
      <c r="N145" s="7" t="n">
        <v>0.293</v>
      </c>
      <c r="O145" s="6" t="s">
        <v>122</v>
      </c>
      <c r="P145" s="6" t="s">
        <v>123</v>
      </c>
      <c r="Q145" s="6" t="s">
        <v>123</v>
      </c>
      <c r="R145" s="6" t="s">
        <v>123</v>
      </c>
      <c r="S145" s="10" t="str">
        <f aca="false">HYPERLINK("https://www.ncbi.nlm.nih.gov/snp/rs62481502", "rs62481502")</f>
        <v>rs62481502</v>
      </c>
      <c r="T145" s="6" t="s">
        <v>123</v>
      </c>
      <c r="U145" s="6" t="s">
        <v>123</v>
      </c>
      <c r="V145" s="6" t="n">
        <v>0.06</v>
      </c>
      <c r="W145" s="6" t="n">
        <v>0.05</v>
      </c>
      <c r="X145" s="6" t="n">
        <v>0</v>
      </c>
      <c r="Y145" s="6" t="n">
        <v>0</v>
      </c>
      <c r="Z145" s="6" t="n">
        <v>-28</v>
      </c>
      <c r="AA145" s="6" t="n">
        <v>-15</v>
      </c>
      <c r="AB145" s="6" t="n">
        <v>-15</v>
      </c>
      <c r="AC145" s="6" t="n">
        <v>-19</v>
      </c>
      <c r="AD145" s="6" t="n">
        <v>17.34</v>
      </c>
      <c r="AE145" s="6" t="s">
        <v>124</v>
      </c>
      <c r="AF145" s="6" t="s">
        <v>123</v>
      </c>
      <c r="AG145" s="6" t="s">
        <v>123</v>
      </c>
      <c r="AH145" s="6" t="s">
        <v>123</v>
      </c>
      <c r="AI145" s="6" t="s">
        <v>123</v>
      </c>
      <c r="AJ145" s="8"/>
      <c r="AK145" s="8"/>
      <c r="AL145" s="8"/>
      <c r="AM145" s="8"/>
      <c r="AN145" s="8"/>
      <c r="AO145" s="8"/>
      <c r="AP145" s="9" t="s">
        <v>951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76.5" hidden="true" customHeight="true" outlineLevel="0" collapsed="false">
      <c r="A146" s="6" t="s">
        <v>1</v>
      </c>
      <c r="B146" s="6" t="n">
        <v>7</v>
      </c>
      <c r="C146" s="6" t="n">
        <v>152235948</v>
      </c>
      <c r="D146" s="6" t="s">
        <v>889</v>
      </c>
      <c r="E146" s="6" t="s">
        <v>832</v>
      </c>
      <c r="F146" s="6" t="s">
        <v>890</v>
      </c>
      <c r="G146" s="6" t="s">
        <v>123</v>
      </c>
      <c r="H146" s="6" t="s">
        <v>952</v>
      </c>
      <c r="I146" s="6"/>
      <c r="J146" s="6" t="s">
        <v>123</v>
      </c>
      <c r="K146" s="6" t="s">
        <v>141</v>
      </c>
      <c r="L146" s="6" t="s">
        <v>953</v>
      </c>
      <c r="M146" s="6" t="n">
        <v>2940</v>
      </c>
      <c r="N146" s="7" t="n">
        <v>0.0459</v>
      </c>
      <c r="O146" s="6" t="s">
        <v>954</v>
      </c>
      <c r="P146" s="10" t="n">
        <f aca="false">HYPERLINK("https://www.ncbi.nlm.nih.gov/clinvar/variation/1637235", 1637235)</f>
        <v>1637235</v>
      </c>
      <c r="Q146" s="6" t="s">
        <v>418</v>
      </c>
      <c r="R146" s="6" t="s">
        <v>181</v>
      </c>
      <c r="S146" s="10" t="str">
        <f aca="false">HYPERLINK("https://www.ncbi.nlm.nih.gov/snp/rs113470386", "rs113470386")</f>
        <v>rs113470386</v>
      </c>
      <c r="T146" s="6" t="s">
        <v>123</v>
      </c>
      <c r="U146" s="6" t="s">
        <v>123</v>
      </c>
      <c r="V146" s="6" t="n">
        <v>0.01</v>
      </c>
      <c r="W146" s="6" t="n">
        <v>0</v>
      </c>
      <c r="X146" s="6" t="n">
        <v>0</v>
      </c>
      <c r="Y146" s="6" t="n">
        <v>0</v>
      </c>
      <c r="Z146" s="6" t="n">
        <v>-37</v>
      </c>
      <c r="AA146" s="6" t="n">
        <v>15</v>
      </c>
      <c r="AB146" s="6" t="n">
        <v>-28</v>
      </c>
      <c r="AC146" s="6" t="n">
        <v>15</v>
      </c>
      <c r="AD146" s="6" t="n">
        <v>0.107</v>
      </c>
      <c r="AE146" s="6" t="s">
        <v>124</v>
      </c>
      <c r="AF146" s="6" t="s">
        <v>123</v>
      </c>
      <c r="AG146" s="6" t="s">
        <v>123</v>
      </c>
      <c r="AH146" s="6" t="s">
        <v>123</v>
      </c>
      <c r="AI146" s="6" t="s">
        <v>123</v>
      </c>
      <c r="AJ146" s="8"/>
      <c r="AK146" s="8"/>
      <c r="AL146" s="8"/>
      <c r="AM146" s="8"/>
      <c r="AN146" s="8"/>
      <c r="AO146" s="8"/>
      <c r="AP146" s="9" t="s">
        <v>955</v>
      </c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63.75" hidden="true" customHeight="true" outlineLevel="0" collapsed="false">
      <c r="A147" s="6" t="s">
        <v>1</v>
      </c>
      <c r="B147" s="6" t="n">
        <v>7</v>
      </c>
      <c r="C147" s="6" t="n">
        <v>152358681</v>
      </c>
      <c r="D147" s="6" t="s">
        <v>889</v>
      </c>
      <c r="E147" s="6" t="s">
        <v>832</v>
      </c>
      <c r="F147" s="6" t="s">
        <v>890</v>
      </c>
      <c r="G147" s="6" t="s">
        <v>123</v>
      </c>
      <c r="H147" s="6" t="s">
        <v>956</v>
      </c>
      <c r="I147" s="6"/>
      <c r="J147" s="6" t="s">
        <v>123</v>
      </c>
      <c r="K147" s="6" t="s">
        <v>127</v>
      </c>
      <c r="L147" s="6" t="s">
        <v>957</v>
      </c>
      <c r="M147" s="6" t="n">
        <v>3428</v>
      </c>
      <c r="N147" s="7" t="n">
        <v>0.102</v>
      </c>
      <c r="O147" s="6" t="s">
        <v>129</v>
      </c>
      <c r="P147" s="10" t="n">
        <f aca="false">HYPERLINK("https://www.ncbi.nlm.nih.gov/clinvar/variation/4290229", 4290229)</f>
        <v>4290229</v>
      </c>
      <c r="Q147" s="6" t="s">
        <v>123</v>
      </c>
      <c r="R147" s="6" t="s">
        <v>123</v>
      </c>
      <c r="S147" s="6" t="s">
        <v>123</v>
      </c>
      <c r="T147" s="6" t="s">
        <v>123</v>
      </c>
      <c r="U147" s="10" t="n">
        <f aca="false">HYPERLINK("https://gnomad.broadinstitute.org/variant/7-152358681-GAAA-G?dataset=gnomad_r4", 0.000038256)</f>
        <v>3.8256E-005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-15</v>
      </c>
      <c r="AA147" s="6" t="n">
        <v>-6</v>
      </c>
      <c r="AB147" s="6" t="n">
        <v>-18</v>
      </c>
      <c r="AC147" s="6" t="n">
        <v>24</v>
      </c>
      <c r="AD147" s="6" t="n">
        <v>0.543</v>
      </c>
      <c r="AE147" s="6" t="s">
        <v>124</v>
      </c>
      <c r="AF147" s="6" t="s">
        <v>123</v>
      </c>
      <c r="AG147" s="6" t="s">
        <v>123</v>
      </c>
      <c r="AH147" s="6" t="s">
        <v>123</v>
      </c>
      <c r="AI147" s="6" t="s">
        <v>123</v>
      </c>
      <c r="AJ147" s="8"/>
      <c r="AK147" s="8"/>
      <c r="AL147" s="8"/>
      <c r="AM147" s="8"/>
      <c r="AN147" s="8"/>
      <c r="AO147" s="8"/>
      <c r="AP147" s="9" t="s">
        <v>958</v>
      </c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63.75" hidden="true" customHeight="true" outlineLevel="0" collapsed="false">
      <c r="A148" s="6" t="s">
        <v>1</v>
      </c>
      <c r="B148" s="6" t="n">
        <v>7</v>
      </c>
      <c r="C148" s="6" t="n">
        <v>152202995</v>
      </c>
      <c r="D148" s="6" t="s">
        <v>889</v>
      </c>
      <c r="E148" s="6" t="s">
        <v>832</v>
      </c>
      <c r="F148" s="6" t="s">
        <v>890</v>
      </c>
      <c r="G148" s="6" t="s">
        <v>959</v>
      </c>
      <c r="H148" s="6" t="s">
        <v>960</v>
      </c>
      <c r="I148" s="6" t="s">
        <v>961</v>
      </c>
      <c r="J148" s="6" t="s">
        <v>962</v>
      </c>
      <c r="K148" s="6" t="s">
        <v>153</v>
      </c>
      <c r="L148" s="6" t="s">
        <v>963</v>
      </c>
      <c r="M148" s="6" t="n">
        <v>4856</v>
      </c>
      <c r="N148" s="7" t="n">
        <v>0.0725</v>
      </c>
      <c r="O148" s="6" t="s">
        <v>122</v>
      </c>
      <c r="P148" s="6" t="s">
        <v>123</v>
      </c>
      <c r="Q148" s="6" t="s">
        <v>123</v>
      </c>
      <c r="R148" s="6" t="s">
        <v>123</v>
      </c>
      <c r="S148" s="6" t="s">
        <v>123</v>
      </c>
      <c r="T148" s="6" t="s">
        <v>123</v>
      </c>
      <c r="U148" s="6" t="s">
        <v>123</v>
      </c>
      <c r="V148" s="6" t="n">
        <v>0</v>
      </c>
      <c r="W148" s="6" t="n">
        <v>0</v>
      </c>
      <c r="X148" s="6" t="n">
        <v>0</v>
      </c>
      <c r="Y148" s="6" t="n">
        <v>0</v>
      </c>
      <c r="Z148" s="6" t="n">
        <v>39</v>
      </c>
      <c r="AA148" s="6" t="n">
        <v>11</v>
      </c>
      <c r="AB148" s="6" t="n">
        <v>-26</v>
      </c>
      <c r="AC148" s="6" t="n">
        <v>2</v>
      </c>
      <c r="AD148" s="6" t="s">
        <v>123</v>
      </c>
      <c r="AE148" s="6" t="s">
        <v>124</v>
      </c>
      <c r="AF148" s="6" t="s">
        <v>123</v>
      </c>
      <c r="AG148" s="6" t="s">
        <v>123</v>
      </c>
      <c r="AH148" s="6" t="s">
        <v>123</v>
      </c>
      <c r="AI148" s="6" t="s">
        <v>123</v>
      </c>
      <c r="AJ148" s="8"/>
      <c r="AK148" s="8"/>
      <c r="AL148" s="8"/>
      <c r="AM148" s="8"/>
      <c r="AN148" s="8"/>
      <c r="AO148" s="8"/>
      <c r="AP148" s="9" t="s">
        <v>964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76.5" hidden="true" customHeight="true" outlineLevel="0" collapsed="false">
      <c r="A149" s="6" t="s">
        <v>1</v>
      </c>
      <c r="B149" s="6" t="n">
        <v>7</v>
      </c>
      <c r="C149" s="6" t="n">
        <v>152194273</v>
      </c>
      <c r="D149" s="6" t="s">
        <v>889</v>
      </c>
      <c r="E149" s="6" t="s">
        <v>832</v>
      </c>
      <c r="F149" s="6" t="s">
        <v>890</v>
      </c>
      <c r="G149" s="6" t="s">
        <v>123</v>
      </c>
      <c r="H149" s="6" t="s">
        <v>965</v>
      </c>
      <c r="I149" s="6"/>
      <c r="J149" s="6" t="s">
        <v>123</v>
      </c>
      <c r="K149" s="6" t="s">
        <v>141</v>
      </c>
      <c r="L149" s="6" t="s">
        <v>966</v>
      </c>
      <c r="M149" s="6" t="n">
        <v>4311</v>
      </c>
      <c r="N149" s="7" t="n">
        <v>0.396</v>
      </c>
      <c r="O149" s="6" t="s">
        <v>129</v>
      </c>
      <c r="P149" s="6" t="s">
        <v>123</v>
      </c>
      <c r="Q149" s="6" t="s">
        <v>123</v>
      </c>
      <c r="R149" s="6" t="s">
        <v>123</v>
      </c>
      <c r="S149" s="10" t="str">
        <f aca="false">HYPERLINK("https://www.ncbi.nlm.nih.gov/snp/rs749505031", "rs749505031")</f>
        <v>rs749505031</v>
      </c>
      <c r="T149" s="10" t="n">
        <f aca="false">HYPERLINK("https://gnomad.broadinstitute.org/variant/7-152194273-TAA-T?dataset=gnomad_r4", 0.00000709925)</f>
        <v>7.09925E-006</v>
      </c>
      <c r="U149" s="10" t="n">
        <f aca="false">HYPERLINK("https://gnomad.broadinstitute.org/variant/7-152194273-TAA-T?dataset=gnomad_r4", 0.000165365)</f>
        <v>0.000165365</v>
      </c>
      <c r="V149" s="6" t="n">
        <v>0</v>
      </c>
      <c r="W149" s="6" t="n">
        <v>0</v>
      </c>
      <c r="X149" s="6" t="n">
        <v>0</v>
      </c>
      <c r="Y149" s="6" t="n">
        <v>0</v>
      </c>
      <c r="Z149" s="6" t="n">
        <v>28</v>
      </c>
      <c r="AA149" s="6" t="n">
        <v>-15</v>
      </c>
      <c r="AB149" s="6" t="n">
        <v>-44</v>
      </c>
      <c r="AC149" s="6" t="n">
        <v>-48</v>
      </c>
      <c r="AD149" s="6" t="n">
        <v>0.284</v>
      </c>
      <c r="AE149" s="6" t="s">
        <v>124</v>
      </c>
      <c r="AF149" s="6" t="s">
        <v>123</v>
      </c>
      <c r="AG149" s="6" t="s">
        <v>123</v>
      </c>
      <c r="AH149" s="6" t="s">
        <v>123</v>
      </c>
      <c r="AI149" s="6" t="s">
        <v>123</v>
      </c>
      <c r="AJ149" s="8"/>
      <c r="AK149" s="8"/>
      <c r="AL149" s="8"/>
      <c r="AM149" s="8"/>
      <c r="AN149" s="8"/>
      <c r="AO149" s="8"/>
      <c r="AP149" s="9" t="s">
        <v>967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76.5" hidden="true" customHeight="true" outlineLevel="0" collapsed="false">
      <c r="A150" s="6" t="s">
        <v>1</v>
      </c>
      <c r="B150" s="6" t="n">
        <v>7</v>
      </c>
      <c r="C150" s="6" t="n">
        <v>152358681</v>
      </c>
      <c r="D150" s="6" t="s">
        <v>889</v>
      </c>
      <c r="E150" s="6" t="s">
        <v>832</v>
      </c>
      <c r="F150" s="6" t="s">
        <v>890</v>
      </c>
      <c r="G150" s="6" t="s">
        <v>123</v>
      </c>
      <c r="H150" s="6" t="s">
        <v>968</v>
      </c>
      <c r="I150" s="6"/>
      <c r="J150" s="6" t="s">
        <v>123</v>
      </c>
      <c r="K150" s="6" t="s">
        <v>127</v>
      </c>
      <c r="L150" s="6" t="s">
        <v>969</v>
      </c>
      <c r="M150" s="6" t="n">
        <v>3428</v>
      </c>
      <c r="N150" s="7" t="n">
        <v>0.192</v>
      </c>
      <c r="O150" s="6" t="s">
        <v>129</v>
      </c>
      <c r="P150" s="10" t="n">
        <f aca="false">HYPERLINK("https://www.ncbi.nlm.nih.gov/clinvar/variation/4290230", 4290230)</f>
        <v>4290230</v>
      </c>
      <c r="Q150" s="6" t="s">
        <v>123</v>
      </c>
      <c r="R150" s="6" t="s">
        <v>123</v>
      </c>
      <c r="S150" s="10" t="str">
        <f aca="false">HYPERLINK("https://www.ncbi.nlm.nih.gov/snp/rs376309362", "rs376309362")</f>
        <v>rs376309362</v>
      </c>
      <c r="T150" s="10" t="n">
        <f aca="false">HYPERLINK("https://gnomad.broadinstitute.org/variant/7-152358681-GAA-G?dataset=gnomad_r4", 0.00000801539)</f>
        <v>8.01539E-006</v>
      </c>
      <c r="U150" s="10" t="n">
        <f aca="false">HYPERLINK("https://gnomad.broadinstitute.org/variant/7-152358681-GAA-G?dataset=gnomad_r4", 0.000285416)</f>
        <v>0.000285416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-18</v>
      </c>
      <c r="AA150" s="6" t="n">
        <v>-6</v>
      </c>
      <c r="AB150" s="6" t="n">
        <v>-18</v>
      </c>
      <c r="AC150" s="6" t="n">
        <v>24</v>
      </c>
      <c r="AD150" s="6" t="n">
        <v>0.624</v>
      </c>
      <c r="AE150" s="6" t="s">
        <v>124</v>
      </c>
      <c r="AF150" s="6" t="s">
        <v>123</v>
      </c>
      <c r="AG150" s="6" t="s">
        <v>123</v>
      </c>
      <c r="AH150" s="6" t="s">
        <v>123</v>
      </c>
      <c r="AI150" s="6" t="s">
        <v>123</v>
      </c>
      <c r="AJ150" s="8"/>
      <c r="AK150" s="8"/>
      <c r="AL150" s="8"/>
      <c r="AM150" s="8"/>
      <c r="AN150" s="8"/>
      <c r="AO150" s="8"/>
      <c r="AP150" s="9" t="s">
        <v>970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76.5" hidden="true" customHeight="true" outlineLevel="0" collapsed="false">
      <c r="A151" s="6" t="s">
        <v>1</v>
      </c>
      <c r="B151" s="6" t="n">
        <v>7</v>
      </c>
      <c r="C151" s="6" t="n">
        <v>152178015</v>
      </c>
      <c r="D151" s="6" t="s">
        <v>889</v>
      </c>
      <c r="E151" s="6" t="s">
        <v>832</v>
      </c>
      <c r="F151" s="6" t="s">
        <v>890</v>
      </c>
      <c r="G151" s="6" t="s">
        <v>123</v>
      </c>
      <c r="H151" s="6" t="s">
        <v>971</v>
      </c>
      <c r="I151" s="6"/>
      <c r="J151" s="6" t="s">
        <v>123</v>
      </c>
      <c r="K151" s="6" t="s">
        <v>127</v>
      </c>
      <c r="L151" s="6" t="s">
        <v>972</v>
      </c>
      <c r="M151" s="6" t="n">
        <v>1889</v>
      </c>
      <c r="N151" s="7" t="n">
        <v>0.0345</v>
      </c>
      <c r="O151" s="6" t="s">
        <v>129</v>
      </c>
      <c r="P151" s="10" t="n">
        <f aca="false">HYPERLINK("https://www.ncbi.nlm.nih.gov/clinvar/variation/3388180", 3388180)</f>
        <v>3388180</v>
      </c>
      <c r="Q151" s="6" t="s">
        <v>215</v>
      </c>
      <c r="R151" s="6" t="s">
        <v>181</v>
      </c>
      <c r="S151" s="10" t="str">
        <f aca="false">HYPERLINK("https://www.ncbi.nlm.nih.gov/snp/rs746018833", "rs746018833")</f>
        <v>rs746018833</v>
      </c>
      <c r="T151" s="10" t="n">
        <f aca="false">HYPERLINK("https://gnomad.broadinstitute.org/variant/7-152178015-TAAAAAAAA-T?dataset=gnomad_r4", 0.000474576)</f>
        <v>0.000474576</v>
      </c>
      <c r="U151" s="10" t="n">
        <f aca="false">HYPERLINK("https://gnomad.broadinstitute.org/variant/7-152178015-TAAAAAAAA-T?dataset=gnomad_r4", 0.000587755)</f>
        <v>0.000587755</v>
      </c>
      <c r="V151" s="6" t="s">
        <v>123</v>
      </c>
      <c r="W151" s="6" t="s">
        <v>123</v>
      </c>
      <c r="X151" s="6" t="s">
        <v>123</v>
      </c>
      <c r="Y151" s="6" t="s">
        <v>123</v>
      </c>
      <c r="Z151" s="6" t="s">
        <v>123</v>
      </c>
      <c r="AA151" s="6" t="s">
        <v>123</v>
      </c>
      <c r="AB151" s="6" t="s">
        <v>123</v>
      </c>
      <c r="AC151" s="6" t="s">
        <v>123</v>
      </c>
      <c r="AD151" s="6" t="n">
        <v>0.515</v>
      </c>
      <c r="AE151" s="6" t="s">
        <v>933</v>
      </c>
      <c r="AF151" s="6" t="s">
        <v>123</v>
      </c>
      <c r="AG151" s="6" t="s">
        <v>123</v>
      </c>
      <c r="AH151" s="6" t="s">
        <v>123</v>
      </c>
      <c r="AI151" s="6" t="s">
        <v>123</v>
      </c>
      <c r="AJ151" s="8"/>
      <c r="AK151" s="8"/>
      <c r="AL151" s="8"/>
      <c r="AM151" s="8"/>
      <c r="AN151" s="8"/>
      <c r="AO151" s="8"/>
      <c r="AP151" s="9" t="s">
        <v>973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76.5" hidden="true" customHeight="true" outlineLevel="0" collapsed="false">
      <c r="A152" s="6" t="s">
        <v>1</v>
      </c>
      <c r="B152" s="6" t="n">
        <v>7</v>
      </c>
      <c r="C152" s="6" t="n">
        <v>152265224</v>
      </c>
      <c r="D152" s="6" t="s">
        <v>889</v>
      </c>
      <c r="E152" s="6" t="s">
        <v>832</v>
      </c>
      <c r="F152" s="6" t="s">
        <v>890</v>
      </c>
      <c r="G152" s="6" t="s">
        <v>123</v>
      </c>
      <c r="H152" s="6" t="s">
        <v>974</v>
      </c>
      <c r="I152" s="6"/>
      <c r="J152" s="6" t="s">
        <v>123</v>
      </c>
      <c r="K152" s="6" t="s">
        <v>141</v>
      </c>
      <c r="L152" s="6" t="s">
        <v>975</v>
      </c>
      <c r="M152" s="6" t="n">
        <v>2859</v>
      </c>
      <c r="N152" s="7" t="n">
        <v>0.09</v>
      </c>
      <c r="O152" s="6" t="s">
        <v>976</v>
      </c>
      <c r="P152" s="6" t="s">
        <v>123</v>
      </c>
      <c r="Q152" s="6" t="s">
        <v>123</v>
      </c>
      <c r="R152" s="6" t="s">
        <v>123</v>
      </c>
      <c r="S152" s="10" t="str">
        <f aca="false">HYPERLINK("https://www.ncbi.nlm.nih.gov/snp/rs201948579", "rs201948579")</f>
        <v>rs201948579</v>
      </c>
      <c r="T152" s="6" t="s">
        <v>123</v>
      </c>
      <c r="U152" s="6" t="s">
        <v>123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-15</v>
      </c>
      <c r="AA152" s="6" t="n">
        <v>-39</v>
      </c>
      <c r="AB152" s="6" t="n">
        <v>-3</v>
      </c>
      <c r="AC152" s="6" t="n">
        <v>-15</v>
      </c>
      <c r="AD152" s="6" t="n">
        <v>14.74</v>
      </c>
      <c r="AE152" s="6" t="s">
        <v>124</v>
      </c>
      <c r="AF152" s="6" t="s">
        <v>123</v>
      </c>
      <c r="AG152" s="6" t="s">
        <v>123</v>
      </c>
      <c r="AH152" s="6" t="s">
        <v>123</v>
      </c>
      <c r="AI152" s="6" t="s">
        <v>123</v>
      </c>
      <c r="AJ152" s="8"/>
      <c r="AK152" s="8"/>
      <c r="AL152" s="8"/>
      <c r="AM152" s="8"/>
      <c r="AN152" s="8"/>
      <c r="AO152" s="8"/>
      <c r="AP152" s="9" t="s">
        <v>977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76.5" hidden="true" customHeight="true" outlineLevel="0" collapsed="false">
      <c r="A153" s="6" t="s">
        <v>1</v>
      </c>
      <c r="B153" s="6" t="n">
        <v>12</v>
      </c>
      <c r="C153" s="6" t="n">
        <v>25245350</v>
      </c>
      <c r="D153" s="6" t="s">
        <v>978</v>
      </c>
      <c r="E153" s="6" t="s">
        <v>979</v>
      </c>
      <c r="F153" s="6" t="s">
        <v>980</v>
      </c>
      <c r="G153" s="6" t="s">
        <v>981</v>
      </c>
      <c r="H153" s="6" t="s">
        <v>982</v>
      </c>
      <c r="I153" s="6" t="s">
        <v>983</v>
      </c>
      <c r="J153" s="6" t="s">
        <v>984</v>
      </c>
      <c r="K153" s="6" t="s">
        <v>120</v>
      </c>
      <c r="L153" s="6" t="s">
        <v>985</v>
      </c>
      <c r="M153" s="6" t="n">
        <v>3305</v>
      </c>
      <c r="N153" s="7" t="n">
        <v>0.0502</v>
      </c>
      <c r="O153" s="6" t="s">
        <v>122</v>
      </c>
      <c r="P153" s="10" t="n">
        <f aca="false">HYPERLINK("https://www.ncbi.nlm.nih.gov/clinvar/variation/12582", 12582)</f>
        <v>12582</v>
      </c>
      <c r="Q153" s="6" t="s">
        <v>222</v>
      </c>
      <c r="R153" s="6" t="s">
        <v>986</v>
      </c>
      <c r="S153" s="10" t="str">
        <f aca="false">HYPERLINK("https://www.ncbi.nlm.nih.gov/snp/rs121913529", "rs121913529")</f>
        <v>rs121913529</v>
      </c>
      <c r="T153" s="10" t="n">
        <f aca="false">HYPERLINK("https://gnomad.broadinstitute.org/variant/12-25245350-C-T?dataset=gnomad_r4", 0.0000131422)</f>
        <v>1.31422E-005</v>
      </c>
      <c r="U153" s="10" t="n">
        <f aca="false">HYPERLINK("https://gnomad.broadinstitute.org/variant/12-25245350-C-T?dataset=gnomad_r4", 0.00000273867)</f>
        <v>2.73867E-006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45</v>
      </c>
      <c r="AA153" s="6" t="n">
        <v>9</v>
      </c>
      <c r="AB153" s="6" t="n">
        <v>-4</v>
      </c>
      <c r="AC153" s="6" t="n">
        <v>45</v>
      </c>
      <c r="AD153" s="6" t="n">
        <v>23.7</v>
      </c>
      <c r="AE153" s="6" t="s">
        <v>987</v>
      </c>
      <c r="AF153" s="6" t="s">
        <v>225</v>
      </c>
      <c r="AG153" s="6" t="s">
        <v>412</v>
      </c>
      <c r="AH153" s="6" t="s">
        <v>988</v>
      </c>
      <c r="AI153" s="6" t="s">
        <v>863</v>
      </c>
      <c r="AJ153" s="8"/>
      <c r="AK153" s="8"/>
      <c r="AL153" s="8"/>
      <c r="AM153" s="8"/>
      <c r="AN153" s="8"/>
      <c r="AO153" s="8"/>
      <c r="AP153" s="9" t="s">
        <v>989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76.5" hidden="true" customHeight="true" outlineLevel="0" collapsed="false">
      <c r="A154" s="6" t="s">
        <v>1</v>
      </c>
      <c r="B154" s="6" t="n">
        <v>12</v>
      </c>
      <c r="C154" s="6" t="n">
        <v>25245347</v>
      </c>
      <c r="D154" s="6" t="s">
        <v>978</v>
      </c>
      <c r="E154" s="6" t="s">
        <v>979</v>
      </c>
      <c r="F154" s="6" t="s">
        <v>980</v>
      </c>
      <c r="G154" s="6" t="s">
        <v>981</v>
      </c>
      <c r="H154" s="6" t="s">
        <v>990</v>
      </c>
      <c r="I154" s="6" t="s">
        <v>991</v>
      </c>
      <c r="J154" s="6" t="s">
        <v>992</v>
      </c>
      <c r="K154" s="6" t="s">
        <v>120</v>
      </c>
      <c r="L154" s="6" t="s">
        <v>993</v>
      </c>
      <c r="M154" s="6" t="n">
        <v>3341</v>
      </c>
      <c r="N154" s="7" t="n">
        <v>0.141</v>
      </c>
      <c r="O154" s="6" t="s">
        <v>122</v>
      </c>
      <c r="P154" s="10" t="n">
        <f aca="false">HYPERLINK("https://www.ncbi.nlm.nih.gov/clinvar/variation/12580", 12580)</f>
        <v>12580</v>
      </c>
      <c r="Q154" s="6" t="s">
        <v>165</v>
      </c>
      <c r="R154" s="6" t="s">
        <v>994</v>
      </c>
      <c r="S154" s="10" t="str">
        <f aca="false">HYPERLINK("https://www.ncbi.nlm.nih.gov/snp/rs112445441", "rs112445441")</f>
        <v>rs112445441</v>
      </c>
      <c r="T154" s="10" t="n">
        <f aca="false">HYPERLINK("https://gnomad.broadinstitute.org/variant/12-25245347-C-T?dataset=gnomad_r4", 0.0000197148)</f>
        <v>1.97148E-005</v>
      </c>
      <c r="U154" s="10" t="n">
        <f aca="false">HYPERLINK("https://gnomad.broadinstitute.org/variant/12-25245347-C-T?dataset=gnomad_r4", 0.00000136928)</f>
        <v>1.36928E-006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48</v>
      </c>
      <c r="AA154" s="6" t="n">
        <v>-44</v>
      </c>
      <c r="AB154" s="6" t="n">
        <v>-1</v>
      </c>
      <c r="AC154" s="6" t="n">
        <v>48</v>
      </c>
      <c r="AD154" s="6" t="n">
        <v>23.8</v>
      </c>
      <c r="AE154" s="6" t="s">
        <v>995</v>
      </c>
      <c r="AF154" s="6" t="s">
        <v>225</v>
      </c>
      <c r="AG154" s="6" t="s">
        <v>996</v>
      </c>
      <c r="AH154" s="6" t="s">
        <v>997</v>
      </c>
      <c r="AI154" s="6" t="s">
        <v>998</v>
      </c>
      <c r="AJ154" s="8"/>
      <c r="AK154" s="8"/>
      <c r="AL154" s="8"/>
      <c r="AM154" s="8"/>
      <c r="AN154" s="8"/>
      <c r="AO154" s="8"/>
      <c r="AP154" s="9" t="s">
        <v>999</v>
      </c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63.75" hidden="true" customHeight="true" outlineLevel="0" collapsed="false">
      <c r="A155" s="6" t="s">
        <v>1</v>
      </c>
      <c r="B155" s="6" t="n">
        <v>12</v>
      </c>
      <c r="C155" s="6" t="n">
        <v>25227215</v>
      </c>
      <c r="D155" s="6" t="s">
        <v>978</v>
      </c>
      <c r="E155" s="6" t="s">
        <v>979</v>
      </c>
      <c r="F155" s="6" t="s">
        <v>980</v>
      </c>
      <c r="G155" s="6" t="s">
        <v>123</v>
      </c>
      <c r="H155" s="6" t="s">
        <v>1000</v>
      </c>
      <c r="I155" s="6"/>
      <c r="J155" s="6" t="s">
        <v>123</v>
      </c>
      <c r="K155" s="6" t="s">
        <v>141</v>
      </c>
      <c r="L155" s="6" t="s">
        <v>1001</v>
      </c>
      <c r="M155" s="6" t="n">
        <v>2291</v>
      </c>
      <c r="N155" s="7" t="n">
        <v>0.0731</v>
      </c>
      <c r="O155" s="6" t="s">
        <v>122</v>
      </c>
      <c r="P155" s="6" t="s">
        <v>123</v>
      </c>
      <c r="Q155" s="6" t="s">
        <v>123</v>
      </c>
      <c r="R155" s="6" t="s">
        <v>123</v>
      </c>
      <c r="S155" s="6" t="s">
        <v>123</v>
      </c>
      <c r="T155" s="6" t="s">
        <v>123</v>
      </c>
      <c r="U155" s="6" t="s">
        <v>123</v>
      </c>
      <c r="V155" s="6" t="n">
        <v>0</v>
      </c>
      <c r="W155" s="6" t="n">
        <v>0</v>
      </c>
      <c r="X155" s="6" t="n">
        <v>0</v>
      </c>
      <c r="Y155" s="6" t="n">
        <v>0.03</v>
      </c>
      <c r="Z155" s="6" t="n">
        <v>18</v>
      </c>
      <c r="AA155" s="6" t="n">
        <v>-7</v>
      </c>
      <c r="AB155" s="6" t="n">
        <v>-19</v>
      </c>
      <c r="AC155" s="6" t="n">
        <v>19</v>
      </c>
      <c r="AD155" s="6" t="n">
        <v>8.196</v>
      </c>
      <c r="AE155" s="6" t="s">
        <v>124</v>
      </c>
      <c r="AF155" s="6" t="s">
        <v>123</v>
      </c>
      <c r="AG155" s="6" t="s">
        <v>123</v>
      </c>
      <c r="AH155" s="6" t="s">
        <v>123</v>
      </c>
      <c r="AI155" s="6" t="s">
        <v>123</v>
      </c>
      <c r="AJ155" s="8"/>
      <c r="AK155" s="8"/>
      <c r="AL155" s="8"/>
      <c r="AM155" s="8"/>
      <c r="AN155" s="8"/>
      <c r="AO155" s="8"/>
      <c r="AP155" s="9" t="s">
        <v>1002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76.5" hidden="true" customHeight="true" outlineLevel="0" collapsed="false">
      <c r="A156" s="6" t="s">
        <v>1</v>
      </c>
      <c r="B156" s="6" t="n">
        <v>12</v>
      </c>
      <c r="C156" s="6" t="n">
        <v>25225782</v>
      </c>
      <c r="D156" s="6" t="s">
        <v>978</v>
      </c>
      <c r="E156" s="6" t="s">
        <v>979</v>
      </c>
      <c r="F156" s="6" t="s">
        <v>980</v>
      </c>
      <c r="G156" s="6" t="s">
        <v>123</v>
      </c>
      <c r="H156" s="6" t="s">
        <v>1003</v>
      </c>
      <c r="I156" s="6"/>
      <c r="J156" s="6" t="s">
        <v>123</v>
      </c>
      <c r="K156" s="6" t="s">
        <v>141</v>
      </c>
      <c r="L156" s="6" t="s">
        <v>1004</v>
      </c>
      <c r="M156" s="6" t="n">
        <v>2466</v>
      </c>
      <c r="N156" s="7" t="n">
        <v>0.0924</v>
      </c>
      <c r="O156" s="6" t="s">
        <v>143</v>
      </c>
      <c r="P156" s="10" t="n">
        <f aca="false">HYPERLINK("https://www.ncbi.nlm.nih.gov/clinvar/variation/167235", 167235)</f>
        <v>167235</v>
      </c>
      <c r="Q156" s="6" t="s">
        <v>215</v>
      </c>
      <c r="R156" s="6" t="s">
        <v>1005</v>
      </c>
      <c r="S156" s="10" t="str">
        <f aca="false">HYPERLINK("https://www.ncbi.nlm.nih.gov/snp/rs727503991", "rs727503991")</f>
        <v>rs727503991</v>
      </c>
      <c r="T156" s="10" t="n">
        <f aca="false">HYPERLINK("https://gnomad.broadinstitute.org/variant/12-25225782-GA-G?dataset=gnomad_r4", 0.00000659605)</f>
        <v>6.59605E-006</v>
      </c>
      <c r="U156" s="10" t="n">
        <f aca="false">HYPERLINK("https://gnomad.broadinstitute.org/variant/12-25225782-GA-G?dataset=gnomad_r4", 0.00000961536)</f>
        <v>9.61536E-006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8</v>
      </c>
      <c r="AA156" s="6" t="n">
        <v>-11</v>
      </c>
      <c r="AB156" s="6" t="n">
        <v>-26</v>
      </c>
      <c r="AC156" s="6" t="n">
        <v>-24</v>
      </c>
      <c r="AD156" s="6" t="n">
        <v>7.194</v>
      </c>
      <c r="AE156" s="6" t="s">
        <v>124</v>
      </c>
      <c r="AF156" s="6" t="s">
        <v>123</v>
      </c>
      <c r="AG156" s="6" t="s">
        <v>123</v>
      </c>
      <c r="AH156" s="6" t="s">
        <v>123</v>
      </c>
      <c r="AI156" s="6" t="s">
        <v>123</v>
      </c>
      <c r="AJ156" s="8"/>
      <c r="AK156" s="8"/>
      <c r="AL156" s="8"/>
      <c r="AM156" s="8"/>
      <c r="AN156" s="8"/>
      <c r="AO156" s="8"/>
      <c r="AP156" s="9" t="s">
        <v>1006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76.5" hidden="true" customHeight="true" outlineLevel="0" collapsed="false">
      <c r="A157" s="6" t="s">
        <v>1</v>
      </c>
      <c r="B157" s="6" t="n">
        <v>7</v>
      </c>
      <c r="C157" s="6" t="n">
        <v>139412538</v>
      </c>
      <c r="D157" s="6" t="s">
        <v>1007</v>
      </c>
      <c r="E157" s="6" t="s">
        <v>6</v>
      </c>
      <c r="F157" s="6" t="s">
        <v>1008</v>
      </c>
      <c r="G157" s="6" t="s">
        <v>123</v>
      </c>
      <c r="H157" s="6" t="s">
        <v>1009</v>
      </c>
      <c r="I157" s="6"/>
      <c r="J157" s="6" t="s">
        <v>123</v>
      </c>
      <c r="K157" s="6" t="s">
        <v>141</v>
      </c>
      <c r="L157" s="6" t="s">
        <v>1010</v>
      </c>
      <c r="M157" s="6" t="n">
        <v>3167</v>
      </c>
      <c r="N157" s="7" t="n">
        <v>0.347</v>
      </c>
      <c r="O157" s="6" t="s">
        <v>155</v>
      </c>
      <c r="P157" s="6" t="s">
        <v>123</v>
      </c>
      <c r="Q157" s="6" t="s">
        <v>123</v>
      </c>
      <c r="R157" s="6" t="s">
        <v>123</v>
      </c>
      <c r="S157" s="10" t="str">
        <f aca="false">HYPERLINK("https://www.ncbi.nlm.nih.gov/snp/rs771942830", "rs771942830")</f>
        <v>rs771942830</v>
      </c>
      <c r="T157" s="10" t="n">
        <f aca="false">HYPERLINK("https://gnomad.broadinstitute.org/variant/7-139412538-T-C?dataset=gnomad_r4", 0.00000669972)</f>
        <v>6.69972E-006</v>
      </c>
      <c r="U157" s="10" t="n">
        <f aca="false">HYPERLINK("https://gnomad.broadinstitute.org/variant/7-139412538-T-C?dataset=gnomad_r4", 0.000148205)</f>
        <v>0.000148205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-22</v>
      </c>
      <c r="AA157" s="6" t="n">
        <v>13</v>
      </c>
      <c r="AB157" s="6" t="n">
        <v>46</v>
      </c>
      <c r="AC157" s="6" t="n">
        <v>12</v>
      </c>
      <c r="AD157" s="6" t="n">
        <v>8.763</v>
      </c>
      <c r="AE157" s="6" t="s">
        <v>124</v>
      </c>
      <c r="AF157" s="6" t="s">
        <v>123</v>
      </c>
      <c r="AG157" s="6" t="s">
        <v>123</v>
      </c>
      <c r="AH157" s="6" t="s">
        <v>123</v>
      </c>
      <c r="AI157" s="6" t="s">
        <v>123</v>
      </c>
      <c r="AJ157" s="8"/>
      <c r="AK157" s="8"/>
      <c r="AL157" s="8"/>
      <c r="AM157" s="8"/>
      <c r="AN157" s="8"/>
      <c r="AO157" s="8"/>
      <c r="AP157" s="9" t="s">
        <v>1011</v>
      </c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76.5" hidden="true" customHeight="true" outlineLevel="0" collapsed="false">
      <c r="A158" s="6" t="s">
        <v>1</v>
      </c>
      <c r="B158" s="6" t="n">
        <v>7</v>
      </c>
      <c r="C158" s="6" t="n">
        <v>139412536</v>
      </c>
      <c r="D158" s="6" t="s">
        <v>1007</v>
      </c>
      <c r="E158" s="6" t="s">
        <v>6</v>
      </c>
      <c r="F158" s="6" t="s">
        <v>1008</v>
      </c>
      <c r="G158" s="6" t="s">
        <v>123</v>
      </c>
      <c r="H158" s="6" t="s">
        <v>1012</v>
      </c>
      <c r="I158" s="6"/>
      <c r="J158" s="6" t="s">
        <v>123</v>
      </c>
      <c r="K158" s="6" t="s">
        <v>127</v>
      </c>
      <c r="L158" s="6" t="s">
        <v>1013</v>
      </c>
      <c r="M158" s="6" t="n">
        <v>3200</v>
      </c>
      <c r="N158" s="7" t="n">
        <v>0.131</v>
      </c>
      <c r="O158" s="6" t="s">
        <v>179</v>
      </c>
      <c r="P158" s="10" t="n">
        <f aca="false">HYPERLINK("https://www.ncbi.nlm.nih.gov/clinvar/variation/4290174", 4290174)</f>
        <v>4290174</v>
      </c>
      <c r="Q158" s="6" t="s">
        <v>123</v>
      </c>
      <c r="R158" s="6" t="s">
        <v>123</v>
      </c>
      <c r="S158" s="10" t="str">
        <f aca="false">HYPERLINK("https://www.ncbi.nlm.nih.gov/snp/rs1554397384", "rs1554397384")</f>
        <v>rs1554397384</v>
      </c>
      <c r="T158" s="6" t="s">
        <v>123</v>
      </c>
      <c r="U158" s="10" t="n">
        <f aca="false">HYPERLINK("https://gnomad.broadinstitute.org/variant/7-139412536-ATTT-A?dataset=gnomad_r4", 0.0000101617)</f>
        <v>1.01617E-005</v>
      </c>
      <c r="V158" s="6" t="n">
        <v>0</v>
      </c>
      <c r="W158" s="6" t="n">
        <v>0.03</v>
      </c>
      <c r="X158" s="6" t="n">
        <v>0</v>
      </c>
      <c r="Y158" s="6" t="n">
        <v>0</v>
      </c>
      <c r="Z158" s="6" t="n">
        <v>-20</v>
      </c>
      <c r="AA158" s="6" t="n">
        <v>15</v>
      </c>
      <c r="AB158" s="6" t="n">
        <v>14</v>
      </c>
      <c r="AC158" s="6" t="n">
        <v>44</v>
      </c>
      <c r="AD158" s="6" t="s">
        <v>123</v>
      </c>
      <c r="AE158" s="6" t="s">
        <v>124</v>
      </c>
      <c r="AF158" s="6" t="s">
        <v>123</v>
      </c>
      <c r="AG158" s="6" t="s">
        <v>123</v>
      </c>
      <c r="AH158" s="6" t="s">
        <v>123</v>
      </c>
      <c r="AI158" s="6" t="s">
        <v>123</v>
      </c>
      <c r="AJ158" s="8"/>
      <c r="AK158" s="8"/>
      <c r="AL158" s="8"/>
      <c r="AM158" s="8"/>
      <c r="AN158" s="8"/>
      <c r="AO158" s="8"/>
      <c r="AP158" s="9" t="s">
        <v>1014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76.5" hidden="true" customHeight="true" outlineLevel="0" collapsed="false">
      <c r="A159" s="6" t="s">
        <v>1</v>
      </c>
      <c r="B159" s="6" t="n">
        <v>7</v>
      </c>
      <c r="C159" s="6" t="n">
        <v>139412539</v>
      </c>
      <c r="D159" s="6" t="s">
        <v>1007</v>
      </c>
      <c r="E159" s="6" t="s">
        <v>6</v>
      </c>
      <c r="F159" s="6" t="s">
        <v>1008</v>
      </c>
      <c r="G159" s="6" t="s">
        <v>123</v>
      </c>
      <c r="H159" s="6" t="s">
        <v>1015</v>
      </c>
      <c r="I159" s="6"/>
      <c r="J159" s="6" t="s">
        <v>123</v>
      </c>
      <c r="K159" s="6" t="s">
        <v>141</v>
      </c>
      <c r="L159" s="6" t="s">
        <v>1016</v>
      </c>
      <c r="M159" s="6" t="n">
        <v>3175</v>
      </c>
      <c r="N159" s="7" t="n">
        <v>0.0455</v>
      </c>
      <c r="O159" s="6" t="s">
        <v>155</v>
      </c>
      <c r="P159" s="6" t="s">
        <v>123</v>
      </c>
      <c r="Q159" s="6" t="s">
        <v>123</v>
      </c>
      <c r="R159" s="6" t="s">
        <v>123</v>
      </c>
      <c r="S159" s="10" t="str">
        <f aca="false">HYPERLINK("https://www.ncbi.nlm.nih.gov/snp/rs760503695", "rs760503695")</f>
        <v>rs760503695</v>
      </c>
      <c r="T159" s="6" t="s">
        <v>123</v>
      </c>
      <c r="U159" s="10" t="n">
        <f aca="false">HYPERLINK("https://gnomad.broadinstitute.org/variant/7-139412539-T-C?dataset=gnomad_r4", 0.00000557296)</f>
        <v>5.57296E-006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12</v>
      </c>
      <c r="AA159" s="6" t="n">
        <v>27</v>
      </c>
      <c r="AB159" s="6" t="n">
        <v>45</v>
      </c>
      <c r="AC159" s="6" t="n">
        <v>41</v>
      </c>
      <c r="AD159" s="6" t="n">
        <v>0.993</v>
      </c>
      <c r="AE159" s="6" t="s">
        <v>124</v>
      </c>
      <c r="AF159" s="6" t="s">
        <v>123</v>
      </c>
      <c r="AG159" s="6" t="s">
        <v>123</v>
      </c>
      <c r="AH159" s="6" t="s">
        <v>123</v>
      </c>
      <c r="AI159" s="6" t="s">
        <v>123</v>
      </c>
      <c r="AJ159" s="8"/>
      <c r="AK159" s="8"/>
      <c r="AL159" s="8"/>
      <c r="AM159" s="8"/>
      <c r="AN159" s="8"/>
      <c r="AO159" s="8"/>
      <c r="AP159" s="9" t="s">
        <v>1017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63.75" hidden="true" customHeight="true" outlineLevel="0" collapsed="false">
      <c r="A160" s="6" t="s">
        <v>1</v>
      </c>
      <c r="B160" s="6" t="n">
        <v>7</v>
      </c>
      <c r="C160" s="6" t="n">
        <v>139412540</v>
      </c>
      <c r="D160" s="6" t="s">
        <v>1007</v>
      </c>
      <c r="E160" s="6" t="s">
        <v>6</v>
      </c>
      <c r="F160" s="6" t="s">
        <v>1008</v>
      </c>
      <c r="G160" s="6" t="s">
        <v>123</v>
      </c>
      <c r="H160" s="6" t="s">
        <v>1018</v>
      </c>
      <c r="I160" s="6"/>
      <c r="J160" s="6" t="s">
        <v>123</v>
      </c>
      <c r="K160" s="6" t="s">
        <v>141</v>
      </c>
      <c r="L160" s="6" t="s">
        <v>1019</v>
      </c>
      <c r="M160" s="6" t="n">
        <v>3185</v>
      </c>
      <c r="N160" s="7" t="n">
        <v>0.0486</v>
      </c>
      <c r="O160" s="6" t="s">
        <v>155</v>
      </c>
      <c r="P160" s="6" t="s">
        <v>123</v>
      </c>
      <c r="Q160" s="6" t="s">
        <v>123</v>
      </c>
      <c r="R160" s="6" t="s">
        <v>123</v>
      </c>
      <c r="S160" s="6" t="s">
        <v>123</v>
      </c>
      <c r="T160" s="6" t="s">
        <v>123</v>
      </c>
      <c r="U160" s="6" t="s">
        <v>123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11</v>
      </c>
      <c r="AA160" s="6" t="n">
        <v>30</v>
      </c>
      <c r="AB160" s="6" t="n">
        <v>40</v>
      </c>
      <c r="AC160" s="6" t="n">
        <v>46</v>
      </c>
      <c r="AD160" s="6" t="n">
        <v>6.781</v>
      </c>
      <c r="AE160" s="6" t="s">
        <v>124</v>
      </c>
      <c r="AF160" s="6" t="s">
        <v>123</v>
      </c>
      <c r="AG160" s="6" t="s">
        <v>123</v>
      </c>
      <c r="AH160" s="6" t="s">
        <v>123</v>
      </c>
      <c r="AI160" s="6" t="s">
        <v>123</v>
      </c>
      <c r="AJ160" s="8"/>
      <c r="AK160" s="8"/>
      <c r="AL160" s="8"/>
      <c r="AM160" s="8"/>
      <c r="AN160" s="8"/>
      <c r="AO160" s="8"/>
      <c r="AP160" s="9" t="s">
        <v>1020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76.5" hidden="true" customHeight="true" outlineLevel="0" collapsed="false">
      <c r="A161" s="6" t="s">
        <v>1</v>
      </c>
      <c r="B161" s="6" t="n">
        <v>7</v>
      </c>
      <c r="C161" s="6" t="n">
        <v>139412536</v>
      </c>
      <c r="D161" s="6" t="s">
        <v>1007</v>
      </c>
      <c r="E161" s="6" t="s">
        <v>6</v>
      </c>
      <c r="F161" s="6" t="s">
        <v>1008</v>
      </c>
      <c r="G161" s="6" t="s">
        <v>123</v>
      </c>
      <c r="H161" s="6" t="s">
        <v>1021</v>
      </c>
      <c r="I161" s="6"/>
      <c r="J161" s="6" t="s">
        <v>123</v>
      </c>
      <c r="K161" s="6" t="s">
        <v>127</v>
      </c>
      <c r="L161" s="6" t="s">
        <v>1022</v>
      </c>
      <c r="M161" s="6" t="n">
        <v>3200</v>
      </c>
      <c r="N161" s="7" t="n">
        <v>0.0833</v>
      </c>
      <c r="O161" s="6" t="s">
        <v>179</v>
      </c>
      <c r="P161" s="10" t="n">
        <f aca="false">HYPERLINK("https://www.ncbi.nlm.nih.gov/clinvar/variation/4290175", 4290175)</f>
        <v>4290175</v>
      </c>
      <c r="Q161" s="6" t="s">
        <v>123</v>
      </c>
      <c r="R161" s="6" t="s">
        <v>123</v>
      </c>
      <c r="S161" s="10" t="str">
        <f aca="false">HYPERLINK("https://www.ncbi.nlm.nih.gov/snp/rs1554397384", "rs1554397384")</f>
        <v>rs1554397384</v>
      </c>
      <c r="T161" s="10" t="n">
        <f aca="false">HYPERLINK("https://gnomad.broadinstitute.org/variant/7-139412536-ATT-A?dataset=gnomad_r4", 0.000013455)</f>
        <v>1.3455E-005</v>
      </c>
      <c r="U161" s="10" t="n">
        <f aca="false">HYPERLINK("https://gnomad.broadinstitute.org/variant/7-139412536-ATT-A?dataset=gnomad_r4", 0.000316901)</f>
        <v>0.000316901</v>
      </c>
      <c r="V161" s="6" t="n">
        <v>0</v>
      </c>
      <c r="W161" s="6" t="n">
        <v>0.01</v>
      </c>
      <c r="X161" s="6" t="n">
        <v>0</v>
      </c>
      <c r="Y161" s="6" t="n">
        <v>0</v>
      </c>
      <c r="Z161" s="6" t="n">
        <v>-20</v>
      </c>
      <c r="AA161" s="6" t="n">
        <v>15</v>
      </c>
      <c r="AB161" s="6" t="n">
        <v>14</v>
      </c>
      <c r="AC161" s="6" t="n">
        <v>44</v>
      </c>
      <c r="AD161" s="6" t="n">
        <v>5.504</v>
      </c>
      <c r="AE161" s="6" t="s">
        <v>124</v>
      </c>
      <c r="AF161" s="6" t="s">
        <v>123</v>
      </c>
      <c r="AG161" s="6" t="s">
        <v>123</v>
      </c>
      <c r="AH161" s="6" t="s">
        <v>123</v>
      </c>
      <c r="AI161" s="6" t="s">
        <v>123</v>
      </c>
      <c r="AJ161" s="8"/>
      <c r="AK161" s="8"/>
      <c r="AL161" s="8"/>
      <c r="AM161" s="8"/>
      <c r="AN161" s="8"/>
      <c r="AO161" s="8"/>
      <c r="AP161" s="9" t="s">
        <v>1023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76.5" hidden="true" customHeight="true" outlineLevel="0" collapsed="false">
      <c r="A162" s="6" t="s">
        <v>1</v>
      </c>
      <c r="B162" s="6" t="n">
        <v>15</v>
      </c>
      <c r="C162" s="6" t="n">
        <v>66435113</v>
      </c>
      <c r="D162" s="6" t="s">
        <v>1024</v>
      </c>
      <c r="E162" s="6" t="s">
        <v>1025</v>
      </c>
      <c r="F162" s="6" t="s">
        <v>1026</v>
      </c>
      <c r="G162" s="6" t="s">
        <v>1027</v>
      </c>
      <c r="H162" s="6" t="s">
        <v>1028</v>
      </c>
      <c r="I162" s="6" t="s">
        <v>1029</v>
      </c>
      <c r="J162" s="6" t="s">
        <v>1030</v>
      </c>
      <c r="K162" s="6" t="s">
        <v>120</v>
      </c>
      <c r="L162" s="6" t="s">
        <v>1031</v>
      </c>
      <c r="M162" s="6" t="n">
        <v>4016</v>
      </c>
      <c r="N162" s="7" t="n">
        <v>0.317</v>
      </c>
      <c r="O162" s="6" t="s">
        <v>122</v>
      </c>
      <c r="P162" s="10" t="n">
        <f aca="false">HYPERLINK("https://www.ncbi.nlm.nih.gov/clinvar/variation/375978", 375978)</f>
        <v>375978</v>
      </c>
      <c r="Q162" s="6" t="s">
        <v>165</v>
      </c>
      <c r="R162" s="6" t="s">
        <v>1032</v>
      </c>
      <c r="S162" s="10" t="str">
        <f aca="false">HYPERLINK("https://www.ncbi.nlm.nih.gov/snp/rs1057519729", "rs1057519729")</f>
        <v>rs1057519729</v>
      </c>
      <c r="T162" s="6" t="s">
        <v>123</v>
      </c>
      <c r="U162" s="6" t="s">
        <v>123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8</v>
      </c>
      <c r="AA162" s="6" t="n">
        <v>2</v>
      </c>
      <c r="AB162" s="6" t="n">
        <v>10</v>
      </c>
      <c r="AC162" s="6" t="n">
        <v>47</v>
      </c>
      <c r="AD162" s="6" t="n">
        <v>24.4</v>
      </c>
      <c r="AE162" s="6" t="s">
        <v>1033</v>
      </c>
      <c r="AF162" s="6" t="s">
        <v>225</v>
      </c>
      <c r="AG162" s="6" t="s">
        <v>235</v>
      </c>
      <c r="AH162" s="6" t="s">
        <v>1034</v>
      </c>
      <c r="AI162" s="6" t="s">
        <v>1035</v>
      </c>
      <c r="AJ162" s="8"/>
      <c r="AK162" s="8"/>
      <c r="AL162" s="8"/>
      <c r="AM162" s="8"/>
      <c r="AN162" s="8"/>
      <c r="AO162" s="8"/>
      <c r="AP162" s="9" t="s">
        <v>1036</v>
      </c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76.5" hidden="true" customHeight="true" outlineLevel="0" collapsed="false">
      <c r="A163" s="6" t="s">
        <v>1</v>
      </c>
      <c r="B163" s="6" t="n">
        <v>15</v>
      </c>
      <c r="C163" s="6" t="n">
        <v>66436809</v>
      </c>
      <c r="D163" s="6" t="s">
        <v>1024</v>
      </c>
      <c r="E163" s="6" t="s">
        <v>1025</v>
      </c>
      <c r="F163" s="6" t="s">
        <v>1026</v>
      </c>
      <c r="G163" s="6" t="s">
        <v>1037</v>
      </c>
      <c r="H163" s="6" t="s">
        <v>1038</v>
      </c>
      <c r="I163" s="6" t="s">
        <v>1039</v>
      </c>
      <c r="J163" s="6" t="s">
        <v>1040</v>
      </c>
      <c r="K163" s="6" t="s">
        <v>120</v>
      </c>
      <c r="L163" s="6" t="s">
        <v>1041</v>
      </c>
      <c r="M163" s="6" t="n">
        <v>3709</v>
      </c>
      <c r="N163" s="7" t="n">
        <v>0.314</v>
      </c>
      <c r="O163" s="6" t="s">
        <v>122</v>
      </c>
      <c r="P163" s="10" t="n">
        <f aca="false">HYPERLINK("https://www.ncbi.nlm.nih.gov/clinvar/variation/40741", 40741)</f>
        <v>40741</v>
      </c>
      <c r="Q163" s="6" t="s">
        <v>409</v>
      </c>
      <c r="R163" s="6" t="s">
        <v>1042</v>
      </c>
      <c r="S163" s="10" t="str">
        <f aca="false">HYPERLINK("https://www.ncbi.nlm.nih.gov/snp/rs730880503", "rs730880503")</f>
        <v>rs730880503</v>
      </c>
      <c r="T163" s="6" t="s">
        <v>123</v>
      </c>
      <c r="U163" s="6" t="s">
        <v>123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50</v>
      </c>
      <c r="AA163" s="6" t="n">
        <v>-24</v>
      </c>
      <c r="AB163" s="6" t="n">
        <v>-7</v>
      </c>
      <c r="AC163" s="6" t="n">
        <v>36</v>
      </c>
      <c r="AD163" s="6" t="n">
        <v>26.4</v>
      </c>
      <c r="AE163" s="6" t="s">
        <v>124</v>
      </c>
      <c r="AF163" s="6" t="s">
        <v>123</v>
      </c>
      <c r="AG163" s="6" t="s">
        <v>123</v>
      </c>
      <c r="AH163" s="6" t="s">
        <v>123</v>
      </c>
      <c r="AI163" s="6" t="s">
        <v>123</v>
      </c>
      <c r="AJ163" s="8"/>
      <c r="AK163" s="8"/>
      <c r="AL163" s="8"/>
      <c r="AM163" s="8"/>
      <c r="AN163" s="8"/>
      <c r="AO163" s="8"/>
      <c r="AP163" s="9" t="s">
        <v>1043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63.75" hidden="true" customHeight="true" outlineLevel="0" collapsed="false">
      <c r="A164" s="6" t="s">
        <v>1</v>
      </c>
      <c r="B164" s="6" t="n">
        <v>15</v>
      </c>
      <c r="C164" s="6" t="n">
        <v>66489747</v>
      </c>
      <c r="D164" s="6" t="s">
        <v>1024</v>
      </c>
      <c r="E164" s="6" t="s">
        <v>1025</v>
      </c>
      <c r="F164" s="6" t="s">
        <v>1026</v>
      </c>
      <c r="G164" s="6" t="s">
        <v>1044</v>
      </c>
      <c r="H164" s="6" t="s">
        <v>1045</v>
      </c>
      <c r="I164" s="6" t="s">
        <v>1046</v>
      </c>
      <c r="J164" s="6" t="s">
        <v>1047</v>
      </c>
      <c r="K164" s="6" t="s">
        <v>120</v>
      </c>
      <c r="L164" s="6" t="s">
        <v>1048</v>
      </c>
      <c r="M164" s="6" t="n">
        <v>3834</v>
      </c>
      <c r="N164" s="7" t="n">
        <v>0.314</v>
      </c>
      <c r="O164" s="6" t="s">
        <v>122</v>
      </c>
      <c r="P164" s="6" t="s">
        <v>123</v>
      </c>
      <c r="Q164" s="6" t="s">
        <v>123</v>
      </c>
      <c r="R164" s="6" t="s">
        <v>123</v>
      </c>
      <c r="S164" s="6" t="s">
        <v>123</v>
      </c>
      <c r="T164" s="6" t="s">
        <v>123</v>
      </c>
      <c r="U164" s="6" t="s">
        <v>123</v>
      </c>
      <c r="V164" s="6" t="n">
        <v>0</v>
      </c>
      <c r="W164" s="6" t="n">
        <v>0</v>
      </c>
      <c r="X164" s="6" t="n">
        <v>0.01</v>
      </c>
      <c r="Y164" s="6" t="n">
        <v>0.11</v>
      </c>
      <c r="Z164" s="6" t="n">
        <v>-30</v>
      </c>
      <c r="AA164" s="6" t="n">
        <v>-29</v>
      </c>
      <c r="AB164" s="6" t="n">
        <v>-1</v>
      </c>
      <c r="AC164" s="6" t="n">
        <v>16</v>
      </c>
      <c r="AD164" s="6" t="n">
        <v>27.9</v>
      </c>
      <c r="AE164" s="6" t="s">
        <v>124</v>
      </c>
      <c r="AF164" s="6" t="s">
        <v>123</v>
      </c>
      <c r="AG164" s="6" t="s">
        <v>123</v>
      </c>
      <c r="AH164" s="6" t="s">
        <v>123</v>
      </c>
      <c r="AI164" s="6" t="s">
        <v>123</v>
      </c>
      <c r="AJ164" s="8"/>
      <c r="AK164" s="8"/>
      <c r="AL164" s="8"/>
      <c r="AM164" s="8"/>
      <c r="AN164" s="8"/>
      <c r="AO164" s="8"/>
      <c r="AP164" s="9" t="s">
        <v>1049</v>
      </c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76.5" hidden="true" customHeight="true" outlineLevel="0" collapsed="false">
      <c r="A165" s="6" t="s">
        <v>1</v>
      </c>
      <c r="B165" s="6" t="n">
        <v>5</v>
      </c>
      <c r="C165" s="6" t="n">
        <v>56865355</v>
      </c>
      <c r="D165" s="6" t="s">
        <v>1050</v>
      </c>
      <c r="E165" s="6" t="s">
        <v>147</v>
      </c>
      <c r="F165" s="6" t="s">
        <v>1051</v>
      </c>
      <c r="G165" s="6" t="s">
        <v>1052</v>
      </c>
      <c r="H165" s="6" t="s">
        <v>1053</v>
      </c>
      <c r="I165" s="6" t="s">
        <v>1054</v>
      </c>
      <c r="J165" s="6" t="s">
        <v>1055</v>
      </c>
      <c r="K165" s="6" t="s">
        <v>120</v>
      </c>
      <c r="L165" s="6" t="s">
        <v>1056</v>
      </c>
      <c r="M165" s="6" t="n">
        <v>2859</v>
      </c>
      <c r="N165" s="7" t="n">
        <v>0.106</v>
      </c>
      <c r="O165" s="6" t="s">
        <v>122</v>
      </c>
      <c r="P165" s="10" t="n">
        <f aca="false">HYPERLINK("https://www.ncbi.nlm.nih.gov/clinvar/variation/4103159", 4103159)</f>
        <v>4103159</v>
      </c>
      <c r="Q165" s="6" t="s">
        <v>253</v>
      </c>
      <c r="R165" s="6" t="s">
        <v>1057</v>
      </c>
      <c r="S165" s="10" t="str">
        <f aca="false">HYPERLINK("https://www.ncbi.nlm.nih.gov/snp/rs370499041", "rs370499041")</f>
        <v>rs370499041</v>
      </c>
      <c r="T165" s="10" t="n">
        <f aca="false">HYPERLINK("https://gnomad.broadinstitute.org/variant/5-56865355-C-T?dataset=gnomad_r4", 0.0000394063)</f>
        <v>3.94063E-005</v>
      </c>
      <c r="U165" s="10" t="n">
        <f aca="false">HYPERLINK("https://gnomad.broadinstitute.org/variant/5-56865355-C-T?dataset=gnomad_r4", 0.0000144693)</f>
        <v>1.44693E-005</v>
      </c>
      <c r="V165" s="6" t="n">
        <v>0</v>
      </c>
      <c r="W165" s="6" t="n">
        <v>0.01</v>
      </c>
      <c r="X165" s="6" t="n">
        <v>0</v>
      </c>
      <c r="Y165" s="6" t="n">
        <v>0</v>
      </c>
      <c r="Z165" s="6" t="n">
        <v>-7</v>
      </c>
      <c r="AA165" s="6" t="n">
        <v>-15</v>
      </c>
      <c r="AB165" s="6" t="n">
        <v>-15</v>
      </c>
      <c r="AC165" s="6" t="n">
        <v>12</v>
      </c>
      <c r="AD165" s="6" t="n">
        <v>28.1</v>
      </c>
      <c r="AE165" s="6" t="s">
        <v>124</v>
      </c>
      <c r="AF165" s="6" t="s">
        <v>123</v>
      </c>
      <c r="AG165" s="6" t="s">
        <v>123</v>
      </c>
      <c r="AH165" s="6" t="s">
        <v>123</v>
      </c>
      <c r="AI165" s="6" t="s">
        <v>123</v>
      </c>
      <c r="AJ165" s="8"/>
      <c r="AK165" s="8"/>
      <c r="AL165" s="8"/>
      <c r="AM165" s="8"/>
      <c r="AN165" s="8"/>
      <c r="AO165" s="8"/>
      <c r="AP165" s="9" t="s">
        <v>1058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76.5" hidden="true" customHeight="true" outlineLevel="0" collapsed="false">
      <c r="A166" s="6" t="s">
        <v>1</v>
      </c>
      <c r="B166" s="6" t="n">
        <v>5</v>
      </c>
      <c r="C166" s="6" t="n">
        <v>56881757</v>
      </c>
      <c r="D166" s="6" t="s">
        <v>1050</v>
      </c>
      <c r="E166" s="6" t="s">
        <v>147</v>
      </c>
      <c r="F166" s="6" t="s">
        <v>1051</v>
      </c>
      <c r="G166" s="6" t="s">
        <v>1059</v>
      </c>
      <c r="H166" s="6" t="s">
        <v>1060</v>
      </c>
      <c r="I166" s="6" t="s">
        <v>1061</v>
      </c>
      <c r="J166" s="6" t="s">
        <v>1062</v>
      </c>
      <c r="K166" s="6" t="s">
        <v>120</v>
      </c>
      <c r="L166" s="6" t="s">
        <v>1063</v>
      </c>
      <c r="M166" s="6" t="n">
        <v>3861</v>
      </c>
      <c r="N166" s="7" t="n">
        <v>0.0676</v>
      </c>
      <c r="O166" s="6" t="s">
        <v>155</v>
      </c>
      <c r="P166" s="6" t="s">
        <v>123</v>
      </c>
      <c r="Q166" s="6" t="s">
        <v>123</v>
      </c>
      <c r="R166" s="6" t="s">
        <v>123</v>
      </c>
      <c r="S166" s="10" t="str">
        <f aca="false">HYPERLINK("https://www.ncbi.nlm.nih.gov/snp/rs368201444", "rs368201444")</f>
        <v>rs368201444</v>
      </c>
      <c r="T166" s="10" t="n">
        <f aca="false">HYPERLINK("https://gnomad.broadinstitute.org/variant/5-56881757-C-T?dataset=gnomad_r4", 0.0000197233)</f>
        <v>1.97233E-005</v>
      </c>
      <c r="U166" s="10" t="n">
        <f aca="false">HYPERLINK("https://gnomad.broadinstitute.org/variant/5-56881757-C-T?dataset=gnomad_r4", 0.0000157334)</f>
        <v>1.57334E-005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25</v>
      </c>
      <c r="AA166" s="6" t="n">
        <v>-4</v>
      </c>
      <c r="AB166" s="6" t="n">
        <v>25</v>
      </c>
      <c r="AC166" s="6" t="n">
        <v>-4</v>
      </c>
      <c r="AD166" s="6" t="n">
        <v>28</v>
      </c>
      <c r="AE166" s="6" t="s">
        <v>124</v>
      </c>
      <c r="AF166" s="6" t="s">
        <v>123</v>
      </c>
      <c r="AG166" s="6" t="s">
        <v>123</v>
      </c>
      <c r="AH166" s="6" t="s">
        <v>123</v>
      </c>
      <c r="AI166" s="6" t="s">
        <v>123</v>
      </c>
      <c r="AJ166" s="8"/>
      <c r="AK166" s="8"/>
      <c r="AL166" s="8"/>
      <c r="AM166" s="8"/>
      <c r="AN166" s="8"/>
      <c r="AO166" s="8"/>
      <c r="AP166" s="9" t="s">
        <v>1064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76.5" hidden="true" customHeight="true" outlineLevel="0" collapsed="false">
      <c r="A167" s="6" t="s">
        <v>1</v>
      </c>
      <c r="B167" s="6" t="n">
        <v>5</v>
      </c>
      <c r="C167" s="6" t="n">
        <v>56882021</v>
      </c>
      <c r="D167" s="6" t="s">
        <v>1050</v>
      </c>
      <c r="E167" s="6" t="s">
        <v>147</v>
      </c>
      <c r="F167" s="6" t="s">
        <v>1051</v>
      </c>
      <c r="G167" s="6" t="s">
        <v>1059</v>
      </c>
      <c r="H167" s="6" t="s">
        <v>1065</v>
      </c>
      <c r="I167" s="6" t="s">
        <v>1066</v>
      </c>
      <c r="J167" s="6" t="s">
        <v>1067</v>
      </c>
      <c r="K167" s="6" t="s">
        <v>326</v>
      </c>
      <c r="L167" s="6" t="s">
        <v>1068</v>
      </c>
      <c r="M167" s="6" t="n">
        <v>4137</v>
      </c>
      <c r="N167" s="7" t="n">
        <v>0.0445</v>
      </c>
      <c r="O167" s="6" t="s">
        <v>129</v>
      </c>
      <c r="P167" s="6" t="s">
        <v>123</v>
      </c>
      <c r="Q167" s="6" t="s">
        <v>123</v>
      </c>
      <c r="R167" s="6" t="s">
        <v>123</v>
      </c>
      <c r="S167" s="10" t="str">
        <f aca="false">HYPERLINK("https://www.ncbi.nlm.nih.gov/snp/rs5868032", "rs5868032")</f>
        <v>rs5868032</v>
      </c>
      <c r="T167" s="10" t="n">
        <f aca="false">HYPERLINK("https://gnomad.broadinstitute.org/variant/5-56882021-TCAACAA-T?dataset=gnomad_r4", 0.000364388)</f>
        <v>0.000364388</v>
      </c>
      <c r="U167" s="10" t="n">
        <f aca="false">HYPERLINK("https://gnomad.broadinstitute.org/variant/5-56882021-TCAACAA-T?dataset=gnomad_r4", 0.000262854)</f>
        <v>0.000262854</v>
      </c>
      <c r="V167" s="6" t="s">
        <v>123</v>
      </c>
      <c r="W167" s="6" t="s">
        <v>123</v>
      </c>
      <c r="X167" s="6" t="s">
        <v>123</v>
      </c>
      <c r="Y167" s="6" t="s">
        <v>123</v>
      </c>
      <c r="Z167" s="6" t="s">
        <v>123</v>
      </c>
      <c r="AA167" s="6" t="s">
        <v>123</v>
      </c>
      <c r="AB167" s="6" t="s">
        <v>123</v>
      </c>
      <c r="AC167" s="6" t="s">
        <v>123</v>
      </c>
      <c r="AD167" s="6" t="n">
        <v>16.22</v>
      </c>
      <c r="AE167" s="6" t="s">
        <v>124</v>
      </c>
      <c r="AF167" s="6" t="s">
        <v>123</v>
      </c>
      <c r="AG167" s="6" t="s">
        <v>123</v>
      </c>
      <c r="AH167" s="6" t="s">
        <v>123</v>
      </c>
      <c r="AI167" s="6" t="s">
        <v>123</v>
      </c>
      <c r="AJ167" s="8"/>
      <c r="AK167" s="8"/>
      <c r="AL167" s="8"/>
      <c r="AM167" s="8"/>
      <c r="AN167" s="8"/>
      <c r="AO167" s="8"/>
      <c r="AP167" s="9" t="s">
        <v>1069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76.5" hidden="true" customHeight="true" outlineLevel="0" collapsed="false">
      <c r="A168" s="6" t="s">
        <v>1</v>
      </c>
      <c r="B168" s="6" t="n">
        <v>19</v>
      </c>
      <c r="C168" s="6" t="n">
        <v>19145959</v>
      </c>
      <c r="D168" s="6" t="s">
        <v>1070</v>
      </c>
      <c r="E168" s="6" t="s">
        <v>614</v>
      </c>
      <c r="F168" s="6" t="s">
        <v>1071</v>
      </c>
      <c r="G168" s="6" t="s">
        <v>1072</v>
      </c>
      <c r="H168" s="6" t="s">
        <v>1073</v>
      </c>
      <c r="I168" s="6" t="s">
        <v>1074</v>
      </c>
      <c r="J168" s="6" t="s">
        <v>1075</v>
      </c>
      <c r="K168" s="6" t="s">
        <v>153</v>
      </c>
      <c r="L168" s="6" t="s">
        <v>1076</v>
      </c>
      <c r="M168" s="6" t="n">
        <v>2805</v>
      </c>
      <c r="N168" s="7" t="n">
        <v>0.0547</v>
      </c>
      <c r="O168" s="6" t="s">
        <v>122</v>
      </c>
      <c r="P168" s="6" t="s">
        <v>123</v>
      </c>
      <c r="Q168" s="6" t="s">
        <v>123</v>
      </c>
      <c r="R168" s="6" t="s">
        <v>123</v>
      </c>
      <c r="S168" s="10" t="str">
        <f aca="false">HYPERLINK("https://www.ncbi.nlm.nih.gov/snp/rs1202792889", "rs1202792889")</f>
        <v>rs1202792889</v>
      </c>
      <c r="T168" s="10" t="n">
        <f aca="false">HYPERLINK("https://gnomad.broadinstitute.org/variant/19-19145959-T-TG?dataset=gnomad_r4", 0.0000067605)</f>
        <v>6.7605E-006</v>
      </c>
      <c r="U168" s="10" t="n">
        <f aca="false">HYPERLINK("https://gnomad.broadinstitute.org/variant/19-19145959-T-TG?dataset=gnomad_r4", 0.0000071307)</f>
        <v>7.1307E-006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-2</v>
      </c>
      <c r="AA168" s="6" t="n">
        <v>0</v>
      </c>
      <c r="AB168" s="6" t="n">
        <v>38</v>
      </c>
      <c r="AC168" s="6" t="n">
        <v>0</v>
      </c>
      <c r="AD168" s="6" t="n">
        <v>24.2</v>
      </c>
      <c r="AE168" s="6" t="s">
        <v>124</v>
      </c>
      <c r="AF168" s="6" t="s">
        <v>123</v>
      </c>
      <c r="AG168" s="6" t="s">
        <v>123</v>
      </c>
      <c r="AH168" s="6" t="s">
        <v>123</v>
      </c>
      <c r="AI168" s="6" t="s">
        <v>123</v>
      </c>
      <c r="AJ168" s="8"/>
      <c r="AK168" s="8"/>
      <c r="AL168" s="8"/>
      <c r="AM168" s="8"/>
      <c r="AN168" s="8"/>
      <c r="AO168" s="8"/>
      <c r="AP168" s="9" t="s">
        <v>1077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63.75" hidden="true" customHeight="true" outlineLevel="0" collapsed="false">
      <c r="A169" s="6" t="s">
        <v>1</v>
      </c>
      <c r="B169" s="6" t="n">
        <v>17</v>
      </c>
      <c r="C169" s="6" t="n">
        <v>31225125</v>
      </c>
      <c r="D169" s="6" t="s">
        <v>1078</v>
      </c>
      <c r="E169" s="6" t="s">
        <v>531</v>
      </c>
      <c r="F169" s="6" t="s">
        <v>1079</v>
      </c>
      <c r="G169" s="6" t="s">
        <v>1080</v>
      </c>
      <c r="H169" s="6" t="s">
        <v>1081</v>
      </c>
      <c r="I169" s="6" t="s">
        <v>1082</v>
      </c>
      <c r="J169" s="6" t="s">
        <v>1083</v>
      </c>
      <c r="K169" s="6" t="s">
        <v>153</v>
      </c>
      <c r="L169" s="6" t="s">
        <v>1084</v>
      </c>
      <c r="M169" s="6" t="n">
        <v>3636</v>
      </c>
      <c r="N169" s="7" t="n">
        <v>0.0764</v>
      </c>
      <c r="O169" s="6" t="s">
        <v>122</v>
      </c>
      <c r="P169" s="10" t="n">
        <f aca="false">HYPERLINK("https://www.ncbi.nlm.nih.gov/clinvar/variation/1213688", 1213688)</f>
        <v>1213688</v>
      </c>
      <c r="Q169" s="6" t="s">
        <v>165</v>
      </c>
      <c r="R169" s="6" t="s">
        <v>1085</v>
      </c>
      <c r="S169" s="6" t="s">
        <v>123</v>
      </c>
      <c r="T169" s="6" t="s">
        <v>123</v>
      </c>
      <c r="U169" s="6" t="s">
        <v>123</v>
      </c>
      <c r="V169" s="6" t="n">
        <v>0.09</v>
      </c>
      <c r="W169" s="6" t="n">
        <v>0</v>
      </c>
      <c r="X169" s="6" t="n">
        <v>0</v>
      </c>
      <c r="Y169" s="6" t="n">
        <v>0</v>
      </c>
      <c r="Z169" s="6" t="n">
        <v>-27</v>
      </c>
      <c r="AA169" s="6" t="n">
        <v>16</v>
      </c>
      <c r="AB169" s="6" t="n">
        <v>-23</v>
      </c>
      <c r="AC169" s="6" t="n">
        <v>11</v>
      </c>
      <c r="AD169" s="6" t="s">
        <v>123</v>
      </c>
      <c r="AE169" s="6" t="s">
        <v>124</v>
      </c>
      <c r="AF169" s="6" t="s">
        <v>123</v>
      </c>
      <c r="AG169" s="6" t="s">
        <v>123</v>
      </c>
      <c r="AH169" s="6" t="s">
        <v>123</v>
      </c>
      <c r="AI169" s="6" t="s">
        <v>123</v>
      </c>
      <c r="AJ169" s="8"/>
      <c r="AK169" s="8"/>
      <c r="AL169" s="8"/>
      <c r="AM169" s="8"/>
      <c r="AN169" s="8"/>
      <c r="AO169" s="8"/>
      <c r="AP169" s="9" t="s">
        <v>1086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63.75" hidden="true" customHeight="true" outlineLevel="0" collapsed="false">
      <c r="A170" s="6" t="s">
        <v>1</v>
      </c>
      <c r="B170" s="6" t="n">
        <v>17</v>
      </c>
      <c r="C170" s="6" t="n">
        <v>31201136</v>
      </c>
      <c r="D170" s="6" t="s">
        <v>1078</v>
      </c>
      <c r="E170" s="6" t="s">
        <v>531</v>
      </c>
      <c r="F170" s="6" t="s">
        <v>1079</v>
      </c>
      <c r="G170" s="6" t="s">
        <v>1087</v>
      </c>
      <c r="H170" s="6" t="s">
        <v>1088</v>
      </c>
      <c r="I170" s="6" t="s">
        <v>1089</v>
      </c>
      <c r="J170" s="6" t="s">
        <v>1090</v>
      </c>
      <c r="K170" s="6" t="s">
        <v>120</v>
      </c>
      <c r="L170" s="6" t="s">
        <v>1091</v>
      </c>
      <c r="M170" s="6" t="n">
        <v>3617</v>
      </c>
      <c r="N170" s="7" t="n">
        <v>0.0791</v>
      </c>
      <c r="O170" s="6" t="s">
        <v>155</v>
      </c>
      <c r="P170" s="6" t="s">
        <v>123</v>
      </c>
      <c r="Q170" s="6" t="s">
        <v>123</v>
      </c>
      <c r="R170" s="6" t="s">
        <v>123</v>
      </c>
      <c r="S170" s="6" t="s">
        <v>123</v>
      </c>
      <c r="T170" s="6" t="s">
        <v>123</v>
      </c>
      <c r="U170" s="6" t="s">
        <v>123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2</v>
      </c>
      <c r="AA170" s="6" t="n">
        <v>-1</v>
      </c>
      <c r="AB170" s="6" t="n">
        <v>-9</v>
      </c>
      <c r="AC170" s="6" t="n">
        <v>23</v>
      </c>
      <c r="AD170" s="6" t="n">
        <v>24.4</v>
      </c>
      <c r="AE170" s="6" t="s">
        <v>124</v>
      </c>
      <c r="AF170" s="6" t="s">
        <v>123</v>
      </c>
      <c r="AG170" s="6" t="s">
        <v>123</v>
      </c>
      <c r="AH170" s="6" t="s">
        <v>123</v>
      </c>
      <c r="AI170" s="6" t="s">
        <v>123</v>
      </c>
      <c r="AJ170" s="8"/>
      <c r="AK170" s="8"/>
      <c r="AL170" s="8"/>
      <c r="AM170" s="8"/>
      <c r="AN170" s="8"/>
      <c r="AO170" s="8"/>
      <c r="AP170" s="9" t="s">
        <v>1092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63.75" hidden="true" customHeight="true" outlineLevel="0" collapsed="false">
      <c r="A171" s="6" t="s">
        <v>1</v>
      </c>
      <c r="B171" s="6" t="n">
        <v>17</v>
      </c>
      <c r="C171" s="6" t="n">
        <v>31181801</v>
      </c>
      <c r="D171" s="6" t="s">
        <v>1078</v>
      </c>
      <c r="E171" s="6" t="s">
        <v>531</v>
      </c>
      <c r="F171" s="6" t="s">
        <v>1079</v>
      </c>
      <c r="G171" s="6" t="s">
        <v>123</v>
      </c>
      <c r="H171" s="6" t="s">
        <v>1093</v>
      </c>
      <c r="I171" s="6"/>
      <c r="J171" s="6" t="s">
        <v>123</v>
      </c>
      <c r="K171" s="6" t="s">
        <v>141</v>
      </c>
      <c r="L171" s="6" t="s">
        <v>1094</v>
      </c>
      <c r="M171" s="6" t="n">
        <v>2962</v>
      </c>
      <c r="N171" s="7" t="n">
        <v>0.173</v>
      </c>
      <c r="O171" s="6" t="s">
        <v>179</v>
      </c>
      <c r="P171" s="6" t="s">
        <v>123</v>
      </c>
      <c r="Q171" s="6" t="s">
        <v>123</v>
      </c>
      <c r="R171" s="6" t="s">
        <v>123</v>
      </c>
      <c r="S171" s="6" t="s">
        <v>123</v>
      </c>
      <c r="T171" s="6" t="s">
        <v>123</v>
      </c>
      <c r="U171" s="10" t="n">
        <f aca="false">HYPERLINK("https://gnomad.broadinstitute.org/variant/17-31181801-ATTTT-A?dataset=gnomad_r4", 0.0000315298)</f>
        <v>3.15298E-005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-37</v>
      </c>
      <c r="AA171" s="6" t="n">
        <v>-16</v>
      </c>
      <c r="AB171" s="6" t="n">
        <v>-16</v>
      </c>
      <c r="AC171" s="6" t="n">
        <v>-5</v>
      </c>
      <c r="AD171" s="6" t="s">
        <v>123</v>
      </c>
      <c r="AE171" s="6" t="s">
        <v>124</v>
      </c>
      <c r="AF171" s="6" t="s">
        <v>123</v>
      </c>
      <c r="AG171" s="6" t="s">
        <v>123</v>
      </c>
      <c r="AH171" s="6" t="s">
        <v>123</v>
      </c>
      <c r="AI171" s="6" t="s">
        <v>123</v>
      </c>
      <c r="AJ171" s="8"/>
      <c r="AK171" s="8"/>
      <c r="AL171" s="8"/>
      <c r="AM171" s="8"/>
      <c r="AN171" s="8"/>
      <c r="AO171" s="8"/>
      <c r="AP171" s="9" t="s">
        <v>1095</v>
      </c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76.5" hidden="true" customHeight="true" outlineLevel="0" collapsed="false">
      <c r="A172" s="6" t="s">
        <v>1</v>
      </c>
      <c r="B172" s="6" t="n">
        <v>17</v>
      </c>
      <c r="C172" s="6" t="n">
        <v>31181801</v>
      </c>
      <c r="D172" s="6" t="s">
        <v>1078</v>
      </c>
      <c r="E172" s="6" t="s">
        <v>531</v>
      </c>
      <c r="F172" s="6" t="s">
        <v>1079</v>
      </c>
      <c r="G172" s="6" t="s">
        <v>123</v>
      </c>
      <c r="H172" s="6" t="s">
        <v>1096</v>
      </c>
      <c r="I172" s="6"/>
      <c r="J172" s="6" t="s">
        <v>123</v>
      </c>
      <c r="K172" s="6" t="s">
        <v>141</v>
      </c>
      <c r="L172" s="6" t="s">
        <v>1097</v>
      </c>
      <c r="M172" s="6" t="n">
        <v>2962</v>
      </c>
      <c r="N172" s="7" t="n">
        <v>0.216</v>
      </c>
      <c r="O172" s="6" t="s">
        <v>179</v>
      </c>
      <c r="P172" s="6" t="s">
        <v>123</v>
      </c>
      <c r="Q172" s="6" t="s">
        <v>123</v>
      </c>
      <c r="R172" s="6" t="s">
        <v>123</v>
      </c>
      <c r="S172" s="10" t="str">
        <f aca="false">HYPERLINK("https://www.ncbi.nlm.nih.gov/snp/rs71142032", "rs71142032")</f>
        <v>rs71142032</v>
      </c>
      <c r="T172" s="10" t="n">
        <f aca="false">HYPERLINK("https://gnomad.broadinstitute.org/variant/17-31181801-ATTT-A?dataset=gnomad_r4", 0.0000142458)</f>
        <v>1.42458E-005</v>
      </c>
      <c r="U172" s="10" t="n">
        <f aca="false">HYPERLINK("https://gnomad.broadinstitute.org/variant/17-31181801-ATTT-A?dataset=gnomad_r4", 0.00030174)</f>
        <v>0.00030174</v>
      </c>
      <c r="V172" s="6" t="n">
        <v>0</v>
      </c>
      <c r="W172" s="6" t="n">
        <v>0</v>
      </c>
      <c r="X172" s="6" t="n">
        <v>0</v>
      </c>
      <c r="Y172" s="6" t="n">
        <v>0</v>
      </c>
      <c r="Z172" s="6" t="n">
        <v>-37</v>
      </c>
      <c r="AA172" s="6" t="n">
        <v>-16</v>
      </c>
      <c r="AB172" s="6" t="n">
        <v>-16</v>
      </c>
      <c r="AC172" s="6" t="n">
        <v>-12</v>
      </c>
      <c r="AD172" s="6" t="n">
        <v>2.602</v>
      </c>
      <c r="AE172" s="6" t="s">
        <v>124</v>
      </c>
      <c r="AF172" s="6" t="s">
        <v>123</v>
      </c>
      <c r="AG172" s="6" t="s">
        <v>123</v>
      </c>
      <c r="AH172" s="6" t="s">
        <v>123</v>
      </c>
      <c r="AI172" s="6" t="s">
        <v>123</v>
      </c>
      <c r="AJ172" s="8"/>
      <c r="AK172" s="8"/>
      <c r="AL172" s="8"/>
      <c r="AM172" s="8"/>
      <c r="AN172" s="8"/>
      <c r="AO172" s="8"/>
      <c r="AP172" s="9" t="s">
        <v>1098</v>
      </c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76.5" hidden="true" customHeight="true" outlineLevel="0" collapsed="false">
      <c r="A173" s="6" t="s">
        <v>1</v>
      </c>
      <c r="B173" s="6" t="n">
        <v>17</v>
      </c>
      <c r="C173" s="6" t="n">
        <v>31226459</v>
      </c>
      <c r="D173" s="6" t="s">
        <v>1078</v>
      </c>
      <c r="E173" s="6" t="s">
        <v>531</v>
      </c>
      <c r="F173" s="6" t="s">
        <v>1079</v>
      </c>
      <c r="G173" s="6" t="s">
        <v>1099</v>
      </c>
      <c r="H173" s="6" t="s">
        <v>1100</v>
      </c>
      <c r="I173" s="6" t="s">
        <v>1101</v>
      </c>
      <c r="J173" s="6" t="s">
        <v>1102</v>
      </c>
      <c r="K173" s="6" t="s">
        <v>153</v>
      </c>
      <c r="L173" s="6" t="s">
        <v>1103</v>
      </c>
      <c r="M173" s="6" t="n">
        <v>3295</v>
      </c>
      <c r="N173" s="7" t="n">
        <v>0.0906</v>
      </c>
      <c r="O173" s="6" t="s">
        <v>129</v>
      </c>
      <c r="P173" s="10" t="n">
        <f aca="false">HYPERLINK("https://www.ncbi.nlm.nih.gov/clinvar/variation/428991", 428991)</f>
        <v>428991</v>
      </c>
      <c r="Q173" s="6" t="s">
        <v>165</v>
      </c>
      <c r="R173" s="6" t="s">
        <v>1104</v>
      </c>
      <c r="S173" s="10" t="str">
        <f aca="false">HYPERLINK("https://www.ncbi.nlm.nih.gov/snp/rs587781807", "rs587781807")</f>
        <v>rs587781807</v>
      </c>
      <c r="T173" s="6" t="s">
        <v>123</v>
      </c>
      <c r="U173" s="10" t="n">
        <f aca="false">HYPERLINK("https://gnomad.broadinstitute.org/variant/17-31226459-AC-A?dataset=gnomad_r4", 0.0000041055)</f>
        <v>4.1055E-006</v>
      </c>
      <c r="V173" s="6" t="n">
        <v>0.01</v>
      </c>
      <c r="W173" s="6" t="n">
        <v>0</v>
      </c>
      <c r="X173" s="6" t="n">
        <v>0</v>
      </c>
      <c r="Y173" s="6" t="n">
        <v>0</v>
      </c>
      <c r="Z173" s="6" t="n">
        <v>-19</v>
      </c>
      <c r="AA173" s="6" t="n">
        <v>-11</v>
      </c>
      <c r="AB173" s="6" t="n">
        <v>-14</v>
      </c>
      <c r="AC173" s="6" t="n">
        <v>46</v>
      </c>
      <c r="AD173" s="6" t="s">
        <v>123</v>
      </c>
      <c r="AE173" s="6" t="s">
        <v>611</v>
      </c>
      <c r="AF173" s="6" t="s">
        <v>225</v>
      </c>
      <c r="AG173" s="6" t="s">
        <v>226</v>
      </c>
      <c r="AH173" s="6" t="s">
        <v>1105</v>
      </c>
      <c r="AI173" s="6" t="s">
        <v>1106</v>
      </c>
      <c r="AJ173" s="8"/>
      <c r="AK173" s="8"/>
      <c r="AL173" s="8"/>
      <c r="AM173" s="8"/>
      <c r="AN173" s="8"/>
      <c r="AO173" s="8"/>
      <c r="AP173" s="9" t="s">
        <v>1107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76.5" hidden="true" customHeight="true" outlineLevel="0" collapsed="false">
      <c r="A174" s="6" t="s">
        <v>1</v>
      </c>
      <c r="B174" s="6" t="n">
        <v>17</v>
      </c>
      <c r="C174" s="6" t="n">
        <v>31226459</v>
      </c>
      <c r="D174" s="6" t="s">
        <v>1078</v>
      </c>
      <c r="E174" s="6" t="s">
        <v>531</v>
      </c>
      <c r="F174" s="6" t="s">
        <v>1079</v>
      </c>
      <c r="G174" s="6" t="s">
        <v>1099</v>
      </c>
      <c r="H174" s="6" t="s">
        <v>1108</v>
      </c>
      <c r="I174" s="6" t="s">
        <v>1109</v>
      </c>
      <c r="J174" s="6" t="s">
        <v>1110</v>
      </c>
      <c r="K174" s="6" t="s">
        <v>153</v>
      </c>
      <c r="L174" s="6" t="s">
        <v>1111</v>
      </c>
      <c r="M174" s="6" t="n">
        <v>3295</v>
      </c>
      <c r="N174" s="7" t="n">
        <v>0.0908</v>
      </c>
      <c r="O174" s="6" t="s">
        <v>129</v>
      </c>
      <c r="P174" s="10" t="n">
        <f aca="false">HYPERLINK("https://www.ncbi.nlm.nih.gov/clinvar/variation/141513", 141513)</f>
        <v>141513</v>
      </c>
      <c r="Q174" s="6" t="s">
        <v>165</v>
      </c>
      <c r="R174" s="6" t="s">
        <v>1112</v>
      </c>
      <c r="S174" s="10" t="str">
        <f aca="false">HYPERLINK("https://www.ncbi.nlm.nih.gov/snp/rs587781807", "rs587781807")</f>
        <v>rs587781807</v>
      </c>
      <c r="T174" s="6" t="s">
        <v>123</v>
      </c>
      <c r="U174" s="6" t="s">
        <v>123</v>
      </c>
      <c r="V174" s="6" t="n">
        <v>0.05</v>
      </c>
      <c r="W174" s="6" t="n">
        <v>0.01</v>
      </c>
      <c r="X174" s="6" t="n">
        <v>0</v>
      </c>
      <c r="Y174" s="6" t="n">
        <v>0</v>
      </c>
      <c r="Z174" s="6" t="n">
        <v>-19</v>
      </c>
      <c r="AA174" s="6" t="n">
        <v>-24</v>
      </c>
      <c r="AB174" s="6" t="n">
        <v>-24</v>
      </c>
      <c r="AC174" s="6" t="n">
        <v>46</v>
      </c>
      <c r="AD174" s="6" t="n">
        <v>31</v>
      </c>
      <c r="AE174" s="6" t="s">
        <v>611</v>
      </c>
      <c r="AF174" s="6" t="s">
        <v>225</v>
      </c>
      <c r="AG174" s="6" t="s">
        <v>1113</v>
      </c>
      <c r="AH174" s="6" t="s">
        <v>1114</v>
      </c>
      <c r="AI174" s="6" t="s">
        <v>1115</v>
      </c>
      <c r="AJ174" s="8"/>
      <c r="AK174" s="8"/>
      <c r="AL174" s="8"/>
      <c r="AM174" s="8"/>
      <c r="AN174" s="8"/>
      <c r="AO174" s="8"/>
      <c r="AP174" s="9" t="s">
        <v>1116</v>
      </c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63.75" hidden="true" customHeight="true" outlineLevel="0" collapsed="false">
      <c r="A175" s="6" t="s">
        <v>1</v>
      </c>
      <c r="B175" s="6" t="n">
        <v>17</v>
      </c>
      <c r="C175" s="6" t="n">
        <v>31181801</v>
      </c>
      <c r="D175" s="6" t="s">
        <v>1078</v>
      </c>
      <c r="E175" s="6" t="s">
        <v>531</v>
      </c>
      <c r="F175" s="6" t="s">
        <v>1079</v>
      </c>
      <c r="G175" s="6" t="s">
        <v>123</v>
      </c>
      <c r="H175" s="6" t="s">
        <v>1117</v>
      </c>
      <c r="I175" s="6"/>
      <c r="J175" s="6" t="s">
        <v>123</v>
      </c>
      <c r="K175" s="6" t="s">
        <v>141</v>
      </c>
      <c r="L175" s="6" t="s">
        <v>1118</v>
      </c>
      <c r="M175" s="6" t="n">
        <v>2962</v>
      </c>
      <c r="N175" s="7" t="n">
        <v>0.197</v>
      </c>
      <c r="O175" s="6" t="s">
        <v>179</v>
      </c>
      <c r="P175" s="6" t="s">
        <v>123</v>
      </c>
      <c r="Q175" s="6" t="s">
        <v>123</v>
      </c>
      <c r="R175" s="6" t="s">
        <v>123</v>
      </c>
      <c r="S175" s="6" t="s">
        <v>123</v>
      </c>
      <c r="T175" s="10" t="n">
        <f aca="false">HYPERLINK("https://gnomad.broadinstitute.org/variant/17-31181801-ATTTTTT-A?dataset=gnomad_r4", 0.00000712281)</f>
        <v>7.12281E-006</v>
      </c>
      <c r="U175" s="10" t="n">
        <f aca="false">HYPERLINK("https://gnomad.broadinstitute.org/variant/17-31181801-ATTTTTT-A?dataset=gnomad_r4", 0.000000927164)</f>
        <v>9.27164E-007</v>
      </c>
      <c r="V175" s="6" t="s">
        <v>123</v>
      </c>
      <c r="W175" s="6" t="s">
        <v>123</v>
      </c>
      <c r="X175" s="6" t="s">
        <v>123</v>
      </c>
      <c r="Y175" s="6" t="s">
        <v>123</v>
      </c>
      <c r="Z175" s="6" t="s">
        <v>123</v>
      </c>
      <c r="AA175" s="6" t="s">
        <v>123</v>
      </c>
      <c r="AB175" s="6" t="s">
        <v>123</v>
      </c>
      <c r="AC175" s="6" t="s">
        <v>123</v>
      </c>
      <c r="AD175" s="6" t="n">
        <v>3.81</v>
      </c>
      <c r="AE175" s="6" t="s">
        <v>124</v>
      </c>
      <c r="AF175" s="6" t="s">
        <v>123</v>
      </c>
      <c r="AG175" s="6" t="s">
        <v>123</v>
      </c>
      <c r="AH175" s="6" t="s">
        <v>123</v>
      </c>
      <c r="AI175" s="6" t="s">
        <v>123</v>
      </c>
      <c r="AJ175" s="8"/>
      <c r="AK175" s="8"/>
      <c r="AL175" s="8"/>
      <c r="AM175" s="8"/>
      <c r="AN175" s="8"/>
      <c r="AO175" s="8"/>
      <c r="AP175" s="9" t="s">
        <v>1119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76.5" hidden="true" customHeight="true" outlineLevel="0" collapsed="false">
      <c r="A176" s="6" t="s">
        <v>1</v>
      </c>
      <c r="B176" s="6" t="n">
        <v>17</v>
      </c>
      <c r="C176" s="6" t="n">
        <v>31232043</v>
      </c>
      <c r="D176" s="6" t="s">
        <v>1078</v>
      </c>
      <c r="E176" s="6" t="s">
        <v>531</v>
      </c>
      <c r="F176" s="6" t="s">
        <v>1079</v>
      </c>
      <c r="G176" s="6" t="s">
        <v>123</v>
      </c>
      <c r="H176" s="6" t="s">
        <v>1120</v>
      </c>
      <c r="I176" s="6"/>
      <c r="J176" s="6" t="s">
        <v>123</v>
      </c>
      <c r="K176" s="6" t="s">
        <v>127</v>
      </c>
      <c r="L176" s="6" t="s">
        <v>1121</v>
      </c>
      <c r="M176" s="6" t="n">
        <v>1772</v>
      </c>
      <c r="N176" s="7" t="n">
        <v>0.199</v>
      </c>
      <c r="O176" s="6" t="s">
        <v>129</v>
      </c>
      <c r="P176" s="10" t="n">
        <f aca="false">HYPERLINK("https://www.ncbi.nlm.nih.gov/clinvar/variation/3341696", 3341696)</f>
        <v>3341696</v>
      </c>
      <c r="Q176" s="6" t="s">
        <v>215</v>
      </c>
      <c r="R176" s="6" t="s">
        <v>181</v>
      </c>
      <c r="S176" s="10" t="str">
        <f aca="false">HYPERLINK("https://www.ncbi.nlm.nih.gov/snp/rs371047262", "rs371047262")</f>
        <v>rs371047262</v>
      </c>
      <c r="T176" s="10" t="n">
        <f aca="false">HYPERLINK("https://gnomad.broadinstitute.org/variant/17-31232043-ATTTTTTTTT-A?dataset=gnomad_r4", 0.000220003)</f>
        <v>0.000220003</v>
      </c>
      <c r="U176" s="10" t="n">
        <f aca="false">HYPERLINK("https://gnomad.broadinstitute.org/variant/17-31232043-ATTTTTTTTT-A?dataset=gnomad_r4", 0.0000801594)</f>
        <v>8.01594E-005</v>
      </c>
      <c r="V176" s="6" t="s">
        <v>123</v>
      </c>
      <c r="W176" s="6" t="s">
        <v>123</v>
      </c>
      <c r="X176" s="6" t="s">
        <v>123</v>
      </c>
      <c r="Y176" s="6" t="s">
        <v>123</v>
      </c>
      <c r="Z176" s="6" t="s">
        <v>123</v>
      </c>
      <c r="AA176" s="6" t="s">
        <v>123</v>
      </c>
      <c r="AB176" s="6" t="s">
        <v>123</v>
      </c>
      <c r="AC176" s="6" t="s">
        <v>123</v>
      </c>
      <c r="AD176" s="6" t="n">
        <v>2.776</v>
      </c>
      <c r="AE176" s="6" t="s">
        <v>124</v>
      </c>
      <c r="AF176" s="6" t="s">
        <v>123</v>
      </c>
      <c r="AG176" s="6" t="s">
        <v>123</v>
      </c>
      <c r="AH176" s="6" t="s">
        <v>123</v>
      </c>
      <c r="AI176" s="6" t="s">
        <v>123</v>
      </c>
      <c r="AJ176" s="8"/>
      <c r="AK176" s="8"/>
      <c r="AL176" s="8"/>
      <c r="AM176" s="8"/>
      <c r="AN176" s="8"/>
      <c r="AO176" s="8"/>
      <c r="AP176" s="9" t="s">
        <v>1122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76.5" hidden="true" customHeight="true" outlineLevel="0" collapsed="false">
      <c r="A177" s="6" t="s">
        <v>1</v>
      </c>
      <c r="B177" s="6" t="n">
        <v>17</v>
      </c>
      <c r="C177" s="6" t="n">
        <v>31232043</v>
      </c>
      <c r="D177" s="6" t="s">
        <v>1078</v>
      </c>
      <c r="E177" s="6" t="s">
        <v>531</v>
      </c>
      <c r="F177" s="6" t="s">
        <v>1079</v>
      </c>
      <c r="G177" s="6" t="s">
        <v>123</v>
      </c>
      <c r="H177" s="6" t="s">
        <v>1123</v>
      </c>
      <c r="I177" s="6"/>
      <c r="J177" s="6" t="s">
        <v>123</v>
      </c>
      <c r="K177" s="6" t="s">
        <v>127</v>
      </c>
      <c r="L177" s="6" t="s">
        <v>1124</v>
      </c>
      <c r="M177" s="6" t="n">
        <v>1772</v>
      </c>
      <c r="N177" s="7" t="n">
        <v>0.25</v>
      </c>
      <c r="O177" s="6" t="s">
        <v>129</v>
      </c>
      <c r="P177" s="10" t="n">
        <f aca="false">HYPERLINK("https://www.ncbi.nlm.nih.gov/clinvar/variation/996498", 996498)</f>
        <v>996498</v>
      </c>
      <c r="Q177" s="6" t="s">
        <v>215</v>
      </c>
      <c r="R177" s="6" t="s">
        <v>1125</v>
      </c>
      <c r="S177" s="10" t="str">
        <f aca="false">HYPERLINK("https://www.ncbi.nlm.nih.gov/snp/rs371047262", "rs371047262")</f>
        <v>rs371047262</v>
      </c>
      <c r="T177" s="10" t="n">
        <f aca="false">HYPERLINK("https://gnomad.broadinstitute.org/variant/17-31232043-ATTTTTTT-A?dataset=gnomad_r4", 0.000385022)</f>
        <v>0.000385022</v>
      </c>
      <c r="U177" s="10" t="n">
        <f aca="false">HYPERLINK("https://gnomad.broadinstitute.org/variant/17-31232043-ATTTTTTT-A?dataset=gnomad_r4", 0.000302628)</f>
        <v>0.000302628</v>
      </c>
      <c r="V177" s="6" t="s">
        <v>123</v>
      </c>
      <c r="W177" s="6" t="s">
        <v>123</v>
      </c>
      <c r="X177" s="6" t="s">
        <v>123</v>
      </c>
      <c r="Y177" s="6" t="s">
        <v>123</v>
      </c>
      <c r="Z177" s="6" t="s">
        <v>123</v>
      </c>
      <c r="AA177" s="6" t="s">
        <v>123</v>
      </c>
      <c r="AB177" s="6" t="s">
        <v>123</v>
      </c>
      <c r="AC177" s="6" t="s">
        <v>123</v>
      </c>
      <c r="AD177" s="6" t="n">
        <v>2.833</v>
      </c>
      <c r="AE177" s="6" t="s">
        <v>124</v>
      </c>
      <c r="AF177" s="6" t="s">
        <v>123</v>
      </c>
      <c r="AG177" s="6" t="s">
        <v>123</v>
      </c>
      <c r="AH177" s="6" t="s">
        <v>123</v>
      </c>
      <c r="AI177" s="6" t="s">
        <v>123</v>
      </c>
      <c r="AJ177" s="8"/>
      <c r="AK177" s="8"/>
      <c r="AL177" s="8"/>
      <c r="AM177" s="8"/>
      <c r="AN177" s="8"/>
      <c r="AO177" s="8"/>
      <c r="AP177" s="9" t="s">
        <v>1126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76.5" hidden="true" customHeight="true" outlineLevel="0" collapsed="false">
      <c r="A178" s="6" t="s">
        <v>1</v>
      </c>
      <c r="B178" s="6" t="n">
        <v>17</v>
      </c>
      <c r="C178" s="6" t="n">
        <v>31232043</v>
      </c>
      <c r="D178" s="6" t="s">
        <v>1078</v>
      </c>
      <c r="E178" s="6" t="s">
        <v>531</v>
      </c>
      <c r="F178" s="6" t="s">
        <v>1079</v>
      </c>
      <c r="G178" s="6" t="s">
        <v>123</v>
      </c>
      <c r="H178" s="6" t="s">
        <v>1127</v>
      </c>
      <c r="I178" s="6"/>
      <c r="J178" s="6" t="s">
        <v>123</v>
      </c>
      <c r="K178" s="6" t="s">
        <v>127</v>
      </c>
      <c r="L178" s="6" t="s">
        <v>1128</v>
      </c>
      <c r="M178" s="6" t="n">
        <v>1772</v>
      </c>
      <c r="N178" s="7" t="n">
        <v>0.152</v>
      </c>
      <c r="O178" s="6" t="s">
        <v>129</v>
      </c>
      <c r="P178" s="10" t="n">
        <f aca="false">HYPERLINK("https://www.ncbi.nlm.nih.gov/clinvar/variation/3354366", 3354366)</f>
        <v>3354366</v>
      </c>
      <c r="Q178" s="6" t="s">
        <v>215</v>
      </c>
      <c r="R178" s="6" t="s">
        <v>1129</v>
      </c>
      <c r="S178" s="10" t="str">
        <f aca="false">HYPERLINK("https://www.ncbi.nlm.nih.gov/snp/rs371047262", "rs371047262")</f>
        <v>rs371047262</v>
      </c>
      <c r="T178" s="10" t="n">
        <f aca="false">HYPERLINK("https://gnomad.broadinstitute.org/variant/17-31232043-ATTTTTT-A?dataset=gnomad_r4", 0.000132002)</f>
        <v>0.000132002</v>
      </c>
      <c r="U178" s="10" t="n">
        <f aca="false">HYPERLINK("https://gnomad.broadinstitute.org/variant/17-31232043-ATTTTTT-A?dataset=gnomad_r4", 0.000158339)</f>
        <v>0.000158339</v>
      </c>
      <c r="V178" s="6" t="s">
        <v>123</v>
      </c>
      <c r="W178" s="6" t="s">
        <v>123</v>
      </c>
      <c r="X178" s="6" t="s">
        <v>123</v>
      </c>
      <c r="Y178" s="6" t="s">
        <v>123</v>
      </c>
      <c r="Z178" s="6" t="s">
        <v>123</v>
      </c>
      <c r="AA178" s="6" t="s">
        <v>123</v>
      </c>
      <c r="AB178" s="6" t="s">
        <v>123</v>
      </c>
      <c r="AC178" s="6" t="s">
        <v>123</v>
      </c>
      <c r="AD178" s="6" t="n">
        <v>2.643</v>
      </c>
      <c r="AE178" s="6" t="s">
        <v>124</v>
      </c>
      <c r="AF178" s="6" t="s">
        <v>123</v>
      </c>
      <c r="AG178" s="6" t="s">
        <v>123</v>
      </c>
      <c r="AH178" s="6" t="s">
        <v>123</v>
      </c>
      <c r="AI178" s="6" t="s">
        <v>123</v>
      </c>
      <c r="AJ178" s="8"/>
      <c r="AK178" s="8"/>
      <c r="AL178" s="8"/>
      <c r="AM178" s="8"/>
      <c r="AN178" s="8"/>
      <c r="AO178" s="8"/>
      <c r="AP178" s="9" t="s">
        <v>1130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76.5" hidden="true" customHeight="true" outlineLevel="0" collapsed="false">
      <c r="A179" s="6" t="s">
        <v>1</v>
      </c>
      <c r="B179" s="6" t="n">
        <v>17</v>
      </c>
      <c r="C179" s="6" t="n">
        <v>31336327</v>
      </c>
      <c r="D179" s="6" t="s">
        <v>1078</v>
      </c>
      <c r="E179" s="6" t="s">
        <v>531</v>
      </c>
      <c r="F179" s="6" t="s">
        <v>1079</v>
      </c>
      <c r="G179" s="6" t="s">
        <v>123</v>
      </c>
      <c r="H179" s="6" t="s">
        <v>1131</v>
      </c>
      <c r="I179" s="6"/>
      <c r="J179" s="6" t="s">
        <v>123</v>
      </c>
      <c r="K179" s="6" t="s">
        <v>127</v>
      </c>
      <c r="L179" s="6" t="s">
        <v>1132</v>
      </c>
      <c r="M179" s="6" t="n">
        <v>2766</v>
      </c>
      <c r="N179" s="7" t="n">
        <v>0.106</v>
      </c>
      <c r="O179" s="6" t="s">
        <v>122</v>
      </c>
      <c r="P179" s="10" t="n">
        <f aca="false">HYPERLINK("https://www.ncbi.nlm.nih.gov/clinvar/variation/404432", 404432)</f>
        <v>404432</v>
      </c>
      <c r="Q179" s="6" t="s">
        <v>215</v>
      </c>
      <c r="R179" s="6" t="s">
        <v>1133</v>
      </c>
      <c r="S179" s="10" t="str">
        <f aca="false">HYPERLINK("https://www.ncbi.nlm.nih.gov/snp/rs775960363", "rs775960363")</f>
        <v>rs775960363</v>
      </c>
      <c r="T179" s="10" t="n">
        <f aca="false">HYPERLINK("https://gnomad.broadinstitute.org/variant/17-31336327-A-G?dataset=gnomad_r4", 0.0000131465)</f>
        <v>1.31465E-005</v>
      </c>
      <c r="U179" s="10" t="n">
        <f aca="false">HYPERLINK("https://gnomad.broadinstitute.org/variant/17-31336327-A-G?dataset=gnomad_r4", 0.00000684191)</f>
        <v>6.84191E-006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34</v>
      </c>
      <c r="AA179" s="6" t="n">
        <v>13</v>
      </c>
      <c r="AB179" s="6" t="n">
        <v>5</v>
      </c>
      <c r="AC179" s="6" t="n">
        <v>26</v>
      </c>
      <c r="AD179" s="6" t="n">
        <v>1.597</v>
      </c>
      <c r="AE179" s="6" t="s">
        <v>124</v>
      </c>
      <c r="AF179" s="6" t="s">
        <v>123</v>
      </c>
      <c r="AG179" s="6" t="s">
        <v>123</v>
      </c>
      <c r="AH179" s="6" t="s">
        <v>123</v>
      </c>
      <c r="AI179" s="6" t="s">
        <v>123</v>
      </c>
      <c r="AJ179" s="8"/>
      <c r="AK179" s="8"/>
      <c r="AL179" s="8"/>
      <c r="AM179" s="8"/>
      <c r="AN179" s="8"/>
      <c r="AO179" s="8"/>
      <c r="AP179" s="9" t="s">
        <v>1134</v>
      </c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63.75" hidden="true" customHeight="true" outlineLevel="0" collapsed="false">
      <c r="A180" s="6" t="s">
        <v>1</v>
      </c>
      <c r="B180" s="6" t="n">
        <v>17</v>
      </c>
      <c r="C180" s="6" t="n">
        <v>31340601</v>
      </c>
      <c r="D180" s="6" t="s">
        <v>1078</v>
      </c>
      <c r="E180" s="6" t="s">
        <v>531</v>
      </c>
      <c r="F180" s="6" t="s">
        <v>1079</v>
      </c>
      <c r="G180" s="6" t="s">
        <v>1135</v>
      </c>
      <c r="H180" s="6" t="s">
        <v>1136</v>
      </c>
      <c r="I180" s="6" t="s">
        <v>1137</v>
      </c>
      <c r="J180" s="6" t="s">
        <v>1138</v>
      </c>
      <c r="K180" s="6" t="s">
        <v>153</v>
      </c>
      <c r="L180" s="6" t="s">
        <v>1139</v>
      </c>
      <c r="M180" s="6" t="n">
        <v>3695</v>
      </c>
      <c r="N180" s="7" t="n">
        <v>0.0721</v>
      </c>
      <c r="O180" s="6" t="s">
        <v>122</v>
      </c>
      <c r="P180" s="10" t="n">
        <f aca="false">HYPERLINK("https://www.ncbi.nlm.nih.gov/clinvar/variation/4532918", 4532918)</f>
        <v>4532918</v>
      </c>
      <c r="Q180" s="6" t="s">
        <v>180</v>
      </c>
      <c r="R180" s="6" t="s">
        <v>181</v>
      </c>
      <c r="S180" s="6" t="s">
        <v>123</v>
      </c>
      <c r="T180" s="6" t="s">
        <v>123</v>
      </c>
      <c r="U180" s="6" t="s">
        <v>123</v>
      </c>
      <c r="V180" s="6" t="n">
        <v>0</v>
      </c>
      <c r="W180" s="6" t="n">
        <v>0</v>
      </c>
      <c r="X180" s="6" t="n">
        <v>0.26</v>
      </c>
      <c r="Y180" s="6" t="n">
        <v>0.11</v>
      </c>
      <c r="Z180" s="6" t="n">
        <v>19</v>
      </c>
      <c r="AA180" s="6" t="n">
        <v>-20</v>
      </c>
      <c r="AB180" s="6" t="n">
        <v>-18</v>
      </c>
      <c r="AC180" s="6" t="n">
        <v>44</v>
      </c>
      <c r="AD180" s="6" t="s">
        <v>123</v>
      </c>
      <c r="AE180" s="6" t="s">
        <v>124</v>
      </c>
      <c r="AF180" s="6" t="s">
        <v>123</v>
      </c>
      <c r="AG180" s="6" t="s">
        <v>123</v>
      </c>
      <c r="AH180" s="6" t="s">
        <v>123</v>
      </c>
      <c r="AI180" s="6" t="s">
        <v>123</v>
      </c>
      <c r="AJ180" s="8"/>
      <c r="AK180" s="8"/>
      <c r="AL180" s="8"/>
      <c r="AM180" s="8"/>
      <c r="AN180" s="8"/>
      <c r="AO180" s="8"/>
      <c r="AP180" s="9" t="s">
        <v>1140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76.5" hidden="true" customHeight="true" outlineLevel="0" collapsed="false">
      <c r="A181" s="6" t="s">
        <v>1</v>
      </c>
      <c r="B181" s="6" t="n">
        <v>17</v>
      </c>
      <c r="C181" s="6" t="n">
        <v>31232043</v>
      </c>
      <c r="D181" s="6" t="s">
        <v>1078</v>
      </c>
      <c r="E181" s="6" t="s">
        <v>531</v>
      </c>
      <c r="F181" s="6" t="s">
        <v>1079</v>
      </c>
      <c r="G181" s="6" t="s">
        <v>123</v>
      </c>
      <c r="H181" s="6" t="s">
        <v>1141</v>
      </c>
      <c r="I181" s="6"/>
      <c r="J181" s="6" t="s">
        <v>123</v>
      </c>
      <c r="K181" s="6" t="s">
        <v>127</v>
      </c>
      <c r="L181" s="6" t="s">
        <v>1142</v>
      </c>
      <c r="M181" s="6" t="n">
        <v>1772</v>
      </c>
      <c r="N181" s="7" t="n">
        <v>0.0836</v>
      </c>
      <c r="O181" s="6" t="s">
        <v>129</v>
      </c>
      <c r="P181" s="10" t="n">
        <f aca="false">HYPERLINK("https://www.ncbi.nlm.nih.gov/clinvar/variation/3048484", 3048484)</f>
        <v>3048484</v>
      </c>
      <c r="Q181" s="6" t="s">
        <v>215</v>
      </c>
      <c r="R181" s="6" t="s">
        <v>1143</v>
      </c>
      <c r="S181" s="10" t="str">
        <f aca="false">HYPERLINK("https://www.ncbi.nlm.nih.gov/snp/rs371047262", "rs371047262")</f>
        <v>rs371047262</v>
      </c>
      <c r="T181" s="10" t="n">
        <f aca="false">HYPERLINK("https://gnomad.broadinstitute.org/variant/17-31232043-ATTTTTTTTTT-A?dataset=gnomad_r4", 0.000110006)</f>
        <v>0.000110006</v>
      </c>
      <c r="U181" s="6" t="s">
        <v>123</v>
      </c>
      <c r="V181" s="6" t="s">
        <v>123</v>
      </c>
      <c r="W181" s="6" t="s">
        <v>123</v>
      </c>
      <c r="X181" s="6" t="s">
        <v>123</v>
      </c>
      <c r="Y181" s="6" t="s">
        <v>123</v>
      </c>
      <c r="Z181" s="6" t="s">
        <v>123</v>
      </c>
      <c r="AA181" s="6" t="s">
        <v>123</v>
      </c>
      <c r="AB181" s="6" t="s">
        <v>123</v>
      </c>
      <c r="AC181" s="6" t="s">
        <v>123</v>
      </c>
      <c r="AD181" s="6" t="n">
        <v>2.816</v>
      </c>
      <c r="AE181" s="6" t="s">
        <v>124</v>
      </c>
      <c r="AF181" s="6" t="s">
        <v>123</v>
      </c>
      <c r="AG181" s="6" t="s">
        <v>123</v>
      </c>
      <c r="AH181" s="6" t="s">
        <v>123</v>
      </c>
      <c r="AI181" s="6" t="s">
        <v>123</v>
      </c>
      <c r="AJ181" s="8"/>
      <c r="AK181" s="8"/>
      <c r="AL181" s="8"/>
      <c r="AM181" s="8"/>
      <c r="AN181" s="8"/>
      <c r="AO181" s="8"/>
      <c r="AP181" s="9" t="s">
        <v>1144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63.75" hidden="true" customHeight="true" outlineLevel="0" collapsed="false">
      <c r="A182" s="6" t="s">
        <v>1</v>
      </c>
      <c r="B182" s="6" t="n">
        <v>17</v>
      </c>
      <c r="C182" s="6" t="n">
        <v>31181801</v>
      </c>
      <c r="D182" s="6" t="s">
        <v>1078</v>
      </c>
      <c r="E182" s="6" t="s">
        <v>531</v>
      </c>
      <c r="F182" s="6" t="s">
        <v>1079</v>
      </c>
      <c r="G182" s="6" t="s">
        <v>123</v>
      </c>
      <c r="H182" s="6" t="s">
        <v>1145</v>
      </c>
      <c r="I182" s="6"/>
      <c r="J182" s="6" t="s">
        <v>123</v>
      </c>
      <c r="K182" s="6" t="s">
        <v>141</v>
      </c>
      <c r="L182" s="6" t="s">
        <v>1146</v>
      </c>
      <c r="M182" s="6" t="n">
        <v>2962</v>
      </c>
      <c r="N182" s="7" t="n">
        <v>0.345</v>
      </c>
      <c r="O182" s="6" t="s">
        <v>179</v>
      </c>
      <c r="P182" s="6" t="s">
        <v>123</v>
      </c>
      <c r="Q182" s="6" t="s">
        <v>123</v>
      </c>
      <c r="R182" s="6" t="s">
        <v>123</v>
      </c>
      <c r="S182" s="6" t="s">
        <v>123</v>
      </c>
      <c r="T182" s="6" t="s">
        <v>123</v>
      </c>
      <c r="U182" s="10" t="n">
        <f aca="false">HYPERLINK("https://gnomad.broadinstitute.org/variant/17-31181801-ATTTTT-A?dataset=gnomad_r4", 0.00000370879)</f>
        <v>3.70879E-006</v>
      </c>
      <c r="V182" s="6" t="s">
        <v>123</v>
      </c>
      <c r="W182" s="6" t="s">
        <v>123</v>
      </c>
      <c r="X182" s="6" t="s">
        <v>123</v>
      </c>
      <c r="Y182" s="6" t="s">
        <v>123</v>
      </c>
      <c r="Z182" s="6" t="s">
        <v>123</v>
      </c>
      <c r="AA182" s="6" t="s">
        <v>123</v>
      </c>
      <c r="AB182" s="6" t="s">
        <v>123</v>
      </c>
      <c r="AC182" s="6" t="s">
        <v>123</v>
      </c>
      <c r="AD182" s="6" t="s">
        <v>123</v>
      </c>
      <c r="AE182" s="6" t="s">
        <v>124</v>
      </c>
      <c r="AF182" s="6" t="s">
        <v>123</v>
      </c>
      <c r="AG182" s="6" t="s">
        <v>123</v>
      </c>
      <c r="AH182" s="6" t="s">
        <v>123</v>
      </c>
      <c r="AI182" s="6" t="s">
        <v>123</v>
      </c>
      <c r="AJ182" s="8"/>
      <c r="AK182" s="8"/>
      <c r="AL182" s="8"/>
      <c r="AM182" s="8"/>
      <c r="AN182" s="8"/>
      <c r="AO182" s="8"/>
      <c r="AP182" s="9" t="s">
        <v>1147</v>
      </c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63.75" hidden="true" customHeight="true" outlineLevel="0" collapsed="false">
      <c r="A183" s="6" t="s">
        <v>1</v>
      </c>
      <c r="B183" s="6" t="n">
        <v>12</v>
      </c>
      <c r="C183" s="6" t="n">
        <v>54292834</v>
      </c>
      <c r="D183" s="6" t="s">
        <v>1148</v>
      </c>
      <c r="E183" s="6" t="s">
        <v>6</v>
      </c>
      <c r="F183" s="6" t="s">
        <v>1149</v>
      </c>
      <c r="G183" s="6" t="s">
        <v>1150</v>
      </c>
      <c r="H183" s="6" t="s">
        <v>1151</v>
      </c>
      <c r="I183" s="6" t="s">
        <v>1152</v>
      </c>
      <c r="J183" s="6" t="s">
        <v>1153</v>
      </c>
      <c r="K183" s="6" t="s">
        <v>153</v>
      </c>
      <c r="L183" s="6" t="s">
        <v>1154</v>
      </c>
      <c r="M183" s="6" t="n">
        <v>4153</v>
      </c>
      <c r="N183" s="7" t="n">
        <v>0.1</v>
      </c>
      <c r="O183" s="6" t="s">
        <v>122</v>
      </c>
      <c r="P183" s="6" t="s">
        <v>123</v>
      </c>
      <c r="Q183" s="6" t="s">
        <v>123</v>
      </c>
      <c r="R183" s="6" t="s">
        <v>123</v>
      </c>
      <c r="S183" s="6" t="s">
        <v>123</v>
      </c>
      <c r="T183" s="6" t="s">
        <v>123</v>
      </c>
      <c r="U183" s="10" t="n">
        <f aca="false">HYPERLINK("https://gnomad.broadinstitute.org/variant/12-54292834-TC-T?dataset=gnomad_r4", 0.000000684066)</f>
        <v>6.84066E-007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43</v>
      </c>
      <c r="AA183" s="6" t="n">
        <v>45</v>
      </c>
      <c r="AB183" s="6" t="n">
        <v>-48</v>
      </c>
      <c r="AC183" s="6" t="n">
        <v>29</v>
      </c>
      <c r="AD183" s="6" t="s">
        <v>123</v>
      </c>
      <c r="AE183" s="6" t="s">
        <v>124</v>
      </c>
      <c r="AF183" s="6" t="s">
        <v>123</v>
      </c>
      <c r="AG183" s="6" t="s">
        <v>123</v>
      </c>
      <c r="AH183" s="6" t="s">
        <v>123</v>
      </c>
      <c r="AI183" s="6" t="s">
        <v>123</v>
      </c>
      <c r="AJ183" s="8"/>
      <c r="AK183" s="8"/>
      <c r="AL183" s="8"/>
      <c r="AM183" s="8"/>
      <c r="AN183" s="8"/>
      <c r="AO183" s="8"/>
      <c r="AP183" s="9" t="s">
        <v>1155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76.5" hidden="true" customHeight="true" outlineLevel="0" collapsed="false">
      <c r="A184" s="6" t="s">
        <v>1</v>
      </c>
      <c r="B184" s="6" t="n">
        <v>9</v>
      </c>
      <c r="C184" s="6" t="n">
        <v>136494824</v>
      </c>
      <c r="D184" s="6" t="s">
        <v>1156</v>
      </c>
      <c r="E184" s="6" t="s">
        <v>1157</v>
      </c>
      <c r="F184" s="6" t="s">
        <v>1158</v>
      </c>
      <c r="G184" s="6" t="s">
        <v>1159</v>
      </c>
      <c r="H184" s="6" t="s">
        <v>1160</v>
      </c>
      <c r="I184" s="6"/>
      <c r="J184" s="6" t="s">
        <v>123</v>
      </c>
      <c r="K184" s="6" t="s">
        <v>807</v>
      </c>
      <c r="L184" s="6" t="s">
        <v>1161</v>
      </c>
      <c r="M184" s="6" t="n">
        <v>3414</v>
      </c>
      <c r="N184" s="7" t="n">
        <v>0.0601</v>
      </c>
      <c r="O184" s="6" t="s">
        <v>122</v>
      </c>
      <c r="P184" s="6" t="s">
        <v>123</v>
      </c>
      <c r="Q184" s="6" t="s">
        <v>123</v>
      </c>
      <c r="R184" s="6" t="s">
        <v>123</v>
      </c>
      <c r="S184" s="10" t="str">
        <f aca="false">HYPERLINK("https://www.ncbi.nlm.nih.gov/snp/rs1369268679", "rs1369268679")</f>
        <v>rs1369268679</v>
      </c>
      <c r="T184" s="10" t="n">
        <f aca="false">HYPERLINK("https://gnomad.broadinstitute.org/variant/9-136494824-A-AT?dataset=gnomad_r4", 0.0000065767)</f>
        <v>6.5767E-006</v>
      </c>
      <c r="U184" s="10" t="n">
        <f aca="false">HYPERLINK("https://gnomad.broadinstitute.org/variant/9-136494824-A-AT?dataset=gnomad_r4", 0.00000405887)</f>
        <v>4.05887E-006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-23</v>
      </c>
      <c r="AA184" s="6" t="n">
        <v>6</v>
      </c>
      <c r="AB184" s="6" t="n">
        <v>11</v>
      </c>
      <c r="AC184" s="6" t="n">
        <v>-22</v>
      </c>
      <c r="AD184" s="6" t="n">
        <v>9.548</v>
      </c>
      <c r="AE184" s="6" t="s">
        <v>124</v>
      </c>
      <c r="AF184" s="6" t="s">
        <v>123</v>
      </c>
      <c r="AG184" s="6" t="s">
        <v>123</v>
      </c>
      <c r="AH184" s="6" t="s">
        <v>123</v>
      </c>
      <c r="AI184" s="6" t="s">
        <v>123</v>
      </c>
      <c r="AJ184" s="8"/>
      <c r="AK184" s="8"/>
      <c r="AL184" s="8"/>
      <c r="AM184" s="8"/>
      <c r="AN184" s="8"/>
      <c r="AO184" s="8"/>
      <c r="AP184" s="9" t="s">
        <v>1162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76.5" hidden="false" customHeight="true" outlineLevel="0" collapsed="false">
      <c r="A185" s="6" t="s">
        <v>1</v>
      </c>
      <c r="B185" s="6" t="n">
        <v>9</v>
      </c>
      <c r="C185" s="6" t="n">
        <v>136502090</v>
      </c>
      <c r="D185" s="6" t="s">
        <v>1156</v>
      </c>
      <c r="E185" s="6" t="s">
        <v>1157</v>
      </c>
      <c r="F185" s="6" t="s">
        <v>1158</v>
      </c>
      <c r="G185" s="6" t="s">
        <v>123</v>
      </c>
      <c r="H185" s="6" t="s">
        <v>1163</v>
      </c>
      <c r="I185" s="6"/>
      <c r="J185" s="6" t="s">
        <v>123</v>
      </c>
      <c r="K185" s="6" t="s">
        <v>127</v>
      </c>
      <c r="L185" s="6" t="s">
        <v>1164</v>
      </c>
      <c r="M185" s="6" t="n">
        <v>4056</v>
      </c>
      <c r="N185" s="7" t="n">
        <v>0.0682</v>
      </c>
      <c r="O185" s="6" t="s">
        <v>122</v>
      </c>
      <c r="P185" s="6" t="s">
        <v>123</v>
      </c>
      <c r="Q185" s="6" t="s">
        <v>123</v>
      </c>
      <c r="R185" s="6" t="s">
        <v>123</v>
      </c>
      <c r="S185" s="10" t="str">
        <f aca="false">HYPERLINK("https://www.ncbi.nlm.nih.gov/snp/rs1256851442", "rs1256851442")</f>
        <v>rs1256851442</v>
      </c>
      <c r="T185" s="6" t="s">
        <v>123</v>
      </c>
      <c r="U185" s="6" t="s">
        <v>123</v>
      </c>
      <c r="V185" s="6" t="n">
        <v>0.01</v>
      </c>
      <c r="W185" s="6" t="n">
        <v>0</v>
      </c>
      <c r="X185" s="6" t="n">
        <v>0</v>
      </c>
      <c r="Y185" s="6" t="n">
        <v>0</v>
      </c>
      <c r="Z185" s="6" t="n">
        <v>-12</v>
      </c>
      <c r="AA185" s="6" t="n">
        <v>39</v>
      </c>
      <c r="AB185" s="6" t="n">
        <v>-12</v>
      </c>
      <c r="AC185" s="6" t="n">
        <v>-24</v>
      </c>
      <c r="AD185" s="6" t="s">
        <v>123</v>
      </c>
      <c r="AE185" s="6" t="s">
        <v>124</v>
      </c>
      <c r="AF185" s="6" t="s">
        <v>123</v>
      </c>
      <c r="AG185" s="6" t="s">
        <v>123</v>
      </c>
      <c r="AH185" s="6" t="s">
        <v>123</v>
      </c>
      <c r="AI185" s="6" t="s">
        <v>123</v>
      </c>
      <c r="AJ185" s="8"/>
      <c r="AK185" s="8" t="s">
        <v>401</v>
      </c>
      <c r="AL185" s="8" t="s">
        <v>1165</v>
      </c>
      <c r="AM185" s="8" t="s">
        <v>1166</v>
      </c>
      <c r="AN185" s="8"/>
      <c r="AO185" s="8"/>
      <c r="AP185" s="9" t="s">
        <v>1167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63.75" hidden="true" customHeight="true" outlineLevel="0" collapsed="false">
      <c r="A186" s="6" t="s">
        <v>1</v>
      </c>
      <c r="B186" s="6" t="n">
        <v>9</v>
      </c>
      <c r="C186" s="6" t="n">
        <v>136502294</v>
      </c>
      <c r="D186" s="6" t="s">
        <v>1156</v>
      </c>
      <c r="E186" s="6" t="s">
        <v>1157</v>
      </c>
      <c r="F186" s="6" t="s">
        <v>1158</v>
      </c>
      <c r="G186" s="6" t="s">
        <v>1168</v>
      </c>
      <c r="H186" s="6" t="s">
        <v>1169</v>
      </c>
      <c r="I186" s="6" t="s">
        <v>1170</v>
      </c>
      <c r="J186" s="6" t="s">
        <v>1171</v>
      </c>
      <c r="K186" s="6" t="s">
        <v>120</v>
      </c>
      <c r="L186" s="6" t="s">
        <v>1172</v>
      </c>
      <c r="M186" s="6" t="n">
        <v>3492</v>
      </c>
      <c r="N186" s="7" t="n">
        <v>0.303</v>
      </c>
      <c r="O186" s="6" t="s">
        <v>122</v>
      </c>
      <c r="P186" s="10" t="n">
        <f aca="false">HYPERLINK("https://www.ncbi.nlm.nih.gov/clinvar/variation/968772", 968772)</f>
        <v>968772</v>
      </c>
      <c r="Q186" s="6" t="s">
        <v>253</v>
      </c>
      <c r="R186" s="6" t="s">
        <v>1173</v>
      </c>
      <c r="S186" s="6" t="s">
        <v>123</v>
      </c>
      <c r="T186" s="6" t="s">
        <v>123</v>
      </c>
      <c r="U186" s="6" t="s">
        <v>123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-2</v>
      </c>
      <c r="AA186" s="6" t="n">
        <v>48</v>
      </c>
      <c r="AB186" s="6" t="n">
        <v>-22</v>
      </c>
      <c r="AC186" s="6" t="n">
        <v>0</v>
      </c>
      <c r="AD186" s="6" t="n">
        <v>25.6</v>
      </c>
      <c r="AE186" s="6" t="s">
        <v>124</v>
      </c>
      <c r="AF186" s="6" t="s">
        <v>123</v>
      </c>
      <c r="AG186" s="6" t="s">
        <v>123</v>
      </c>
      <c r="AH186" s="6" t="s">
        <v>123</v>
      </c>
      <c r="AI186" s="6" t="s">
        <v>123</v>
      </c>
      <c r="AJ186" s="8"/>
      <c r="AK186" s="8"/>
      <c r="AL186" s="8"/>
      <c r="AM186" s="8"/>
      <c r="AN186" s="8"/>
      <c r="AO186" s="8"/>
      <c r="AP186" s="9" t="s">
        <v>1174</v>
      </c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63.75" hidden="true" customHeight="true" outlineLevel="0" collapsed="false">
      <c r="A187" s="6" t="s">
        <v>1</v>
      </c>
      <c r="B187" s="6" t="n">
        <v>9</v>
      </c>
      <c r="C187" s="6" t="n">
        <v>136506859</v>
      </c>
      <c r="D187" s="6" t="s">
        <v>1156</v>
      </c>
      <c r="E187" s="6" t="s">
        <v>1157</v>
      </c>
      <c r="F187" s="6" t="s">
        <v>1158</v>
      </c>
      <c r="G187" s="6" t="s">
        <v>1175</v>
      </c>
      <c r="H187" s="6" t="s">
        <v>1176</v>
      </c>
      <c r="I187" s="6" t="s">
        <v>1177</v>
      </c>
      <c r="J187" s="6" t="s">
        <v>1178</v>
      </c>
      <c r="K187" s="6" t="s">
        <v>120</v>
      </c>
      <c r="L187" s="6" t="s">
        <v>1179</v>
      </c>
      <c r="M187" s="6" t="n">
        <v>4776</v>
      </c>
      <c r="N187" s="7" t="n">
        <v>0.0867</v>
      </c>
      <c r="O187" s="6" t="s">
        <v>122</v>
      </c>
      <c r="P187" s="6" t="s">
        <v>123</v>
      </c>
      <c r="Q187" s="6" t="s">
        <v>123</v>
      </c>
      <c r="R187" s="6" t="s">
        <v>123</v>
      </c>
      <c r="S187" s="6" t="s">
        <v>123</v>
      </c>
      <c r="T187" s="6" t="s">
        <v>123</v>
      </c>
      <c r="U187" s="6" t="s">
        <v>123</v>
      </c>
      <c r="V187" s="6" t="n">
        <v>0</v>
      </c>
      <c r="W187" s="6" t="n">
        <v>0</v>
      </c>
      <c r="X187" s="6" t="n">
        <v>0.02</v>
      </c>
      <c r="Y187" s="6" t="n">
        <v>0</v>
      </c>
      <c r="Z187" s="6" t="n">
        <v>16</v>
      </c>
      <c r="AA187" s="6" t="n">
        <v>46</v>
      </c>
      <c r="AB187" s="6" t="n">
        <v>-23</v>
      </c>
      <c r="AC187" s="6" t="n">
        <v>17</v>
      </c>
      <c r="AD187" s="6" t="n">
        <v>26.6</v>
      </c>
      <c r="AE187" s="6" t="s">
        <v>124</v>
      </c>
      <c r="AF187" s="6" t="s">
        <v>123</v>
      </c>
      <c r="AG187" s="6" t="s">
        <v>123</v>
      </c>
      <c r="AH187" s="6" t="s">
        <v>123</v>
      </c>
      <c r="AI187" s="6" t="s">
        <v>123</v>
      </c>
      <c r="AJ187" s="8"/>
      <c r="AK187" s="8"/>
      <c r="AL187" s="8"/>
      <c r="AM187" s="8"/>
      <c r="AN187" s="8"/>
      <c r="AO187" s="8"/>
      <c r="AP187" s="9" t="s">
        <v>1180</v>
      </c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76.5" hidden="true" customHeight="true" outlineLevel="0" collapsed="false">
      <c r="A188" s="6" t="s">
        <v>1</v>
      </c>
      <c r="B188" s="6" t="n">
        <v>9</v>
      </c>
      <c r="C188" s="6" t="n">
        <v>136507365</v>
      </c>
      <c r="D188" s="6" t="s">
        <v>1156</v>
      </c>
      <c r="E188" s="6" t="s">
        <v>1157</v>
      </c>
      <c r="F188" s="6" t="s">
        <v>1158</v>
      </c>
      <c r="G188" s="6" t="s">
        <v>1181</v>
      </c>
      <c r="H188" s="6" t="s">
        <v>1182</v>
      </c>
      <c r="I188" s="6" t="s">
        <v>1183</v>
      </c>
      <c r="J188" s="6" t="s">
        <v>1184</v>
      </c>
      <c r="K188" s="6" t="s">
        <v>120</v>
      </c>
      <c r="L188" s="6" t="s">
        <v>1185</v>
      </c>
      <c r="M188" s="6" t="n">
        <v>5272</v>
      </c>
      <c r="N188" s="7" t="n">
        <v>0.0839</v>
      </c>
      <c r="O188" s="6" t="s">
        <v>122</v>
      </c>
      <c r="P188" s="10" t="n">
        <f aca="false">HYPERLINK("https://www.ncbi.nlm.nih.gov/clinvar/variation/945162", 945162)</f>
        <v>945162</v>
      </c>
      <c r="Q188" s="6" t="s">
        <v>215</v>
      </c>
      <c r="R188" s="6" t="s">
        <v>1186</v>
      </c>
      <c r="S188" s="10" t="str">
        <f aca="false">HYPERLINK("https://www.ncbi.nlm.nih.gov/snp/rs777194812", "rs777194812")</f>
        <v>rs777194812</v>
      </c>
      <c r="T188" s="10" t="n">
        <f aca="false">HYPERLINK("https://gnomad.broadinstitute.org/variant/9-136507365-C-T?dataset=gnomad_r4", 0.0000131391)</f>
        <v>1.31391E-005</v>
      </c>
      <c r="U188" s="10" t="n">
        <f aca="false">HYPERLINK("https://gnomad.broadinstitute.org/variant/9-136507365-C-T?dataset=gnomad_r4", 0.0000102709)</f>
        <v>1.02709E-005</v>
      </c>
      <c r="V188" s="6" t="n">
        <v>0.08</v>
      </c>
      <c r="W188" s="6" t="n">
        <v>0</v>
      </c>
      <c r="X188" s="6" t="n">
        <v>0</v>
      </c>
      <c r="Y188" s="6" t="n">
        <v>0</v>
      </c>
      <c r="Z188" s="6" t="n">
        <v>-2</v>
      </c>
      <c r="AA188" s="6" t="n">
        <v>36</v>
      </c>
      <c r="AB188" s="6" t="n">
        <v>3</v>
      </c>
      <c r="AC188" s="6" t="n">
        <v>-34</v>
      </c>
      <c r="AD188" s="6" t="n">
        <v>27.7</v>
      </c>
      <c r="AE188" s="6" t="s">
        <v>124</v>
      </c>
      <c r="AF188" s="6" t="s">
        <v>1187</v>
      </c>
      <c r="AG188" s="6" t="s">
        <v>1188</v>
      </c>
      <c r="AH188" s="6" t="s">
        <v>1189</v>
      </c>
      <c r="AI188" s="6" t="s">
        <v>1190</v>
      </c>
      <c r="AJ188" s="8"/>
      <c r="AK188" s="8"/>
      <c r="AL188" s="8"/>
      <c r="AM188" s="8"/>
      <c r="AN188" s="8"/>
      <c r="AO188" s="8"/>
      <c r="AP188" s="9" t="s">
        <v>1191</v>
      </c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76.5" hidden="true" customHeight="true" outlineLevel="0" collapsed="false">
      <c r="A189" s="6" t="s">
        <v>1</v>
      </c>
      <c r="B189" s="6" t="n">
        <v>9</v>
      </c>
      <c r="C189" s="6" t="n">
        <v>136509958</v>
      </c>
      <c r="D189" s="6" t="s">
        <v>1156</v>
      </c>
      <c r="E189" s="6" t="s">
        <v>1157</v>
      </c>
      <c r="F189" s="6" t="s">
        <v>1158</v>
      </c>
      <c r="G189" s="6" t="s">
        <v>1192</v>
      </c>
      <c r="H189" s="6" t="s">
        <v>1193</v>
      </c>
      <c r="I189" s="6" t="s">
        <v>1194</v>
      </c>
      <c r="J189" s="6" t="s">
        <v>1195</v>
      </c>
      <c r="K189" s="6" t="s">
        <v>120</v>
      </c>
      <c r="L189" s="6" t="s">
        <v>1196</v>
      </c>
      <c r="M189" s="6" t="n">
        <v>3609</v>
      </c>
      <c r="N189" s="7" t="n">
        <v>0.0987</v>
      </c>
      <c r="O189" s="6" t="s">
        <v>122</v>
      </c>
      <c r="P189" s="10" t="n">
        <f aca="false">HYPERLINK("https://www.ncbi.nlm.nih.gov/clinvar/variation/647029", 647029)</f>
        <v>647029</v>
      </c>
      <c r="Q189" s="6" t="s">
        <v>409</v>
      </c>
      <c r="R189" s="6" t="s">
        <v>1197</v>
      </c>
      <c r="S189" s="10" t="str">
        <f aca="false">HYPERLINK("https://www.ncbi.nlm.nih.gov/snp/rs755058802", "rs755058802")</f>
        <v>rs755058802</v>
      </c>
      <c r="T189" s="10" t="n">
        <f aca="false">HYPERLINK("https://gnomad.broadinstitute.org/variant/9-136509958-G-A?dataset=gnomad_r4", 0.0000394146)</f>
        <v>3.94146E-005</v>
      </c>
      <c r="U189" s="10" t="n">
        <f aca="false">HYPERLINK("https://gnomad.broadinstitute.org/variant/9-136509958-G-A?dataset=gnomad_r4", 0.00000753177)</f>
        <v>7.53177E-006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-27</v>
      </c>
      <c r="AA189" s="6" t="n">
        <v>-1</v>
      </c>
      <c r="AB189" s="6" t="n">
        <v>-27</v>
      </c>
      <c r="AC189" s="6" t="n">
        <v>3</v>
      </c>
      <c r="AD189" s="6" t="n">
        <v>29.6</v>
      </c>
      <c r="AE189" s="6" t="s">
        <v>124</v>
      </c>
      <c r="AF189" s="6" t="s">
        <v>123</v>
      </c>
      <c r="AG189" s="6" t="s">
        <v>123</v>
      </c>
      <c r="AH189" s="6" t="s">
        <v>123</v>
      </c>
      <c r="AI189" s="6" t="s">
        <v>123</v>
      </c>
      <c r="AJ189" s="8"/>
      <c r="AK189" s="8"/>
      <c r="AL189" s="8"/>
      <c r="AM189" s="8"/>
      <c r="AN189" s="8"/>
      <c r="AO189" s="8"/>
      <c r="AP189" s="9" t="s">
        <v>1198</v>
      </c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63.75" hidden="false" customHeight="true" outlineLevel="0" collapsed="false">
      <c r="A190" s="6" t="s">
        <v>1</v>
      </c>
      <c r="B190" s="6" t="n">
        <v>9</v>
      </c>
      <c r="C190" s="6" t="n">
        <v>136523775</v>
      </c>
      <c r="D190" s="6" t="s">
        <v>1156</v>
      </c>
      <c r="E190" s="6" t="s">
        <v>1157</v>
      </c>
      <c r="F190" s="6" t="s">
        <v>1158</v>
      </c>
      <c r="G190" s="6" t="s">
        <v>1199</v>
      </c>
      <c r="H190" s="6" t="s">
        <v>1200</v>
      </c>
      <c r="I190" s="6" t="s">
        <v>1201</v>
      </c>
      <c r="J190" s="6" t="s">
        <v>1202</v>
      </c>
      <c r="K190" s="6" t="s">
        <v>153</v>
      </c>
      <c r="L190" s="6" t="s">
        <v>1203</v>
      </c>
      <c r="M190" s="6" t="n">
        <v>5099</v>
      </c>
      <c r="N190" s="7" t="n">
        <v>0.0877</v>
      </c>
      <c r="O190" s="6" t="s">
        <v>122</v>
      </c>
      <c r="P190" s="6" t="s">
        <v>123</v>
      </c>
      <c r="Q190" s="6" t="s">
        <v>123</v>
      </c>
      <c r="R190" s="6" t="s">
        <v>123</v>
      </c>
      <c r="S190" s="6" t="s">
        <v>123</v>
      </c>
      <c r="T190" s="6" t="s">
        <v>123</v>
      </c>
      <c r="U190" s="6" t="s">
        <v>123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-26</v>
      </c>
      <c r="AA190" s="6" t="n">
        <v>-3</v>
      </c>
      <c r="AB190" s="6" t="n">
        <v>3</v>
      </c>
      <c r="AC190" s="6" t="n">
        <v>-26</v>
      </c>
      <c r="AD190" s="6" t="s">
        <v>123</v>
      </c>
      <c r="AE190" s="6" t="s">
        <v>124</v>
      </c>
      <c r="AF190" s="6" t="s">
        <v>123</v>
      </c>
      <c r="AG190" s="6" t="s">
        <v>123</v>
      </c>
      <c r="AH190" s="6" t="s">
        <v>123</v>
      </c>
      <c r="AI190" s="6" t="s">
        <v>123</v>
      </c>
      <c r="AJ190" s="8"/>
      <c r="AK190" s="8" t="s">
        <v>401</v>
      </c>
      <c r="AL190" s="8" t="s">
        <v>1204</v>
      </c>
      <c r="AM190" s="8"/>
      <c r="AN190" s="8" t="s">
        <v>393</v>
      </c>
      <c r="AO190" s="8"/>
      <c r="AP190" s="9" t="s">
        <v>1205</v>
      </c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76.5" hidden="true" customHeight="true" outlineLevel="0" collapsed="false">
      <c r="A191" s="6" t="s">
        <v>1</v>
      </c>
      <c r="B191" s="6" t="n">
        <v>9</v>
      </c>
      <c r="C191" s="6" t="n">
        <v>136515302</v>
      </c>
      <c r="D191" s="6" t="s">
        <v>1156</v>
      </c>
      <c r="E191" s="6" t="s">
        <v>1157</v>
      </c>
      <c r="F191" s="6" t="s">
        <v>1158</v>
      </c>
      <c r="G191" s="6" t="s">
        <v>1206</v>
      </c>
      <c r="H191" s="6" t="s">
        <v>1207</v>
      </c>
      <c r="I191" s="6" t="s">
        <v>1208</v>
      </c>
      <c r="J191" s="6" t="s">
        <v>1209</v>
      </c>
      <c r="K191" s="6" t="s">
        <v>120</v>
      </c>
      <c r="L191" s="6" t="s">
        <v>1210</v>
      </c>
      <c r="M191" s="6" t="n">
        <v>4110</v>
      </c>
      <c r="N191" s="7" t="n">
        <v>0.288</v>
      </c>
      <c r="O191" s="6" t="s">
        <v>122</v>
      </c>
      <c r="P191" s="6" t="s">
        <v>123</v>
      </c>
      <c r="Q191" s="6" t="s">
        <v>123</v>
      </c>
      <c r="R191" s="6" t="s">
        <v>123</v>
      </c>
      <c r="S191" s="10" t="str">
        <f aca="false">HYPERLINK("https://www.ncbi.nlm.nih.gov/snp/rs780810308", "rs780810308")</f>
        <v>rs780810308</v>
      </c>
      <c r="T191" s="6" t="s">
        <v>123</v>
      </c>
      <c r="U191" s="6" t="s">
        <v>123</v>
      </c>
      <c r="V191" s="6" t="n">
        <v>0</v>
      </c>
      <c r="W191" s="6" t="n">
        <v>0</v>
      </c>
      <c r="X191" s="6" t="n">
        <v>0.51</v>
      </c>
      <c r="Y191" s="6" t="n">
        <v>0.01</v>
      </c>
      <c r="Z191" s="6" t="n">
        <v>6</v>
      </c>
      <c r="AA191" s="6" t="n">
        <v>12</v>
      </c>
      <c r="AB191" s="6" t="n">
        <v>6</v>
      </c>
      <c r="AC191" s="6" t="n">
        <v>-12</v>
      </c>
      <c r="AD191" s="6" t="n">
        <v>26.5</v>
      </c>
      <c r="AE191" s="6" t="s">
        <v>124</v>
      </c>
      <c r="AF191" s="6" t="s">
        <v>123</v>
      </c>
      <c r="AG191" s="6" t="s">
        <v>123</v>
      </c>
      <c r="AH191" s="6" t="s">
        <v>123</v>
      </c>
      <c r="AI191" s="6" t="s">
        <v>123</v>
      </c>
      <c r="AJ191" s="8"/>
      <c r="AK191" s="8"/>
      <c r="AL191" s="8"/>
      <c r="AM191" s="8"/>
      <c r="AN191" s="8"/>
      <c r="AO191" s="8"/>
      <c r="AP191" s="9" t="s">
        <v>1211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76.5" hidden="true" customHeight="true" outlineLevel="0" collapsed="false">
      <c r="A192" s="6" t="s">
        <v>1</v>
      </c>
      <c r="B192" s="6" t="n">
        <v>5</v>
      </c>
      <c r="C192" s="6" t="n">
        <v>171410509</v>
      </c>
      <c r="D192" s="6" t="s">
        <v>1212</v>
      </c>
      <c r="E192" s="6" t="s">
        <v>6</v>
      </c>
      <c r="F192" s="6" t="s">
        <v>1213</v>
      </c>
      <c r="G192" s="6" t="s">
        <v>123</v>
      </c>
      <c r="H192" s="6" t="s">
        <v>1214</v>
      </c>
      <c r="I192" s="6"/>
      <c r="J192" s="6" t="s">
        <v>123</v>
      </c>
      <c r="K192" s="6" t="s">
        <v>127</v>
      </c>
      <c r="L192" s="6" t="s">
        <v>1215</v>
      </c>
      <c r="M192" s="6" t="n">
        <v>2157</v>
      </c>
      <c r="N192" s="7" t="n">
        <v>0.0318</v>
      </c>
      <c r="O192" s="6" t="s">
        <v>129</v>
      </c>
      <c r="P192" s="6" t="s">
        <v>123</v>
      </c>
      <c r="Q192" s="6" t="s">
        <v>123</v>
      </c>
      <c r="R192" s="6" t="s">
        <v>123</v>
      </c>
      <c r="S192" s="10" t="str">
        <f aca="false">HYPERLINK("https://www.ncbi.nlm.nih.gov/snp/rs34323200", "rs34323200")</f>
        <v>rs34323200</v>
      </c>
      <c r="T192" s="10" t="n">
        <f aca="false">HYPERLINK("https://gnomad.broadinstitute.org/variant/5-171410509-CTTTT-C?dataset=gnomad_r4", 0.00000707414)</f>
        <v>7.07414E-006</v>
      </c>
      <c r="U192" s="10" t="n">
        <f aca="false">HYPERLINK("https://gnomad.broadinstitute.org/variant/5-171410509-CTTTT-C?dataset=gnomad_r4", 0.0000101033)</f>
        <v>1.01033E-005</v>
      </c>
      <c r="V192" s="6" t="n">
        <v>0.01</v>
      </c>
      <c r="W192" s="6" t="n">
        <v>0.01</v>
      </c>
      <c r="X192" s="6" t="n">
        <v>0</v>
      </c>
      <c r="Y192" s="6" t="n">
        <v>0</v>
      </c>
      <c r="Z192" s="6" t="n">
        <v>-24</v>
      </c>
      <c r="AA192" s="6" t="n">
        <v>18</v>
      </c>
      <c r="AB192" s="6" t="n">
        <v>28</v>
      </c>
      <c r="AC192" s="6" t="n">
        <v>37</v>
      </c>
      <c r="AD192" s="6" t="n">
        <v>12.18</v>
      </c>
      <c r="AE192" s="6" t="s">
        <v>124</v>
      </c>
      <c r="AF192" s="6" t="s">
        <v>123</v>
      </c>
      <c r="AG192" s="6" t="s">
        <v>123</v>
      </c>
      <c r="AH192" s="6" t="s">
        <v>123</v>
      </c>
      <c r="AI192" s="6" t="s">
        <v>123</v>
      </c>
      <c r="AJ192" s="8"/>
      <c r="AK192" s="8"/>
      <c r="AL192" s="8"/>
      <c r="AM192" s="8"/>
      <c r="AN192" s="8"/>
      <c r="AO192" s="8"/>
      <c r="AP192" s="9" t="s">
        <v>1216</v>
      </c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76.5" hidden="true" customHeight="true" outlineLevel="0" collapsed="false">
      <c r="A193" s="6" t="s">
        <v>1</v>
      </c>
      <c r="B193" s="6" t="n">
        <v>5</v>
      </c>
      <c r="C193" s="6" t="n">
        <v>171391286</v>
      </c>
      <c r="D193" s="6" t="s">
        <v>1212</v>
      </c>
      <c r="E193" s="6" t="s">
        <v>6</v>
      </c>
      <c r="F193" s="6" t="s">
        <v>1213</v>
      </c>
      <c r="G193" s="6" t="s">
        <v>123</v>
      </c>
      <c r="H193" s="6" t="s">
        <v>1217</v>
      </c>
      <c r="I193" s="6"/>
      <c r="J193" s="6" t="s">
        <v>123</v>
      </c>
      <c r="K193" s="6" t="s">
        <v>141</v>
      </c>
      <c r="L193" s="6" t="s">
        <v>1218</v>
      </c>
      <c r="M193" s="6" t="n">
        <v>2381</v>
      </c>
      <c r="N193" s="7" t="n">
        <v>0.332</v>
      </c>
      <c r="O193" s="6" t="s">
        <v>129</v>
      </c>
      <c r="P193" s="6" t="s">
        <v>123</v>
      </c>
      <c r="Q193" s="6" t="s">
        <v>123</v>
      </c>
      <c r="R193" s="6" t="s">
        <v>123</v>
      </c>
      <c r="S193" s="10" t="str">
        <f aca="false">HYPERLINK("https://www.ncbi.nlm.nih.gov/snp/rs752582321", "rs752582321")</f>
        <v>rs752582321</v>
      </c>
      <c r="T193" s="10" t="n">
        <f aca="false">HYPERLINK("https://gnomad.broadinstitute.org/variant/5-171391286-ATT-A?dataset=gnomad_r4", 0.00000667619)</f>
        <v>6.67619E-006</v>
      </c>
      <c r="U193" s="10" t="n">
        <f aca="false">HYPERLINK("https://gnomad.broadinstitute.org/variant/5-171391286-ATT-A?dataset=gnomad_r4", 0.00000400155)</f>
        <v>4.00155E-006</v>
      </c>
      <c r="V193" s="6" t="n">
        <v>0.02</v>
      </c>
      <c r="W193" s="6" t="n">
        <v>0</v>
      </c>
      <c r="X193" s="6" t="n">
        <v>0</v>
      </c>
      <c r="Y193" s="6" t="n">
        <v>0</v>
      </c>
      <c r="Z193" s="6" t="n">
        <v>-1</v>
      </c>
      <c r="AA193" s="6" t="n">
        <v>12</v>
      </c>
      <c r="AB193" s="6" t="n">
        <v>18</v>
      </c>
      <c r="AC193" s="6" t="n">
        <v>34</v>
      </c>
      <c r="AD193" s="6" t="n">
        <v>6.149</v>
      </c>
      <c r="AE193" s="6" t="s">
        <v>124</v>
      </c>
      <c r="AF193" s="6" t="s">
        <v>123</v>
      </c>
      <c r="AG193" s="6" t="s">
        <v>123</v>
      </c>
      <c r="AH193" s="6" t="s">
        <v>123</v>
      </c>
      <c r="AI193" s="6" t="s">
        <v>123</v>
      </c>
      <c r="AJ193" s="8"/>
      <c r="AK193" s="8"/>
      <c r="AL193" s="8"/>
      <c r="AM193" s="8"/>
      <c r="AN193" s="8"/>
      <c r="AO193" s="8"/>
      <c r="AP193" s="9" t="s">
        <v>1219</v>
      </c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76.5" hidden="true" customHeight="true" outlineLevel="0" collapsed="false">
      <c r="A194" s="6" t="s">
        <v>1</v>
      </c>
      <c r="B194" s="6" t="n">
        <v>5</v>
      </c>
      <c r="C194" s="6" t="n">
        <v>171410509</v>
      </c>
      <c r="D194" s="6" t="s">
        <v>1212</v>
      </c>
      <c r="E194" s="6" t="s">
        <v>6</v>
      </c>
      <c r="F194" s="6" t="s">
        <v>1213</v>
      </c>
      <c r="G194" s="6" t="s">
        <v>123</v>
      </c>
      <c r="H194" s="6" t="s">
        <v>1220</v>
      </c>
      <c r="I194" s="6"/>
      <c r="J194" s="6" t="s">
        <v>123</v>
      </c>
      <c r="K194" s="6" t="s">
        <v>127</v>
      </c>
      <c r="L194" s="6" t="s">
        <v>1221</v>
      </c>
      <c r="M194" s="6" t="n">
        <v>2157</v>
      </c>
      <c r="N194" s="7" t="n">
        <v>0.506</v>
      </c>
      <c r="O194" s="6" t="s">
        <v>129</v>
      </c>
      <c r="P194" s="10" t="n">
        <f aca="false">HYPERLINK("https://www.ncbi.nlm.nih.gov/clinvar/variation/4289146", 4289146)</f>
        <v>4289146</v>
      </c>
      <c r="Q194" s="6" t="s">
        <v>123</v>
      </c>
      <c r="R194" s="6" t="s">
        <v>123</v>
      </c>
      <c r="S194" s="10" t="str">
        <f aca="false">HYPERLINK("https://www.ncbi.nlm.nih.gov/snp/rs34323200", "rs34323200")</f>
        <v>rs34323200</v>
      </c>
      <c r="T194" s="10" t="n">
        <f aca="false">HYPERLINK("https://gnomad.broadinstitute.org/variant/5-171410509-CTTT-C?dataset=gnomad_r4", 0.000155583)</f>
        <v>0.000155583</v>
      </c>
      <c r="U194" s="10" t="n">
        <f aca="false">HYPERLINK("https://gnomad.broadinstitute.org/variant/5-171410509-CTTT-C?dataset=gnomad_r4", 0.000274135)</f>
        <v>0.000274135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-24</v>
      </c>
      <c r="AA194" s="6" t="n">
        <v>18</v>
      </c>
      <c r="AB194" s="6" t="n">
        <v>27</v>
      </c>
      <c r="AC194" s="6" t="n">
        <v>39</v>
      </c>
      <c r="AD194" s="6" t="n">
        <v>11.6</v>
      </c>
      <c r="AE194" s="6" t="s">
        <v>124</v>
      </c>
      <c r="AF194" s="6" t="s">
        <v>123</v>
      </c>
      <c r="AG194" s="6" t="s">
        <v>123</v>
      </c>
      <c r="AH194" s="6" t="s">
        <v>123</v>
      </c>
      <c r="AI194" s="6" t="s">
        <v>123</v>
      </c>
      <c r="AJ194" s="8"/>
      <c r="AK194" s="8"/>
      <c r="AL194" s="8"/>
      <c r="AM194" s="8"/>
      <c r="AN194" s="8"/>
      <c r="AO194" s="8"/>
      <c r="AP194" s="9" t="s">
        <v>1222</v>
      </c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76.5" hidden="true" customHeight="true" outlineLevel="0" collapsed="false">
      <c r="A195" s="6" t="s">
        <v>1</v>
      </c>
      <c r="B195" s="6" t="n">
        <v>1</v>
      </c>
      <c r="C195" s="6" t="n">
        <v>114713909</v>
      </c>
      <c r="D195" s="6" t="s">
        <v>1223</v>
      </c>
      <c r="E195" s="6" t="s">
        <v>979</v>
      </c>
      <c r="F195" s="6" t="s">
        <v>1224</v>
      </c>
      <c r="G195" s="6" t="s">
        <v>1225</v>
      </c>
      <c r="H195" s="6" t="s">
        <v>1226</v>
      </c>
      <c r="I195" s="6" t="s">
        <v>1227</v>
      </c>
      <c r="J195" s="6" t="s">
        <v>1228</v>
      </c>
      <c r="K195" s="6" t="s">
        <v>120</v>
      </c>
      <c r="L195" s="6" t="s">
        <v>1229</v>
      </c>
      <c r="M195" s="6" t="n">
        <v>2754</v>
      </c>
      <c r="N195" s="7" t="n">
        <v>0.131</v>
      </c>
      <c r="O195" s="6" t="s">
        <v>122</v>
      </c>
      <c r="P195" s="10" t="n">
        <f aca="false">HYPERLINK("https://www.ncbi.nlm.nih.gov/clinvar/variation/73058", 73058)</f>
        <v>73058</v>
      </c>
      <c r="Q195" s="6" t="s">
        <v>409</v>
      </c>
      <c r="R195" s="6" t="s">
        <v>1230</v>
      </c>
      <c r="S195" s="10" t="str">
        <f aca="false">HYPERLINK("https://www.ncbi.nlm.nih.gov/snp/rs121913254", "rs121913254")</f>
        <v>rs121913254</v>
      </c>
      <c r="T195" s="6" t="s">
        <v>123</v>
      </c>
      <c r="U195" s="10" t="n">
        <f aca="false">HYPERLINK("https://gnomad.broadinstitute.org/variant/1-114713909-G-T?dataset=gnomad_r4", 0.000000684863)</f>
        <v>6.84863E-007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12</v>
      </c>
      <c r="AA195" s="6" t="n">
        <v>41</v>
      </c>
      <c r="AB195" s="6" t="n">
        <v>5</v>
      </c>
      <c r="AC195" s="6" t="n">
        <v>-7</v>
      </c>
      <c r="AD195" s="6" t="n">
        <v>26.4</v>
      </c>
      <c r="AE195" s="6" t="s">
        <v>1033</v>
      </c>
      <c r="AF195" s="6" t="s">
        <v>225</v>
      </c>
      <c r="AG195" s="6" t="s">
        <v>1231</v>
      </c>
      <c r="AH195" s="6" t="s">
        <v>1232</v>
      </c>
      <c r="AI195" s="6" t="s">
        <v>1106</v>
      </c>
      <c r="AJ195" s="8"/>
      <c r="AK195" s="8"/>
      <c r="AL195" s="8"/>
      <c r="AM195" s="8"/>
      <c r="AN195" s="8"/>
      <c r="AO195" s="8"/>
      <c r="AP195" s="9" t="s">
        <v>1233</v>
      </c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63.75" hidden="true" customHeight="true" outlineLevel="0" collapsed="false">
      <c r="A196" s="6" t="s">
        <v>1</v>
      </c>
      <c r="B196" s="6" t="n">
        <v>1</v>
      </c>
      <c r="C196" s="6" t="n">
        <v>156876515</v>
      </c>
      <c r="D196" s="6" t="s">
        <v>1234</v>
      </c>
      <c r="E196" s="6" t="s">
        <v>6</v>
      </c>
      <c r="F196" s="6" t="s">
        <v>1235</v>
      </c>
      <c r="G196" s="6" t="s">
        <v>1236</v>
      </c>
      <c r="H196" s="6" t="s">
        <v>1237</v>
      </c>
      <c r="I196" s="6" t="s">
        <v>1238</v>
      </c>
      <c r="J196" s="6" t="s">
        <v>1239</v>
      </c>
      <c r="K196" s="6" t="s">
        <v>153</v>
      </c>
      <c r="L196" s="6" t="s">
        <v>1240</v>
      </c>
      <c r="M196" s="6" t="n">
        <v>4222</v>
      </c>
      <c r="N196" s="7" t="n">
        <v>0.324</v>
      </c>
      <c r="O196" s="6" t="s">
        <v>122</v>
      </c>
      <c r="P196" s="6" t="s">
        <v>123</v>
      </c>
      <c r="Q196" s="6" t="s">
        <v>123</v>
      </c>
      <c r="R196" s="6" t="s">
        <v>123</v>
      </c>
      <c r="S196" s="6" t="s">
        <v>123</v>
      </c>
      <c r="T196" s="6" t="s">
        <v>123</v>
      </c>
      <c r="U196" s="10" t="n">
        <f aca="false">HYPERLINK("https://gnomad.broadinstitute.org/variant/1-156876515-GC-G?dataset=gnomad_r4", 0.000000684362)</f>
        <v>6.84362E-007</v>
      </c>
      <c r="V196" s="6" t="n">
        <v>0</v>
      </c>
      <c r="W196" s="6" t="n">
        <v>0</v>
      </c>
      <c r="X196" s="6" t="n">
        <v>0.05</v>
      </c>
      <c r="Y196" s="6" t="n">
        <v>0</v>
      </c>
      <c r="Z196" s="6" t="n">
        <v>-37</v>
      </c>
      <c r="AA196" s="6" t="n">
        <v>-43</v>
      </c>
      <c r="AB196" s="6" t="n">
        <v>21</v>
      </c>
      <c r="AC196" s="6" t="n">
        <v>-17</v>
      </c>
      <c r="AD196" s="6" t="s">
        <v>123</v>
      </c>
      <c r="AE196" s="6" t="s">
        <v>124</v>
      </c>
      <c r="AF196" s="6" t="s">
        <v>123</v>
      </c>
      <c r="AG196" s="6" t="s">
        <v>123</v>
      </c>
      <c r="AH196" s="6" t="s">
        <v>123</v>
      </c>
      <c r="AI196" s="6" t="s">
        <v>123</v>
      </c>
      <c r="AJ196" s="8"/>
      <c r="AK196" s="8"/>
      <c r="AL196" s="8"/>
      <c r="AM196" s="8"/>
      <c r="AN196" s="8"/>
      <c r="AO196" s="8"/>
      <c r="AP196" s="9" t="s">
        <v>1241</v>
      </c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63.75" hidden="true" customHeight="true" outlineLevel="0" collapsed="false">
      <c r="A197" s="6" t="s">
        <v>1</v>
      </c>
      <c r="B197" s="6" t="s">
        <v>145</v>
      </c>
      <c r="C197" s="6" t="n">
        <v>15325970</v>
      </c>
      <c r="D197" s="6" t="s">
        <v>1242</v>
      </c>
      <c r="E197" s="6" t="s">
        <v>6</v>
      </c>
      <c r="F197" s="6" t="s">
        <v>1243</v>
      </c>
      <c r="G197" s="6" t="s">
        <v>766</v>
      </c>
      <c r="H197" s="6" t="s">
        <v>1244</v>
      </c>
      <c r="I197" s="6" t="s">
        <v>1245</v>
      </c>
      <c r="J197" s="6" t="s">
        <v>1246</v>
      </c>
      <c r="K197" s="6" t="s">
        <v>120</v>
      </c>
      <c r="L197" s="6" t="s">
        <v>1247</v>
      </c>
      <c r="M197" s="6" t="n">
        <v>2273</v>
      </c>
      <c r="N197" s="7" t="n">
        <v>0.197</v>
      </c>
      <c r="O197" s="6" t="s">
        <v>122</v>
      </c>
      <c r="P197" s="6" t="s">
        <v>123</v>
      </c>
      <c r="Q197" s="6" t="s">
        <v>123</v>
      </c>
      <c r="R197" s="6" t="s">
        <v>123</v>
      </c>
      <c r="S197" s="6" t="s">
        <v>123</v>
      </c>
      <c r="T197" s="6" t="s">
        <v>123</v>
      </c>
      <c r="U197" s="6" t="s">
        <v>123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1</v>
      </c>
      <c r="AA197" s="6" t="n">
        <v>-1</v>
      </c>
      <c r="AB197" s="6" t="n">
        <v>2</v>
      </c>
      <c r="AC197" s="6" t="n">
        <v>34</v>
      </c>
      <c r="AD197" s="6" t="n">
        <v>17.6</v>
      </c>
      <c r="AE197" s="6" t="s">
        <v>124</v>
      </c>
      <c r="AF197" s="6" t="s">
        <v>123</v>
      </c>
      <c r="AG197" s="6" t="s">
        <v>123</v>
      </c>
      <c r="AH197" s="6" t="s">
        <v>123</v>
      </c>
      <c r="AI197" s="6" t="s">
        <v>123</v>
      </c>
      <c r="AJ197" s="8"/>
      <c r="AK197" s="8"/>
      <c r="AL197" s="8"/>
      <c r="AM197" s="8"/>
      <c r="AN197" s="8"/>
      <c r="AO197" s="8"/>
      <c r="AP197" s="9" t="s">
        <v>1248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76.5" hidden="true" customHeight="true" outlineLevel="0" collapsed="false">
      <c r="A198" s="6" t="s">
        <v>1</v>
      </c>
      <c r="B198" s="6" t="n">
        <v>3</v>
      </c>
      <c r="C198" s="6" t="n">
        <v>179234297</v>
      </c>
      <c r="D198" s="6" t="s">
        <v>1249</v>
      </c>
      <c r="E198" s="6" t="s">
        <v>147</v>
      </c>
      <c r="F198" s="6" t="s">
        <v>1250</v>
      </c>
      <c r="G198" s="6" t="s">
        <v>1251</v>
      </c>
      <c r="H198" s="6" t="s">
        <v>1252</v>
      </c>
      <c r="I198" s="6" t="s">
        <v>1253</v>
      </c>
      <c r="J198" s="6" t="s">
        <v>1254</v>
      </c>
      <c r="K198" s="6" t="s">
        <v>120</v>
      </c>
      <c r="L198" s="6" t="s">
        <v>1255</v>
      </c>
      <c r="M198" s="6" t="n">
        <v>3266</v>
      </c>
      <c r="N198" s="7" t="n">
        <v>0.17</v>
      </c>
      <c r="O198" s="6" t="s">
        <v>122</v>
      </c>
      <c r="P198" s="10" t="n">
        <f aca="false">HYPERLINK("https://www.ncbi.nlm.nih.gov/clinvar/variation/13652", 13652)</f>
        <v>13652</v>
      </c>
      <c r="Q198" s="6" t="s">
        <v>165</v>
      </c>
      <c r="R198" s="6" t="s">
        <v>1256</v>
      </c>
      <c r="S198" s="10" t="str">
        <f aca="false">HYPERLINK("https://www.ncbi.nlm.nih.gov/snp/rs121913279", "rs121913279")</f>
        <v>rs121913279</v>
      </c>
      <c r="T198" s="6" t="s">
        <v>123</v>
      </c>
      <c r="U198" s="6" t="s">
        <v>123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2</v>
      </c>
      <c r="AB198" s="6" t="n">
        <v>-5</v>
      </c>
      <c r="AC198" s="6" t="n">
        <v>5</v>
      </c>
      <c r="AD198" s="6" t="n">
        <v>22.5</v>
      </c>
      <c r="AE198" s="6" t="s">
        <v>124</v>
      </c>
      <c r="AF198" s="6" t="s">
        <v>123</v>
      </c>
      <c r="AG198" s="6" t="s">
        <v>123</v>
      </c>
      <c r="AH198" s="6" t="s">
        <v>123</v>
      </c>
      <c r="AI198" s="6" t="s">
        <v>123</v>
      </c>
      <c r="AJ198" s="8"/>
      <c r="AK198" s="8"/>
      <c r="AL198" s="8"/>
      <c r="AM198" s="8"/>
      <c r="AN198" s="8"/>
      <c r="AO198" s="8"/>
      <c r="AP198" s="9" t="s">
        <v>1257</v>
      </c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76.5" hidden="true" customHeight="true" outlineLevel="0" collapsed="false">
      <c r="A199" s="6" t="s">
        <v>1</v>
      </c>
      <c r="B199" s="6" t="n">
        <v>3</v>
      </c>
      <c r="C199" s="6" t="n">
        <v>179230077</v>
      </c>
      <c r="D199" s="6" t="s">
        <v>1249</v>
      </c>
      <c r="E199" s="6" t="s">
        <v>147</v>
      </c>
      <c r="F199" s="6" t="s">
        <v>1250</v>
      </c>
      <c r="G199" s="6" t="s">
        <v>1258</v>
      </c>
      <c r="H199" s="6" t="s">
        <v>1259</v>
      </c>
      <c r="I199" s="6" t="s">
        <v>1260</v>
      </c>
      <c r="J199" s="6" t="s">
        <v>1261</v>
      </c>
      <c r="K199" s="6" t="s">
        <v>120</v>
      </c>
      <c r="L199" s="6" t="s">
        <v>1262</v>
      </c>
      <c r="M199" s="6" t="n">
        <v>3469</v>
      </c>
      <c r="N199" s="7" t="n">
        <v>0.314</v>
      </c>
      <c r="O199" s="6" t="s">
        <v>122</v>
      </c>
      <c r="P199" s="10" t="n">
        <f aca="false">HYPERLINK("https://www.ncbi.nlm.nih.gov/clinvar/variation/39703", 39703)</f>
        <v>39703</v>
      </c>
      <c r="Q199" s="6" t="s">
        <v>165</v>
      </c>
      <c r="R199" s="6" t="s">
        <v>1263</v>
      </c>
      <c r="S199" s="10" t="str">
        <f aca="false">HYPERLINK("https://www.ncbi.nlm.nih.gov/snp/rs587776932", "rs587776932")</f>
        <v>rs587776932</v>
      </c>
      <c r="T199" s="6" t="s">
        <v>123</v>
      </c>
      <c r="U199" s="6" t="s">
        <v>123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2</v>
      </c>
      <c r="AA199" s="6" t="n">
        <v>-20</v>
      </c>
      <c r="AB199" s="6" t="n">
        <v>2</v>
      </c>
      <c r="AC199" s="6" t="n">
        <v>50</v>
      </c>
      <c r="AD199" s="6" t="n">
        <v>32</v>
      </c>
      <c r="AE199" s="6" t="s">
        <v>124</v>
      </c>
      <c r="AF199" s="6" t="s">
        <v>123</v>
      </c>
      <c r="AG199" s="6" t="s">
        <v>123</v>
      </c>
      <c r="AH199" s="6" t="s">
        <v>123</v>
      </c>
      <c r="AI199" s="6" t="s">
        <v>123</v>
      </c>
      <c r="AJ199" s="8"/>
      <c r="AK199" s="8"/>
      <c r="AL199" s="8"/>
      <c r="AM199" s="8"/>
      <c r="AN199" s="8"/>
      <c r="AO199" s="8"/>
      <c r="AP199" s="9" t="s">
        <v>1264</v>
      </c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76.5" hidden="true" customHeight="true" outlineLevel="0" collapsed="false">
      <c r="A200" s="6" t="s">
        <v>1</v>
      </c>
      <c r="B200" s="6" t="n">
        <v>3</v>
      </c>
      <c r="C200" s="6" t="n">
        <v>179224065</v>
      </c>
      <c r="D200" s="6" t="s">
        <v>1249</v>
      </c>
      <c r="E200" s="6" t="s">
        <v>147</v>
      </c>
      <c r="F200" s="6" t="s">
        <v>1250</v>
      </c>
      <c r="G200" s="6" t="s">
        <v>123</v>
      </c>
      <c r="H200" s="6" t="s">
        <v>1265</v>
      </c>
      <c r="I200" s="6"/>
      <c r="J200" s="6" t="s">
        <v>123</v>
      </c>
      <c r="K200" s="6" t="s">
        <v>127</v>
      </c>
      <c r="L200" s="6" t="s">
        <v>1266</v>
      </c>
      <c r="M200" s="6" t="n">
        <v>2647</v>
      </c>
      <c r="N200" s="7" t="n">
        <v>0.183</v>
      </c>
      <c r="O200" s="6" t="s">
        <v>129</v>
      </c>
      <c r="P200" s="10" t="n">
        <f aca="false">HYPERLINK("https://www.ncbi.nlm.nih.gov/clinvar/variation/4288050", 4288050)</f>
        <v>4288050</v>
      </c>
      <c r="Q200" s="6" t="s">
        <v>123</v>
      </c>
      <c r="R200" s="6" t="s">
        <v>123</v>
      </c>
      <c r="S200" s="10" t="str">
        <f aca="false">HYPERLINK("https://www.ncbi.nlm.nih.gov/snp/rs35213509", "rs35213509")</f>
        <v>rs35213509</v>
      </c>
      <c r="T200" s="6" t="s">
        <v>123</v>
      </c>
      <c r="U200" s="10" t="n">
        <f aca="false">HYPERLINK("https://gnomad.broadinstitute.org/variant/3-179224065-CT-C?dataset=gnomad_r4", 0.000635493)</f>
        <v>0.000635493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-18</v>
      </c>
      <c r="AA200" s="6" t="n">
        <v>22</v>
      </c>
      <c r="AB200" s="6" t="n">
        <v>15</v>
      </c>
      <c r="AC200" s="6" t="n">
        <v>-45</v>
      </c>
      <c r="AD200" s="6" t="n">
        <v>0.799</v>
      </c>
      <c r="AE200" s="6" t="s">
        <v>124</v>
      </c>
      <c r="AF200" s="6" t="s">
        <v>123</v>
      </c>
      <c r="AG200" s="6" t="s">
        <v>123</v>
      </c>
      <c r="AH200" s="6" t="s">
        <v>123</v>
      </c>
      <c r="AI200" s="6" t="s">
        <v>123</v>
      </c>
      <c r="AJ200" s="8"/>
      <c r="AK200" s="8"/>
      <c r="AL200" s="8"/>
      <c r="AM200" s="8"/>
      <c r="AN200" s="8"/>
      <c r="AO200" s="8"/>
      <c r="AP200" s="9" t="s">
        <v>1267</v>
      </c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76.5" hidden="true" customHeight="true" outlineLevel="0" collapsed="false">
      <c r="A201" s="6" t="s">
        <v>1</v>
      </c>
      <c r="B201" s="6" t="n">
        <v>3</v>
      </c>
      <c r="C201" s="6" t="n">
        <v>179218303</v>
      </c>
      <c r="D201" s="6" t="s">
        <v>1249</v>
      </c>
      <c r="E201" s="6" t="s">
        <v>147</v>
      </c>
      <c r="F201" s="6" t="s">
        <v>1250</v>
      </c>
      <c r="G201" s="6" t="s">
        <v>1268</v>
      </c>
      <c r="H201" s="6" t="s">
        <v>1269</v>
      </c>
      <c r="I201" s="6" t="s">
        <v>1270</v>
      </c>
      <c r="J201" s="6" t="s">
        <v>1271</v>
      </c>
      <c r="K201" s="6" t="s">
        <v>120</v>
      </c>
      <c r="L201" s="6" t="s">
        <v>1272</v>
      </c>
      <c r="M201" s="6" t="n">
        <v>2970</v>
      </c>
      <c r="N201" s="7" t="n">
        <v>0.0749</v>
      </c>
      <c r="O201" s="6" t="s">
        <v>122</v>
      </c>
      <c r="P201" s="10" t="n">
        <f aca="false">HYPERLINK("https://www.ncbi.nlm.nih.gov/clinvar/variation/13655", 13655)</f>
        <v>13655</v>
      </c>
      <c r="Q201" s="6" t="s">
        <v>222</v>
      </c>
      <c r="R201" s="6" t="s">
        <v>1273</v>
      </c>
      <c r="S201" s="10" t="str">
        <f aca="false">HYPERLINK("https://www.ncbi.nlm.nih.gov/snp/rs104886003", "rs104886003")</f>
        <v>rs104886003</v>
      </c>
      <c r="T201" s="6" t="s">
        <v>123</v>
      </c>
      <c r="U201" s="6" t="s">
        <v>123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3</v>
      </c>
      <c r="AA201" s="6" t="n">
        <v>6</v>
      </c>
      <c r="AB201" s="6" t="n">
        <v>35</v>
      </c>
      <c r="AC201" s="6" t="n">
        <v>31</v>
      </c>
      <c r="AD201" s="6" t="n">
        <v>31</v>
      </c>
      <c r="AE201" s="6" t="s">
        <v>124</v>
      </c>
      <c r="AF201" s="6" t="s">
        <v>123</v>
      </c>
      <c r="AG201" s="6" t="s">
        <v>123</v>
      </c>
      <c r="AH201" s="6" t="s">
        <v>123</v>
      </c>
      <c r="AI201" s="6" t="s">
        <v>123</v>
      </c>
      <c r="AJ201" s="8"/>
      <c r="AK201" s="8"/>
      <c r="AL201" s="8"/>
      <c r="AM201" s="8"/>
      <c r="AN201" s="8"/>
      <c r="AO201" s="8"/>
      <c r="AP201" s="9" t="s">
        <v>1274</v>
      </c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51" hidden="true" customHeight="true" outlineLevel="0" collapsed="false">
      <c r="A202" s="6" t="s">
        <v>1</v>
      </c>
      <c r="B202" s="6" t="n">
        <v>1</v>
      </c>
      <c r="C202" s="6" t="n">
        <v>9721973</v>
      </c>
      <c r="D202" s="6" t="s">
        <v>1275</v>
      </c>
      <c r="E202" s="6" t="s">
        <v>147</v>
      </c>
      <c r="F202" s="6" t="s">
        <v>1276</v>
      </c>
      <c r="G202" s="6" t="s">
        <v>123</v>
      </c>
      <c r="H202" s="6" t="s">
        <v>1277</v>
      </c>
      <c r="I202" s="6" t="s">
        <v>1278</v>
      </c>
      <c r="J202" s="6" t="s">
        <v>1279</v>
      </c>
      <c r="K202" s="6" t="s">
        <v>153</v>
      </c>
      <c r="L202" s="6" t="s">
        <v>1280</v>
      </c>
      <c r="M202" s="6" t="n">
        <v>4959</v>
      </c>
      <c r="N202" s="7" t="n">
        <v>0.0948</v>
      </c>
      <c r="O202" s="6" t="s">
        <v>122</v>
      </c>
      <c r="P202" s="6" t="s">
        <v>123</v>
      </c>
      <c r="Q202" s="6" t="s">
        <v>123</v>
      </c>
      <c r="R202" s="6" t="s">
        <v>123</v>
      </c>
      <c r="S202" s="6" t="s">
        <v>123</v>
      </c>
      <c r="T202" s="6" t="s">
        <v>123</v>
      </c>
      <c r="U202" s="6" t="s">
        <v>123</v>
      </c>
      <c r="V202" s="6" t="n">
        <v>1</v>
      </c>
      <c r="W202" s="6" t="n">
        <v>1</v>
      </c>
      <c r="X202" s="6" t="n">
        <v>0</v>
      </c>
      <c r="Y202" s="6" t="n">
        <v>0</v>
      </c>
      <c r="Z202" s="6" t="n">
        <v>3</v>
      </c>
      <c r="AA202" s="6" t="n">
        <v>2</v>
      </c>
      <c r="AB202" s="6" t="n">
        <v>9</v>
      </c>
      <c r="AC202" s="6" t="n">
        <v>12</v>
      </c>
      <c r="AD202" s="6" t="s">
        <v>123</v>
      </c>
      <c r="AE202" s="6" t="s">
        <v>124</v>
      </c>
      <c r="AF202" s="6" t="s">
        <v>123</v>
      </c>
      <c r="AG202" s="6" t="s">
        <v>123</v>
      </c>
      <c r="AH202" s="6" t="s">
        <v>123</v>
      </c>
      <c r="AI202" s="6" t="s">
        <v>123</v>
      </c>
      <c r="AJ202" s="8"/>
      <c r="AK202" s="8"/>
      <c r="AL202" s="8"/>
      <c r="AM202" s="8"/>
      <c r="AN202" s="8"/>
      <c r="AO202" s="8"/>
      <c r="AP202" s="9" t="s">
        <v>1281</v>
      </c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76.5" hidden="true" customHeight="true" outlineLevel="0" collapsed="false">
      <c r="A203" s="6" t="s">
        <v>1</v>
      </c>
      <c r="B203" s="6" t="n">
        <v>20</v>
      </c>
      <c r="C203" s="6" t="n">
        <v>41170118</v>
      </c>
      <c r="D203" s="6" t="s">
        <v>1282</v>
      </c>
      <c r="E203" s="6" t="s">
        <v>757</v>
      </c>
      <c r="F203" s="6" t="s">
        <v>1283</v>
      </c>
      <c r="G203" s="6" t="s">
        <v>1284</v>
      </c>
      <c r="H203" s="6" t="s">
        <v>1285</v>
      </c>
      <c r="I203" s="6" t="s">
        <v>1286</v>
      </c>
      <c r="J203" s="6" t="s">
        <v>1287</v>
      </c>
      <c r="K203" s="6" t="s">
        <v>120</v>
      </c>
      <c r="L203" s="6" t="s">
        <v>1288</v>
      </c>
      <c r="M203" s="6" t="n">
        <v>3563</v>
      </c>
      <c r="N203" s="7" t="n">
        <v>0.0932</v>
      </c>
      <c r="O203" s="6" t="s">
        <v>155</v>
      </c>
      <c r="P203" s="6" t="s">
        <v>123</v>
      </c>
      <c r="Q203" s="6" t="s">
        <v>123</v>
      </c>
      <c r="R203" s="6" t="s">
        <v>123</v>
      </c>
      <c r="S203" s="10" t="str">
        <f aca="false">HYPERLINK("https://www.ncbi.nlm.nih.gov/snp/rs761873798", "rs761873798")</f>
        <v>rs761873798</v>
      </c>
      <c r="T203" s="10" t="n">
        <f aca="false">HYPERLINK("https://gnomad.broadinstitute.org/variant/20-41170118-G-A?dataset=gnomad_r4", 0.00000657099)</f>
        <v>6.57099E-006</v>
      </c>
      <c r="U203" s="10" t="n">
        <f aca="false">HYPERLINK("https://gnomad.broadinstitute.org/variant/20-41170118-G-A?dataset=gnomad_r4", 0.0000184993)</f>
        <v>1.84993E-005</v>
      </c>
      <c r="V203" s="6" t="n">
        <v>0.01</v>
      </c>
      <c r="W203" s="6" t="n">
        <v>0</v>
      </c>
      <c r="X203" s="6" t="n">
        <v>0</v>
      </c>
      <c r="Y203" s="6" t="n">
        <v>0</v>
      </c>
      <c r="Z203" s="6" t="n">
        <v>43</v>
      </c>
      <c r="AA203" s="6" t="n">
        <v>-31</v>
      </c>
      <c r="AB203" s="6" t="n">
        <v>8</v>
      </c>
      <c r="AC203" s="6" t="n">
        <v>43</v>
      </c>
      <c r="AD203" s="6" t="n">
        <v>23.2</v>
      </c>
      <c r="AE203" s="6" t="s">
        <v>124</v>
      </c>
      <c r="AF203" s="6" t="s">
        <v>123</v>
      </c>
      <c r="AG203" s="6" t="s">
        <v>123</v>
      </c>
      <c r="AH203" s="6" t="s">
        <v>123</v>
      </c>
      <c r="AI203" s="6" t="s">
        <v>123</v>
      </c>
      <c r="AJ203" s="8"/>
      <c r="AK203" s="8"/>
      <c r="AL203" s="8"/>
      <c r="AM203" s="8"/>
      <c r="AN203" s="8"/>
      <c r="AO203" s="8"/>
      <c r="AP203" s="9" t="s">
        <v>1289</v>
      </c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76.5" hidden="true" customHeight="true" outlineLevel="0" collapsed="false">
      <c r="A204" s="6" t="s">
        <v>1</v>
      </c>
      <c r="B204" s="6" t="n">
        <v>16</v>
      </c>
      <c r="C204" s="6" t="n">
        <v>81921185</v>
      </c>
      <c r="D204" s="6" t="s">
        <v>1290</v>
      </c>
      <c r="E204" s="6" t="s">
        <v>1291</v>
      </c>
      <c r="F204" s="6" t="s">
        <v>1292</v>
      </c>
      <c r="G204" s="6" t="s">
        <v>123</v>
      </c>
      <c r="H204" s="6" t="s">
        <v>1293</v>
      </c>
      <c r="I204" s="6"/>
      <c r="J204" s="6" t="s">
        <v>123</v>
      </c>
      <c r="K204" s="6" t="s">
        <v>141</v>
      </c>
      <c r="L204" s="6" t="s">
        <v>1294</v>
      </c>
      <c r="M204" s="6" t="n">
        <v>2274</v>
      </c>
      <c r="N204" s="7" t="n">
        <v>0.347</v>
      </c>
      <c r="O204" s="6" t="s">
        <v>155</v>
      </c>
      <c r="P204" s="10" t="n">
        <f aca="false">HYPERLINK("https://www.ncbi.nlm.nih.gov/clinvar/variation/4416052", 4416052)</f>
        <v>4416052</v>
      </c>
      <c r="Q204" s="6" t="s">
        <v>123</v>
      </c>
      <c r="R204" s="6" t="s">
        <v>123</v>
      </c>
      <c r="S204" s="10" t="str">
        <f aca="false">HYPERLINK("https://www.ncbi.nlm.nih.gov/snp/rs762604198", "rs762604198")</f>
        <v>rs762604198</v>
      </c>
      <c r="T204" s="6" t="s">
        <v>123</v>
      </c>
      <c r="U204" s="10" t="n">
        <f aca="false">HYPERLINK("https://gnomad.broadinstitute.org/variant/16-81921185-T-G?dataset=gnomad_r4", 0.0000241383)</f>
        <v>2.41383E-005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-29</v>
      </c>
      <c r="AA204" s="6" t="n">
        <v>13</v>
      </c>
      <c r="AB204" s="6" t="n">
        <v>13</v>
      </c>
      <c r="AC204" s="6" t="n">
        <v>50</v>
      </c>
      <c r="AD204" s="6" t="n">
        <v>7.766</v>
      </c>
      <c r="AE204" s="6" t="s">
        <v>124</v>
      </c>
      <c r="AF204" s="6" t="s">
        <v>123</v>
      </c>
      <c r="AG204" s="6" t="s">
        <v>123</v>
      </c>
      <c r="AH204" s="6" t="s">
        <v>123</v>
      </c>
      <c r="AI204" s="6" t="s">
        <v>123</v>
      </c>
      <c r="AJ204" s="8"/>
      <c r="AK204" s="8"/>
      <c r="AL204" s="8"/>
      <c r="AM204" s="8"/>
      <c r="AN204" s="8"/>
      <c r="AO204" s="8"/>
      <c r="AP204" s="9" t="s">
        <v>1295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76.5" hidden="true" customHeight="true" outlineLevel="0" collapsed="false">
      <c r="A205" s="6" t="s">
        <v>1</v>
      </c>
      <c r="B205" s="6" t="n">
        <v>16</v>
      </c>
      <c r="C205" s="6" t="n">
        <v>81912724</v>
      </c>
      <c r="D205" s="6" t="s">
        <v>1290</v>
      </c>
      <c r="E205" s="6" t="s">
        <v>1291</v>
      </c>
      <c r="F205" s="6" t="s">
        <v>1292</v>
      </c>
      <c r="G205" s="6" t="s">
        <v>123</v>
      </c>
      <c r="H205" s="6" t="s">
        <v>1296</v>
      </c>
      <c r="I205" s="6"/>
      <c r="J205" s="6" t="s">
        <v>123</v>
      </c>
      <c r="K205" s="6" t="s">
        <v>127</v>
      </c>
      <c r="L205" s="6" t="s">
        <v>1297</v>
      </c>
      <c r="M205" s="6" t="n">
        <v>4094</v>
      </c>
      <c r="N205" s="7" t="n">
        <v>0.0904</v>
      </c>
      <c r="O205" s="6" t="s">
        <v>155</v>
      </c>
      <c r="P205" s="10" t="n">
        <f aca="false">HYPERLINK("https://www.ncbi.nlm.nih.gov/clinvar/variation/566001", 566001)</f>
        <v>566001</v>
      </c>
      <c r="Q205" s="6" t="s">
        <v>215</v>
      </c>
      <c r="R205" s="6" t="s">
        <v>1298</v>
      </c>
      <c r="S205" s="10" t="str">
        <f aca="false">HYPERLINK("https://www.ncbi.nlm.nih.gov/snp/rs757609061", "rs757609061")</f>
        <v>rs757609061</v>
      </c>
      <c r="T205" s="10" t="n">
        <f aca="false">HYPERLINK("https://gnomad.broadinstitute.org/variant/16-81912724-C-T?dataset=gnomad_r4", 0.0000131434)</f>
        <v>1.31434E-005</v>
      </c>
      <c r="U205" s="10" t="n">
        <f aca="false">HYPERLINK("https://gnomad.broadinstitute.org/variant/16-81912724-C-T?dataset=gnomad_r4", 0.0000111203)</f>
        <v>1.11203E-005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-42</v>
      </c>
      <c r="AA205" s="6" t="n">
        <v>-7</v>
      </c>
      <c r="AB205" s="6" t="n">
        <v>-2</v>
      </c>
      <c r="AC205" s="6" t="n">
        <v>-8</v>
      </c>
      <c r="AD205" s="6" t="n">
        <v>0.184</v>
      </c>
      <c r="AE205" s="6" t="s">
        <v>124</v>
      </c>
      <c r="AF205" s="6" t="s">
        <v>123</v>
      </c>
      <c r="AG205" s="6" t="s">
        <v>123</v>
      </c>
      <c r="AH205" s="6" t="s">
        <v>123</v>
      </c>
      <c r="AI205" s="6" t="s">
        <v>123</v>
      </c>
      <c r="AJ205" s="8"/>
      <c r="AK205" s="8"/>
      <c r="AL205" s="8"/>
      <c r="AM205" s="8"/>
      <c r="AN205" s="8"/>
      <c r="AO205" s="8"/>
      <c r="AP205" s="9" t="s">
        <v>1299</v>
      </c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76.5" hidden="true" customHeight="true" outlineLevel="0" collapsed="false">
      <c r="A206" s="6" t="s">
        <v>1</v>
      </c>
      <c r="B206" s="6" t="n">
        <v>16</v>
      </c>
      <c r="C206" s="6" t="n">
        <v>81786089</v>
      </c>
      <c r="D206" s="6" t="s">
        <v>1290</v>
      </c>
      <c r="E206" s="6" t="s">
        <v>1291</v>
      </c>
      <c r="F206" s="6" t="s">
        <v>1292</v>
      </c>
      <c r="G206" s="6" t="s">
        <v>1300</v>
      </c>
      <c r="H206" s="6" t="s">
        <v>1301</v>
      </c>
      <c r="I206" s="6" t="s">
        <v>1302</v>
      </c>
      <c r="J206" s="6" t="s">
        <v>1303</v>
      </c>
      <c r="K206" s="6" t="s">
        <v>120</v>
      </c>
      <c r="L206" s="6" t="s">
        <v>1304</v>
      </c>
      <c r="M206" s="6" t="n">
        <v>4703</v>
      </c>
      <c r="N206" s="7" t="n">
        <v>0.0617</v>
      </c>
      <c r="O206" s="6" t="s">
        <v>155</v>
      </c>
      <c r="P206" s="6" t="s">
        <v>123</v>
      </c>
      <c r="Q206" s="6" t="s">
        <v>123</v>
      </c>
      <c r="R206" s="6" t="s">
        <v>123</v>
      </c>
      <c r="S206" s="10" t="str">
        <f aca="false">HYPERLINK("https://www.ncbi.nlm.nih.gov/snp/rs770382676", "rs770382676")</f>
        <v>rs770382676</v>
      </c>
      <c r="T206" s="6" t="s">
        <v>123</v>
      </c>
      <c r="U206" s="10" t="n">
        <f aca="false">HYPERLINK("https://gnomad.broadinstitute.org/variant/16-81786089-C-T?dataset=gnomad_r4", 0.0000109448)</f>
        <v>1.09448E-005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-48</v>
      </c>
      <c r="AA206" s="6" t="n">
        <v>-4</v>
      </c>
      <c r="AB206" s="6" t="n">
        <v>-22</v>
      </c>
      <c r="AC206" s="6" t="n">
        <v>32</v>
      </c>
      <c r="AD206" s="6" t="n">
        <v>28.7</v>
      </c>
      <c r="AE206" s="6" t="s">
        <v>124</v>
      </c>
      <c r="AF206" s="6" t="s">
        <v>123</v>
      </c>
      <c r="AG206" s="6" t="s">
        <v>123</v>
      </c>
      <c r="AH206" s="6" t="s">
        <v>123</v>
      </c>
      <c r="AI206" s="6" t="s">
        <v>123</v>
      </c>
      <c r="AJ206" s="8"/>
      <c r="AK206" s="8"/>
      <c r="AL206" s="8"/>
      <c r="AM206" s="8"/>
      <c r="AN206" s="8"/>
      <c r="AO206" s="8"/>
      <c r="AP206" s="9" t="s">
        <v>1305</v>
      </c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63.75" hidden="true" customHeight="true" outlineLevel="0" collapsed="false">
      <c r="A207" s="6" t="s">
        <v>1</v>
      </c>
      <c r="B207" s="6" t="n">
        <v>16</v>
      </c>
      <c r="C207" s="6" t="n">
        <v>81786044</v>
      </c>
      <c r="D207" s="6" t="s">
        <v>1290</v>
      </c>
      <c r="E207" s="6" t="s">
        <v>1291</v>
      </c>
      <c r="F207" s="6" t="s">
        <v>1292</v>
      </c>
      <c r="G207" s="6" t="s">
        <v>1300</v>
      </c>
      <c r="H207" s="6" t="s">
        <v>1306</v>
      </c>
      <c r="I207" s="6" t="s">
        <v>1307</v>
      </c>
      <c r="J207" s="6" t="s">
        <v>1308</v>
      </c>
      <c r="K207" s="6" t="s">
        <v>153</v>
      </c>
      <c r="L207" s="6" t="s">
        <v>1309</v>
      </c>
      <c r="M207" s="6" t="n">
        <v>4519</v>
      </c>
      <c r="N207" s="7" t="n">
        <v>0.297</v>
      </c>
      <c r="O207" s="6" t="s">
        <v>155</v>
      </c>
      <c r="P207" s="6" t="s">
        <v>123</v>
      </c>
      <c r="Q207" s="6" t="s">
        <v>123</v>
      </c>
      <c r="R207" s="6" t="s">
        <v>123</v>
      </c>
      <c r="S207" s="6" t="s">
        <v>123</v>
      </c>
      <c r="T207" s="6" t="s">
        <v>123</v>
      </c>
      <c r="U207" s="6" t="s">
        <v>123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41</v>
      </c>
      <c r="AA207" s="6" t="n">
        <v>-32</v>
      </c>
      <c r="AB207" s="6" t="n">
        <v>23</v>
      </c>
      <c r="AC207" s="6" t="n">
        <v>45</v>
      </c>
      <c r="AD207" s="6" t="s">
        <v>123</v>
      </c>
      <c r="AE207" s="6" t="s">
        <v>124</v>
      </c>
      <c r="AF207" s="6" t="s">
        <v>123</v>
      </c>
      <c r="AG207" s="6" t="s">
        <v>123</v>
      </c>
      <c r="AH207" s="6" t="s">
        <v>123</v>
      </c>
      <c r="AI207" s="6" t="s">
        <v>123</v>
      </c>
      <c r="AJ207" s="8"/>
      <c r="AK207" s="8"/>
      <c r="AL207" s="8"/>
      <c r="AM207" s="8"/>
      <c r="AN207" s="8"/>
      <c r="AO207" s="8"/>
      <c r="AP207" s="9" t="s">
        <v>1310</v>
      </c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76.5" hidden="true" customHeight="true" outlineLevel="0" collapsed="false">
      <c r="A208" s="6" t="s">
        <v>1</v>
      </c>
      <c r="B208" s="6" t="n">
        <v>16</v>
      </c>
      <c r="C208" s="6" t="n">
        <v>81921183</v>
      </c>
      <c r="D208" s="6" t="s">
        <v>1290</v>
      </c>
      <c r="E208" s="6" t="s">
        <v>1291</v>
      </c>
      <c r="F208" s="6" t="s">
        <v>1292</v>
      </c>
      <c r="G208" s="6" t="s">
        <v>123</v>
      </c>
      <c r="H208" s="6" t="s">
        <v>1311</v>
      </c>
      <c r="I208" s="6"/>
      <c r="J208" s="6" t="s">
        <v>123</v>
      </c>
      <c r="K208" s="6" t="s">
        <v>141</v>
      </c>
      <c r="L208" s="6" t="s">
        <v>1312</v>
      </c>
      <c r="M208" s="6" t="n">
        <v>2251</v>
      </c>
      <c r="N208" s="7" t="n">
        <v>0.346</v>
      </c>
      <c r="O208" s="6" t="s">
        <v>179</v>
      </c>
      <c r="P208" s="6" t="s">
        <v>123</v>
      </c>
      <c r="Q208" s="6" t="s">
        <v>123</v>
      </c>
      <c r="R208" s="6" t="s">
        <v>123</v>
      </c>
      <c r="S208" s="10" t="str">
        <f aca="false">HYPERLINK("https://www.ncbi.nlm.nih.gov/snp/rs753860558", "rs753860558")</f>
        <v>rs753860558</v>
      </c>
      <c r="T208" s="6" t="s">
        <v>123</v>
      </c>
      <c r="U208" s="10" t="n">
        <f aca="false">HYPERLINK("https://gnomad.broadinstitute.org/variant/16-81921183-TC-T?dataset=gnomad_r4", 0.0000248527)</f>
        <v>2.48527E-005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15</v>
      </c>
      <c r="AA208" s="6" t="n">
        <v>20</v>
      </c>
      <c r="AB208" s="6" t="n">
        <v>22</v>
      </c>
      <c r="AC208" s="6" t="n">
        <v>21</v>
      </c>
      <c r="AD208" s="6" t="s">
        <v>123</v>
      </c>
      <c r="AE208" s="6" t="s">
        <v>124</v>
      </c>
      <c r="AF208" s="6" t="s">
        <v>123</v>
      </c>
      <c r="AG208" s="6" t="s">
        <v>123</v>
      </c>
      <c r="AH208" s="6" t="s">
        <v>123</v>
      </c>
      <c r="AI208" s="6" t="s">
        <v>123</v>
      </c>
      <c r="AJ208" s="8"/>
      <c r="AK208" s="8"/>
      <c r="AL208" s="8"/>
      <c r="AM208" s="8"/>
      <c r="AN208" s="8"/>
      <c r="AO208" s="8"/>
      <c r="AP208" s="9" t="s">
        <v>1313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76.5" hidden="true" customHeight="true" outlineLevel="0" collapsed="false">
      <c r="A209" s="6" t="s">
        <v>1</v>
      </c>
      <c r="B209" s="6" t="n">
        <v>7</v>
      </c>
      <c r="C209" s="6" t="n">
        <v>124847016</v>
      </c>
      <c r="D209" s="6" t="s">
        <v>1314</v>
      </c>
      <c r="E209" s="6" t="s">
        <v>757</v>
      </c>
      <c r="F209" s="6" t="s">
        <v>1315</v>
      </c>
      <c r="G209" s="6" t="s">
        <v>123</v>
      </c>
      <c r="H209" s="6" t="s">
        <v>1316</v>
      </c>
      <c r="I209" s="6"/>
      <c r="J209" s="6" t="s">
        <v>123</v>
      </c>
      <c r="K209" s="6" t="s">
        <v>141</v>
      </c>
      <c r="L209" s="6" t="s">
        <v>1317</v>
      </c>
      <c r="M209" s="6" t="n">
        <v>3410</v>
      </c>
      <c r="N209" s="7" t="n">
        <v>0.0878</v>
      </c>
      <c r="O209" s="6" t="s">
        <v>122</v>
      </c>
      <c r="P209" s="10" t="n">
        <f aca="false">HYPERLINK("https://www.ncbi.nlm.nih.gov/clinvar/variation/1537161", 1537161)</f>
        <v>1537161</v>
      </c>
      <c r="Q209" s="6" t="s">
        <v>215</v>
      </c>
      <c r="R209" s="6" t="s">
        <v>1318</v>
      </c>
      <c r="S209" s="10" t="str">
        <f aca="false">HYPERLINK("https://www.ncbi.nlm.nih.gov/snp/rs755201498", "rs755201498")</f>
        <v>rs755201498</v>
      </c>
      <c r="T209" s="6" t="s">
        <v>123</v>
      </c>
      <c r="U209" s="10" t="n">
        <f aca="false">HYPERLINK("https://gnomad.broadinstitute.org/variant/7-124847016-CA-C?dataset=gnomad_r4", 0.00000846293)</f>
        <v>8.46293E-006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-18</v>
      </c>
      <c r="AA209" s="6" t="n">
        <v>6</v>
      </c>
      <c r="AB209" s="6" t="n">
        <v>-36</v>
      </c>
      <c r="AC209" s="6" t="n">
        <v>-43</v>
      </c>
      <c r="AD209" s="6" t="s">
        <v>123</v>
      </c>
      <c r="AE209" s="6" t="s">
        <v>124</v>
      </c>
      <c r="AF209" s="6" t="s">
        <v>123</v>
      </c>
      <c r="AG209" s="6" t="s">
        <v>123</v>
      </c>
      <c r="AH209" s="6" t="s">
        <v>123</v>
      </c>
      <c r="AI209" s="6" t="s">
        <v>123</v>
      </c>
      <c r="AJ209" s="8"/>
      <c r="AK209" s="8"/>
      <c r="AL209" s="8"/>
      <c r="AM209" s="8"/>
      <c r="AN209" s="8"/>
      <c r="AO209" s="8"/>
      <c r="AP209" s="9" t="s">
        <v>1319</v>
      </c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63.75" hidden="true" customHeight="true" outlineLevel="0" collapsed="false">
      <c r="A210" s="6" t="s">
        <v>1</v>
      </c>
      <c r="B210" s="6" t="n">
        <v>7</v>
      </c>
      <c r="C210" s="6" t="n">
        <v>124853053</v>
      </c>
      <c r="D210" s="6" t="s">
        <v>1314</v>
      </c>
      <c r="E210" s="6" t="s">
        <v>757</v>
      </c>
      <c r="F210" s="6" t="s">
        <v>1315</v>
      </c>
      <c r="G210" s="6" t="s">
        <v>1320</v>
      </c>
      <c r="H210" s="6" t="s">
        <v>1321</v>
      </c>
      <c r="I210" s="6" t="s">
        <v>1322</v>
      </c>
      <c r="J210" s="6" t="s">
        <v>1323</v>
      </c>
      <c r="K210" s="6" t="s">
        <v>120</v>
      </c>
      <c r="L210" s="6" t="s">
        <v>1324</v>
      </c>
      <c r="M210" s="6" t="n">
        <v>3978</v>
      </c>
      <c r="N210" s="7" t="n">
        <v>0.0349</v>
      </c>
      <c r="O210" s="6" t="s">
        <v>122</v>
      </c>
      <c r="P210" s="10" t="n">
        <f aca="false">HYPERLINK("https://www.ncbi.nlm.nih.gov/clinvar/variation/1373834", 1373834)</f>
        <v>1373834</v>
      </c>
      <c r="Q210" s="6" t="s">
        <v>253</v>
      </c>
      <c r="R210" s="6" t="s">
        <v>1318</v>
      </c>
      <c r="S210" s="6" t="s">
        <v>123</v>
      </c>
      <c r="T210" s="10" t="n">
        <f aca="false">HYPERLINK("https://gnomad.broadinstitute.org/variant/7-124853053-A-G?dataset=gnomad_r4", 0.00000657022)</f>
        <v>6.57022E-006</v>
      </c>
      <c r="U210" s="6" t="s">
        <v>123</v>
      </c>
      <c r="V210" s="6" t="n">
        <v>0</v>
      </c>
      <c r="W210" s="6" t="n">
        <v>0</v>
      </c>
      <c r="X210" s="6" t="n">
        <v>0.01</v>
      </c>
      <c r="Y210" s="6" t="n">
        <v>0</v>
      </c>
      <c r="Z210" s="6" t="n">
        <v>-14</v>
      </c>
      <c r="AA210" s="6" t="n">
        <v>-15</v>
      </c>
      <c r="AB210" s="6" t="n">
        <v>-14</v>
      </c>
      <c r="AC210" s="6" t="n">
        <v>15</v>
      </c>
      <c r="AD210" s="6" t="n">
        <v>29.1</v>
      </c>
      <c r="AE210" s="6" t="s">
        <v>124</v>
      </c>
      <c r="AF210" s="6" t="s">
        <v>123</v>
      </c>
      <c r="AG210" s="6" t="s">
        <v>123</v>
      </c>
      <c r="AH210" s="6" t="s">
        <v>123</v>
      </c>
      <c r="AI210" s="6" t="s">
        <v>123</v>
      </c>
      <c r="AJ210" s="8"/>
      <c r="AK210" s="8"/>
      <c r="AL210" s="8"/>
      <c r="AM210" s="8"/>
      <c r="AN210" s="8"/>
      <c r="AO210" s="8"/>
      <c r="AP210" s="9" t="s">
        <v>1325</v>
      </c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76.5" hidden="true" customHeight="true" outlineLevel="0" collapsed="false">
      <c r="A211" s="6" t="s">
        <v>1</v>
      </c>
      <c r="B211" s="6" t="n">
        <v>7</v>
      </c>
      <c r="C211" s="6" t="n">
        <v>124858948</v>
      </c>
      <c r="D211" s="6" t="s">
        <v>1314</v>
      </c>
      <c r="E211" s="6" t="s">
        <v>757</v>
      </c>
      <c r="F211" s="6" t="s">
        <v>1315</v>
      </c>
      <c r="G211" s="6" t="s">
        <v>123</v>
      </c>
      <c r="H211" s="6" t="s">
        <v>1326</v>
      </c>
      <c r="I211" s="6"/>
      <c r="J211" s="6" t="s">
        <v>123</v>
      </c>
      <c r="K211" s="6" t="s">
        <v>127</v>
      </c>
      <c r="L211" s="6" t="s">
        <v>1327</v>
      </c>
      <c r="M211" s="6" t="n">
        <v>3313</v>
      </c>
      <c r="N211" s="7" t="n">
        <v>0.886</v>
      </c>
      <c r="O211" s="6" t="s">
        <v>122</v>
      </c>
      <c r="P211" s="10" t="n">
        <f aca="false">HYPERLINK("https://www.ncbi.nlm.nih.gov/clinvar/variation/475094", 475094)</f>
        <v>475094</v>
      </c>
      <c r="Q211" s="6" t="s">
        <v>283</v>
      </c>
      <c r="R211" s="6" t="s">
        <v>1328</v>
      </c>
      <c r="S211" s="10" t="str">
        <f aca="false">HYPERLINK("https://www.ncbi.nlm.nih.gov/snp/rs36069303", "rs36069303")</f>
        <v>rs36069303</v>
      </c>
      <c r="T211" s="6" t="s">
        <v>123</v>
      </c>
      <c r="U211" s="6" t="s">
        <v>123</v>
      </c>
      <c r="V211" s="6" t="s">
        <v>123</v>
      </c>
      <c r="W211" s="6" t="s">
        <v>123</v>
      </c>
      <c r="X211" s="6" t="s">
        <v>123</v>
      </c>
      <c r="Y211" s="6" t="s">
        <v>123</v>
      </c>
      <c r="Z211" s="6" t="s">
        <v>123</v>
      </c>
      <c r="AA211" s="6" t="s">
        <v>123</v>
      </c>
      <c r="AB211" s="6" t="s">
        <v>123</v>
      </c>
      <c r="AC211" s="6" t="s">
        <v>123</v>
      </c>
      <c r="AD211" s="6" t="s">
        <v>123</v>
      </c>
      <c r="AE211" s="6" t="s">
        <v>124</v>
      </c>
      <c r="AF211" s="6" t="s">
        <v>123</v>
      </c>
      <c r="AG211" s="6" t="s">
        <v>123</v>
      </c>
      <c r="AH211" s="6" t="s">
        <v>123</v>
      </c>
      <c r="AI211" s="6" t="s">
        <v>123</v>
      </c>
      <c r="AJ211" s="8"/>
      <c r="AK211" s="8"/>
      <c r="AL211" s="8"/>
      <c r="AM211" s="8"/>
      <c r="AN211" s="8"/>
      <c r="AO211" s="8"/>
      <c r="AP211" s="9" t="s">
        <v>1329</v>
      </c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76.5" hidden="true" customHeight="true" outlineLevel="0" collapsed="false">
      <c r="A212" s="6" t="s">
        <v>1</v>
      </c>
      <c r="B212" s="6" t="n">
        <v>17</v>
      </c>
      <c r="C212" s="6" t="n">
        <v>60663077</v>
      </c>
      <c r="D212" s="6" t="s">
        <v>1330</v>
      </c>
      <c r="E212" s="6" t="s">
        <v>6</v>
      </c>
      <c r="F212" s="6" t="s">
        <v>1331</v>
      </c>
      <c r="G212" s="6" t="s">
        <v>1332</v>
      </c>
      <c r="H212" s="6" t="s">
        <v>1333</v>
      </c>
      <c r="I212" s="6" t="s">
        <v>1334</v>
      </c>
      <c r="J212" s="6" t="s">
        <v>1335</v>
      </c>
      <c r="K212" s="6" t="s">
        <v>153</v>
      </c>
      <c r="L212" s="6" t="s">
        <v>1336</v>
      </c>
      <c r="M212" s="6" t="n">
        <v>4352</v>
      </c>
      <c r="N212" s="7" t="n">
        <v>0.0686</v>
      </c>
      <c r="O212" s="6" t="s">
        <v>122</v>
      </c>
      <c r="P212" s="6" t="s">
        <v>123</v>
      </c>
      <c r="Q212" s="6" t="s">
        <v>123</v>
      </c>
      <c r="R212" s="6" t="s">
        <v>123</v>
      </c>
      <c r="S212" s="10" t="str">
        <f aca="false">HYPERLINK("https://www.ncbi.nlm.nih.gov/snp/rs758630849", "rs758630849")</f>
        <v>rs758630849</v>
      </c>
      <c r="T212" s="6" t="s">
        <v>123</v>
      </c>
      <c r="U212" s="10" t="n">
        <f aca="false">HYPERLINK("https://gnomad.broadinstitute.org/variant/17-60663077-AT-A?dataset=gnomad_r4", 0.00000547259)</f>
        <v>5.47259E-006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-26</v>
      </c>
      <c r="AA212" s="6" t="n">
        <v>9</v>
      </c>
      <c r="AB212" s="6" t="n">
        <v>-26</v>
      </c>
      <c r="AC212" s="6" t="n">
        <v>-17</v>
      </c>
      <c r="AD212" s="6" t="s">
        <v>123</v>
      </c>
      <c r="AE212" s="6" t="s">
        <v>124</v>
      </c>
      <c r="AF212" s="6" t="s">
        <v>225</v>
      </c>
      <c r="AG212" s="6" t="s">
        <v>1337</v>
      </c>
      <c r="AH212" s="6" t="s">
        <v>1338</v>
      </c>
      <c r="AI212" s="6" t="s">
        <v>1035</v>
      </c>
      <c r="AJ212" s="8"/>
      <c r="AK212" s="8"/>
      <c r="AL212" s="8"/>
      <c r="AM212" s="8"/>
      <c r="AN212" s="8"/>
      <c r="AO212" s="8"/>
      <c r="AP212" s="9" t="s">
        <v>1339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63.75" hidden="true" customHeight="true" outlineLevel="0" collapsed="false">
      <c r="A213" s="6" t="s">
        <v>1</v>
      </c>
      <c r="B213" s="6" t="n">
        <v>17</v>
      </c>
      <c r="C213" s="6" t="n">
        <v>60647958</v>
      </c>
      <c r="D213" s="6" t="s">
        <v>1330</v>
      </c>
      <c r="E213" s="6" t="s">
        <v>6</v>
      </c>
      <c r="F213" s="6" t="s">
        <v>1331</v>
      </c>
      <c r="G213" s="6" t="s">
        <v>1340</v>
      </c>
      <c r="H213" s="6" t="s">
        <v>1341</v>
      </c>
      <c r="I213" s="6" t="s">
        <v>1342</v>
      </c>
      <c r="J213" s="6" t="s">
        <v>1343</v>
      </c>
      <c r="K213" s="6" t="s">
        <v>120</v>
      </c>
      <c r="L213" s="6" t="s">
        <v>1344</v>
      </c>
      <c r="M213" s="6" t="n">
        <v>3688</v>
      </c>
      <c r="N213" s="7" t="n">
        <v>0.0623</v>
      </c>
      <c r="O213" s="6" t="s">
        <v>122</v>
      </c>
      <c r="P213" s="6" t="s">
        <v>123</v>
      </c>
      <c r="Q213" s="6" t="s">
        <v>123</v>
      </c>
      <c r="R213" s="6" t="s">
        <v>123</v>
      </c>
      <c r="S213" s="6" t="s">
        <v>123</v>
      </c>
      <c r="T213" s="6" t="s">
        <v>123</v>
      </c>
      <c r="U213" s="6" t="s">
        <v>123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-38</v>
      </c>
      <c r="AA213" s="6" t="n">
        <v>20</v>
      </c>
      <c r="AB213" s="6" t="n">
        <v>27</v>
      </c>
      <c r="AC213" s="6" t="n">
        <v>-2</v>
      </c>
      <c r="AD213" s="6" t="n">
        <v>27</v>
      </c>
      <c r="AE213" s="6" t="s">
        <v>124</v>
      </c>
      <c r="AF213" s="6" t="s">
        <v>123</v>
      </c>
      <c r="AG213" s="6" t="s">
        <v>123</v>
      </c>
      <c r="AH213" s="6" t="s">
        <v>123</v>
      </c>
      <c r="AI213" s="6" t="s">
        <v>123</v>
      </c>
      <c r="AJ213" s="8"/>
      <c r="AK213" s="8"/>
      <c r="AL213" s="8"/>
      <c r="AM213" s="8"/>
      <c r="AN213" s="8"/>
      <c r="AO213" s="8"/>
      <c r="AP213" s="9" t="s">
        <v>1345</v>
      </c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63.75" hidden="true" customHeight="true" outlineLevel="0" collapsed="false">
      <c r="A214" s="6" t="s">
        <v>1</v>
      </c>
      <c r="B214" s="6" t="n">
        <v>17</v>
      </c>
      <c r="C214" s="6" t="n">
        <v>1651322</v>
      </c>
      <c r="D214" s="6" t="s">
        <v>1346</v>
      </c>
      <c r="E214" s="6" t="s">
        <v>6</v>
      </c>
      <c r="F214" s="6" t="s">
        <v>1347</v>
      </c>
      <c r="G214" s="6" t="s">
        <v>123</v>
      </c>
      <c r="H214" s="6" t="s">
        <v>1348</v>
      </c>
      <c r="I214" s="6"/>
      <c r="J214" s="6" t="s">
        <v>123</v>
      </c>
      <c r="K214" s="6" t="s">
        <v>141</v>
      </c>
      <c r="L214" s="6" t="s">
        <v>1349</v>
      </c>
      <c r="M214" s="6" t="n">
        <v>4372</v>
      </c>
      <c r="N214" s="7" t="n">
        <v>0.329</v>
      </c>
      <c r="O214" s="6" t="s">
        <v>122</v>
      </c>
      <c r="P214" s="6" t="s">
        <v>123</v>
      </c>
      <c r="Q214" s="6" t="s">
        <v>123</v>
      </c>
      <c r="R214" s="6" t="s">
        <v>123</v>
      </c>
      <c r="S214" s="6" t="s">
        <v>123</v>
      </c>
      <c r="T214" s="6" t="s">
        <v>123</v>
      </c>
      <c r="U214" s="6" t="s">
        <v>123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-49</v>
      </c>
      <c r="AA214" s="6" t="n">
        <v>19</v>
      </c>
      <c r="AB214" s="6" t="n">
        <v>-49</v>
      </c>
      <c r="AC214" s="6" t="n">
        <v>-23</v>
      </c>
      <c r="AD214" s="6" t="n">
        <v>6.836</v>
      </c>
      <c r="AE214" s="6" t="s">
        <v>124</v>
      </c>
      <c r="AF214" s="6" t="s">
        <v>123</v>
      </c>
      <c r="AG214" s="6" t="s">
        <v>123</v>
      </c>
      <c r="AH214" s="6" t="s">
        <v>123</v>
      </c>
      <c r="AI214" s="6" t="s">
        <v>123</v>
      </c>
      <c r="AJ214" s="8"/>
      <c r="AK214" s="8"/>
      <c r="AL214" s="8"/>
      <c r="AM214" s="8"/>
      <c r="AN214" s="8"/>
      <c r="AO214" s="8"/>
      <c r="AP214" s="9" t="s">
        <v>1350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76.5" hidden="true" customHeight="true" outlineLevel="0" collapsed="false">
      <c r="A215" s="6" t="s">
        <v>1</v>
      </c>
      <c r="B215" s="6" t="n">
        <v>10</v>
      </c>
      <c r="C215" s="6" t="n">
        <v>87960876</v>
      </c>
      <c r="D215" s="6" t="s">
        <v>1351</v>
      </c>
      <c r="E215" s="6" t="s">
        <v>1352</v>
      </c>
      <c r="F215" s="6" t="s">
        <v>1353</v>
      </c>
      <c r="G215" s="6" t="s">
        <v>123</v>
      </c>
      <c r="H215" s="6" t="s">
        <v>1354</v>
      </c>
      <c r="I215" s="6"/>
      <c r="J215" s="6" t="s">
        <v>123</v>
      </c>
      <c r="K215" s="6" t="s">
        <v>127</v>
      </c>
      <c r="L215" s="6" t="s">
        <v>1355</v>
      </c>
      <c r="M215" s="6" t="n">
        <v>1878</v>
      </c>
      <c r="N215" s="7" t="n">
        <v>0.269</v>
      </c>
      <c r="O215" s="6" t="s">
        <v>129</v>
      </c>
      <c r="P215" s="6" t="s">
        <v>123</v>
      </c>
      <c r="Q215" s="6" t="s">
        <v>123</v>
      </c>
      <c r="R215" s="6" t="s">
        <v>123</v>
      </c>
      <c r="S215" s="10" t="str">
        <f aca="false">HYPERLINK("https://www.ncbi.nlm.nih.gov/snp/rs34003473", "rs34003473")</f>
        <v>rs34003473</v>
      </c>
      <c r="T215" s="6" t="s">
        <v>123</v>
      </c>
      <c r="U215" s="10" t="n">
        <f aca="false">HYPERLINK("https://gnomad.broadinstitute.org/variant/10-87960876-CTTTTT-C?dataset=gnomad_r4", 0.000000769137)</f>
        <v>7.69137E-007</v>
      </c>
      <c r="V215" s="6" t="s">
        <v>123</v>
      </c>
      <c r="W215" s="6" t="s">
        <v>123</v>
      </c>
      <c r="X215" s="6" t="s">
        <v>123</v>
      </c>
      <c r="Y215" s="6" t="s">
        <v>123</v>
      </c>
      <c r="Z215" s="6" t="s">
        <v>123</v>
      </c>
      <c r="AA215" s="6" t="s">
        <v>123</v>
      </c>
      <c r="AB215" s="6" t="s">
        <v>123</v>
      </c>
      <c r="AC215" s="6" t="s">
        <v>123</v>
      </c>
      <c r="AD215" s="6" t="s">
        <v>123</v>
      </c>
      <c r="AE215" s="6" t="s">
        <v>124</v>
      </c>
      <c r="AF215" s="6" t="s">
        <v>123</v>
      </c>
      <c r="AG215" s="6" t="s">
        <v>123</v>
      </c>
      <c r="AH215" s="6" t="s">
        <v>123</v>
      </c>
      <c r="AI215" s="6" t="s">
        <v>123</v>
      </c>
      <c r="AJ215" s="8"/>
      <c r="AK215" s="8"/>
      <c r="AL215" s="8"/>
      <c r="AM215" s="8"/>
      <c r="AN215" s="8"/>
      <c r="AO215" s="8"/>
      <c r="AP215" s="9" t="s">
        <v>1356</v>
      </c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63.75" hidden="true" customHeight="true" outlineLevel="0" collapsed="false">
      <c r="A216" s="6" t="s">
        <v>1</v>
      </c>
      <c r="B216" s="6" t="n">
        <v>10</v>
      </c>
      <c r="C216" s="6" t="n">
        <v>87960876</v>
      </c>
      <c r="D216" s="6" t="s">
        <v>1351</v>
      </c>
      <c r="E216" s="6" t="s">
        <v>1352</v>
      </c>
      <c r="F216" s="6" t="s">
        <v>1353</v>
      </c>
      <c r="G216" s="6" t="s">
        <v>123</v>
      </c>
      <c r="H216" s="6" t="s">
        <v>1357</v>
      </c>
      <c r="I216" s="6"/>
      <c r="J216" s="6" t="s">
        <v>123</v>
      </c>
      <c r="K216" s="6" t="s">
        <v>127</v>
      </c>
      <c r="L216" s="6" t="s">
        <v>1358</v>
      </c>
      <c r="M216" s="6" t="n">
        <v>1878</v>
      </c>
      <c r="N216" s="7" t="n">
        <v>0.134</v>
      </c>
      <c r="O216" s="6" t="s">
        <v>129</v>
      </c>
      <c r="P216" s="10" t="n">
        <f aca="false">HYPERLINK("https://www.ncbi.nlm.nih.gov/clinvar/variation/4146992", 4146992)</f>
        <v>4146992</v>
      </c>
      <c r="Q216" s="6" t="s">
        <v>215</v>
      </c>
      <c r="R216" s="6" t="s">
        <v>254</v>
      </c>
      <c r="S216" s="6" t="s">
        <v>123</v>
      </c>
      <c r="T216" s="10" t="n">
        <f aca="false">HYPERLINK("https://gnomad.broadinstitute.org/variant/10-87960876-CTTTT-C?dataset=gnomad_r4", 0.00000799207)</f>
        <v>7.99207E-006</v>
      </c>
      <c r="U216" s="10" t="n">
        <f aca="false">HYPERLINK("https://gnomad.broadinstitute.org/variant/10-87960876-CTTTT-C?dataset=gnomad_r4", 0.0000146168)</f>
        <v>1.46168E-005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18</v>
      </c>
      <c r="AA216" s="6" t="n">
        <v>47</v>
      </c>
      <c r="AB216" s="6" t="n">
        <v>42</v>
      </c>
      <c r="AC216" s="6" t="n">
        <v>38</v>
      </c>
      <c r="AD216" s="6" t="n">
        <v>2.292</v>
      </c>
      <c r="AE216" s="6" t="s">
        <v>124</v>
      </c>
      <c r="AF216" s="6" t="s">
        <v>123</v>
      </c>
      <c r="AG216" s="6" t="s">
        <v>123</v>
      </c>
      <c r="AH216" s="6" t="s">
        <v>123</v>
      </c>
      <c r="AI216" s="6" t="s">
        <v>123</v>
      </c>
      <c r="AJ216" s="8"/>
      <c r="AK216" s="8"/>
      <c r="AL216" s="8"/>
      <c r="AM216" s="8"/>
      <c r="AN216" s="8"/>
      <c r="AO216" s="8"/>
      <c r="AP216" s="9" t="s">
        <v>1359</v>
      </c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63.75" hidden="true" customHeight="true" outlineLevel="0" collapsed="false">
      <c r="A217" s="6" t="s">
        <v>1</v>
      </c>
      <c r="B217" s="6" t="n">
        <v>10</v>
      </c>
      <c r="C217" s="6" t="n">
        <v>87960883</v>
      </c>
      <c r="D217" s="6" t="s">
        <v>1351</v>
      </c>
      <c r="E217" s="6" t="s">
        <v>1352</v>
      </c>
      <c r="F217" s="6" t="s">
        <v>1353</v>
      </c>
      <c r="G217" s="6" t="s">
        <v>123</v>
      </c>
      <c r="H217" s="6" t="s">
        <v>1360</v>
      </c>
      <c r="I217" s="6"/>
      <c r="J217" s="6" t="s">
        <v>123</v>
      </c>
      <c r="K217" s="6" t="s">
        <v>141</v>
      </c>
      <c r="L217" s="6" t="s">
        <v>1361</v>
      </c>
      <c r="M217" s="6" t="n">
        <v>1850</v>
      </c>
      <c r="N217" s="7" t="n">
        <v>0.067</v>
      </c>
      <c r="O217" s="6" t="s">
        <v>122</v>
      </c>
      <c r="P217" s="10" t="n">
        <f aca="false">HYPERLINK("https://www.ncbi.nlm.nih.gov/clinvar/variation/3904229", 3904229)</f>
        <v>3904229</v>
      </c>
      <c r="Q217" s="6" t="s">
        <v>215</v>
      </c>
      <c r="R217" s="6" t="s">
        <v>1362</v>
      </c>
      <c r="S217" s="6" t="s">
        <v>123</v>
      </c>
      <c r="T217" s="6" t="s">
        <v>123</v>
      </c>
      <c r="U217" s="6" t="s">
        <v>123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11</v>
      </c>
      <c r="AA217" s="6" t="n">
        <v>40</v>
      </c>
      <c r="AB217" s="6" t="n">
        <v>31</v>
      </c>
      <c r="AC217" s="6" t="n">
        <v>-5</v>
      </c>
      <c r="AD217" s="6" t="n">
        <v>7.916</v>
      </c>
      <c r="AE217" s="6" t="s">
        <v>124</v>
      </c>
      <c r="AF217" s="6" t="s">
        <v>123</v>
      </c>
      <c r="AG217" s="6" t="s">
        <v>123</v>
      </c>
      <c r="AH217" s="6" t="s">
        <v>123</v>
      </c>
      <c r="AI217" s="6" t="s">
        <v>123</v>
      </c>
      <c r="AJ217" s="8"/>
      <c r="AK217" s="8"/>
      <c r="AL217" s="8"/>
      <c r="AM217" s="8"/>
      <c r="AN217" s="8"/>
      <c r="AO217" s="8"/>
      <c r="AP217" s="9" t="s">
        <v>1363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76.5" hidden="true" customHeight="true" outlineLevel="0" collapsed="false">
      <c r="A218" s="6" t="s">
        <v>1</v>
      </c>
      <c r="B218" s="6" t="n">
        <v>10</v>
      </c>
      <c r="C218" s="6" t="n">
        <v>87960876</v>
      </c>
      <c r="D218" s="6" t="s">
        <v>1351</v>
      </c>
      <c r="E218" s="6" t="s">
        <v>1352</v>
      </c>
      <c r="F218" s="6" t="s">
        <v>1353</v>
      </c>
      <c r="G218" s="6" t="s">
        <v>123</v>
      </c>
      <c r="H218" s="6" t="s">
        <v>1364</v>
      </c>
      <c r="I218" s="6"/>
      <c r="J218" s="6" t="s">
        <v>123</v>
      </c>
      <c r="K218" s="6" t="s">
        <v>127</v>
      </c>
      <c r="L218" s="6" t="s">
        <v>1365</v>
      </c>
      <c r="M218" s="6" t="n">
        <v>1878</v>
      </c>
      <c r="N218" s="7" t="n">
        <v>0.273</v>
      </c>
      <c r="O218" s="6" t="s">
        <v>129</v>
      </c>
      <c r="P218" s="10" t="n">
        <f aca="false">HYPERLINK("https://www.ncbi.nlm.nih.gov/clinvar/variation/229656", 229656)</f>
        <v>229656</v>
      </c>
      <c r="Q218" s="6" t="s">
        <v>409</v>
      </c>
      <c r="R218" s="6" t="s">
        <v>1366</v>
      </c>
      <c r="S218" s="10" t="str">
        <f aca="false">HYPERLINK("https://www.ncbi.nlm.nih.gov/snp/rs34003473", "rs34003473")</f>
        <v>rs34003473</v>
      </c>
      <c r="T218" s="10" t="n">
        <f aca="false">HYPERLINK("https://gnomad.broadinstitute.org/variant/10-87960876-CTTT-C?dataset=gnomad_r4", 0.0000399616)</f>
        <v>3.99616E-005</v>
      </c>
      <c r="U218" s="10" t="n">
        <f aca="false">HYPERLINK("https://gnomad.broadinstitute.org/variant/10-87960876-CTTT-C?dataset=gnomad_r4", 0.000188286)</f>
        <v>0.000188286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18</v>
      </c>
      <c r="AA218" s="6" t="n">
        <v>47</v>
      </c>
      <c r="AB218" s="6" t="n">
        <v>38</v>
      </c>
      <c r="AC218" s="6" t="n">
        <v>23</v>
      </c>
      <c r="AD218" s="6" t="n">
        <v>2.147</v>
      </c>
      <c r="AE218" s="6" t="s">
        <v>124</v>
      </c>
      <c r="AF218" s="6" t="s">
        <v>123</v>
      </c>
      <c r="AG218" s="6" t="s">
        <v>123</v>
      </c>
      <c r="AH218" s="6" t="s">
        <v>123</v>
      </c>
      <c r="AI218" s="6" t="s">
        <v>123</v>
      </c>
      <c r="AJ218" s="8"/>
      <c r="AK218" s="8"/>
      <c r="AL218" s="8"/>
      <c r="AM218" s="8"/>
      <c r="AN218" s="8"/>
      <c r="AO218" s="8"/>
      <c r="AP218" s="9" t="s">
        <v>1367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63.75" hidden="true" customHeight="true" outlineLevel="0" collapsed="false">
      <c r="A219" s="6" t="s">
        <v>1</v>
      </c>
      <c r="B219" s="6" t="n">
        <v>12</v>
      </c>
      <c r="C219" s="6" t="n">
        <v>112488437</v>
      </c>
      <c r="D219" s="6" t="s">
        <v>1368</v>
      </c>
      <c r="E219" s="6" t="s">
        <v>531</v>
      </c>
      <c r="F219" s="6" t="s">
        <v>1369</v>
      </c>
      <c r="G219" s="6" t="s">
        <v>123</v>
      </c>
      <c r="H219" s="6" t="s">
        <v>1370</v>
      </c>
      <c r="I219" s="6"/>
      <c r="J219" s="6" t="s">
        <v>123</v>
      </c>
      <c r="K219" s="6" t="s">
        <v>127</v>
      </c>
      <c r="L219" s="6" t="s">
        <v>1371</v>
      </c>
      <c r="M219" s="6" t="n">
        <v>3368</v>
      </c>
      <c r="N219" s="7" t="n">
        <v>0.0627</v>
      </c>
      <c r="O219" s="6" t="s">
        <v>122</v>
      </c>
      <c r="P219" s="6" t="s">
        <v>123</v>
      </c>
      <c r="Q219" s="6" t="s">
        <v>123</v>
      </c>
      <c r="R219" s="6" t="s">
        <v>123</v>
      </c>
      <c r="S219" s="6" t="s">
        <v>123</v>
      </c>
      <c r="T219" s="6" t="s">
        <v>123</v>
      </c>
      <c r="U219" s="6" t="s">
        <v>123</v>
      </c>
      <c r="V219" s="6" t="n">
        <v>0</v>
      </c>
      <c r="W219" s="6" t="n">
        <v>0.02</v>
      </c>
      <c r="X219" s="6" t="n">
        <v>0</v>
      </c>
      <c r="Y219" s="6" t="n">
        <v>0</v>
      </c>
      <c r="Z219" s="6" t="n">
        <v>26</v>
      </c>
      <c r="AA219" s="6" t="n">
        <v>6</v>
      </c>
      <c r="AB219" s="6" t="n">
        <v>6</v>
      </c>
      <c r="AC219" s="6" t="n">
        <v>36</v>
      </c>
      <c r="AD219" s="6" t="n">
        <v>14.09</v>
      </c>
      <c r="AE219" s="6" t="s">
        <v>124</v>
      </c>
      <c r="AF219" s="6" t="s">
        <v>123</v>
      </c>
      <c r="AG219" s="6" t="s">
        <v>123</v>
      </c>
      <c r="AH219" s="6" t="s">
        <v>123</v>
      </c>
      <c r="AI219" s="6" t="s">
        <v>123</v>
      </c>
      <c r="AJ219" s="8"/>
      <c r="AK219" s="8"/>
      <c r="AL219" s="8"/>
      <c r="AM219" s="8"/>
      <c r="AN219" s="8"/>
      <c r="AO219" s="8"/>
      <c r="AP219" s="9" t="s">
        <v>1372</v>
      </c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76.5" hidden="true" customHeight="true" outlineLevel="0" collapsed="false">
      <c r="A220" s="6" t="s">
        <v>1</v>
      </c>
      <c r="B220" s="6" t="n">
        <v>8</v>
      </c>
      <c r="C220" s="6" t="n">
        <v>116856292</v>
      </c>
      <c r="D220" s="6" t="s">
        <v>1373</v>
      </c>
      <c r="E220" s="6" t="s">
        <v>6</v>
      </c>
      <c r="F220" s="6" t="s">
        <v>1374</v>
      </c>
      <c r="G220" s="6" t="s">
        <v>123</v>
      </c>
      <c r="H220" s="6" t="s">
        <v>1375</v>
      </c>
      <c r="I220" s="6"/>
      <c r="J220" s="6" t="s">
        <v>123</v>
      </c>
      <c r="K220" s="6" t="s">
        <v>127</v>
      </c>
      <c r="L220" s="6" t="s">
        <v>1376</v>
      </c>
      <c r="M220" s="6" t="n">
        <v>2865</v>
      </c>
      <c r="N220" s="7" t="n">
        <v>0.0925</v>
      </c>
      <c r="O220" s="6" t="s">
        <v>129</v>
      </c>
      <c r="P220" s="10" t="n">
        <f aca="false">HYPERLINK("https://www.ncbi.nlm.nih.gov/clinvar/variation/791275", 791275)</f>
        <v>791275</v>
      </c>
      <c r="Q220" s="6" t="s">
        <v>418</v>
      </c>
      <c r="R220" s="6" t="s">
        <v>1377</v>
      </c>
      <c r="S220" s="10" t="str">
        <f aca="false">HYPERLINK("https://www.ncbi.nlm.nih.gov/snp/rs35902828", "rs35902828")</f>
        <v>rs35902828</v>
      </c>
      <c r="T220" s="10" t="n">
        <f aca="false">HYPERLINK("https://gnomad.broadinstitute.org/variant/8-116856292-TAAAAAA-T?dataset=gnomad_r4", 0.000011212)</f>
        <v>1.1212E-005</v>
      </c>
      <c r="U220" s="10" t="n">
        <f aca="false">HYPERLINK("https://gnomad.broadinstitute.org/variant/8-116856292-TAAAAAA-T?dataset=gnomad_r4", 0.000212829)</f>
        <v>0.000212829</v>
      </c>
      <c r="V220" s="6" t="s">
        <v>123</v>
      </c>
      <c r="W220" s="6" t="s">
        <v>123</v>
      </c>
      <c r="X220" s="6" t="s">
        <v>123</v>
      </c>
      <c r="Y220" s="6" t="s">
        <v>123</v>
      </c>
      <c r="Z220" s="6" t="s">
        <v>123</v>
      </c>
      <c r="AA220" s="6" t="s">
        <v>123</v>
      </c>
      <c r="AB220" s="6" t="s">
        <v>123</v>
      </c>
      <c r="AC220" s="6" t="s">
        <v>123</v>
      </c>
      <c r="AD220" s="6" t="n">
        <v>1.549</v>
      </c>
      <c r="AE220" s="6" t="s">
        <v>1378</v>
      </c>
      <c r="AF220" s="6" t="s">
        <v>123</v>
      </c>
      <c r="AG220" s="6" t="s">
        <v>123</v>
      </c>
      <c r="AH220" s="6" t="s">
        <v>123</v>
      </c>
      <c r="AI220" s="6" t="s">
        <v>123</v>
      </c>
      <c r="AJ220" s="8"/>
      <c r="AK220" s="8"/>
      <c r="AL220" s="8"/>
      <c r="AM220" s="8"/>
      <c r="AN220" s="8"/>
      <c r="AO220" s="8"/>
      <c r="AP220" s="9" t="s">
        <v>1379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63.75" hidden="true" customHeight="true" outlineLevel="0" collapsed="false">
      <c r="A221" s="6" t="s">
        <v>1</v>
      </c>
      <c r="B221" s="6" t="n">
        <v>8</v>
      </c>
      <c r="C221" s="6" t="n">
        <v>116856292</v>
      </c>
      <c r="D221" s="6" t="s">
        <v>1373</v>
      </c>
      <c r="E221" s="6" t="s">
        <v>6</v>
      </c>
      <c r="F221" s="6" t="s">
        <v>1374</v>
      </c>
      <c r="G221" s="6" t="s">
        <v>123</v>
      </c>
      <c r="H221" s="6" t="s">
        <v>1380</v>
      </c>
      <c r="I221" s="6"/>
      <c r="J221" s="6" t="s">
        <v>123</v>
      </c>
      <c r="K221" s="6" t="s">
        <v>127</v>
      </c>
      <c r="L221" s="6" t="s">
        <v>1381</v>
      </c>
      <c r="M221" s="6" t="n">
        <v>2865</v>
      </c>
      <c r="N221" s="7" t="n">
        <v>0.0995</v>
      </c>
      <c r="O221" s="6" t="s">
        <v>129</v>
      </c>
      <c r="P221" s="10" t="n">
        <f aca="false">HYPERLINK("https://www.ncbi.nlm.nih.gov/clinvar/variation/4290707", 4290707)</f>
        <v>4290707</v>
      </c>
      <c r="Q221" s="6" t="s">
        <v>123</v>
      </c>
      <c r="R221" s="6" t="s">
        <v>123</v>
      </c>
      <c r="S221" s="6" t="s">
        <v>123</v>
      </c>
      <c r="T221" s="6" t="s">
        <v>123</v>
      </c>
      <c r="U221" s="10" t="n">
        <f aca="false">HYPERLINK("https://gnomad.broadinstitute.org/variant/8-116856292-TAAAAAAAAA-T?dataset=gnomad_r4", 0.00000184091)</f>
        <v>1.84091E-006</v>
      </c>
      <c r="V221" s="6" t="s">
        <v>123</v>
      </c>
      <c r="W221" s="6" t="s">
        <v>123</v>
      </c>
      <c r="X221" s="6" t="s">
        <v>123</v>
      </c>
      <c r="Y221" s="6" t="s">
        <v>123</v>
      </c>
      <c r="Z221" s="6" t="s">
        <v>123</v>
      </c>
      <c r="AA221" s="6" t="s">
        <v>123</v>
      </c>
      <c r="AB221" s="6" t="s">
        <v>123</v>
      </c>
      <c r="AC221" s="6" t="s">
        <v>123</v>
      </c>
      <c r="AD221" s="6" t="s">
        <v>123</v>
      </c>
      <c r="AE221" s="6" t="s">
        <v>124</v>
      </c>
      <c r="AF221" s="6" t="s">
        <v>123</v>
      </c>
      <c r="AG221" s="6" t="s">
        <v>123</v>
      </c>
      <c r="AH221" s="6" t="s">
        <v>123</v>
      </c>
      <c r="AI221" s="6" t="s">
        <v>123</v>
      </c>
      <c r="AJ221" s="8"/>
      <c r="AK221" s="8"/>
      <c r="AL221" s="8"/>
      <c r="AM221" s="8"/>
      <c r="AN221" s="8"/>
      <c r="AO221" s="8"/>
      <c r="AP221" s="9" t="s">
        <v>1382</v>
      </c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63.75" hidden="true" customHeight="true" outlineLevel="0" collapsed="false">
      <c r="A222" s="6" t="s">
        <v>1</v>
      </c>
      <c r="B222" s="6" t="n">
        <v>8</v>
      </c>
      <c r="C222" s="6" t="n">
        <v>116856292</v>
      </c>
      <c r="D222" s="6" t="s">
        <v>1373</v>
      </c>
      <c r="E222" s="6" t="s">
        <v>6</v>
      </c>
      <c r="F222" s="6" t="s">
        <v>1374</v>
      </c>
      <c r="G222" s="6" t="s">
        <v>123</v>
      </c>
      <c r="H222" s="6" t="s">
        <v>1383</v>
      </c>
      <c r="I222" s="6"/>
      <c r="J222" s="6" t="s">
        <v>123</v>
      </c>
      <c r="K222" s="6" t="s">
        <v>127</v>
      </c>
      <c r="L222" s="6" t="s">
        <v>1384</v>
      </c>
      <c r="M222" s="6" t="n">
        <v>2865</v>
      </c>
      <c r="N222" s="7" t="n">
        <v>0.107</v>
      </c>
      <c r="O222" s="6" t="s">
        <v>129</v>
      </c>
      <c r="P222" s="6" t="s">
        <v>123</v>
      </c>
      <c r="Q222" s="6" t="s">
        <v>123</v>
      </c>
      <c r="R222" s="6" t="s">
        <v>123</v>
      </c>
      <c r="S222" s="6" t="s">
        <v>123</v>
      </c>
      <c r="T222" s="6" t="s">
        <v>123</v>
      </c>
      <c r="U222" s="6" t="s">
        <v>123</v>
      </c>
      <c r="V222" s="6" t="s">
        <v>123</v>
      </c>
      <c r="W222" s="6" t="s">
        <v>123</v>
      </c>
      <c r="X222" s="6" t="s">
        <v>123</v>
      </c>
      <c r="Y222" s="6" t="s">
        <v>123</v>
      </c>
      <c r="Z222" s="6" t="s">
        <v>123</v>
      </c>
      <c r="AA222" s="6" t="s">
        <v>123</v>
      </c>
      <c r="AB222" s="6" t="s">
        <v>123</v>
      </c>
      <c r="AC222" s="6" t="s">
        <v>123</v>
      </c>
      <c r="AD222" s="6" t="s">
        <v>123</v>
      </c>
      <c r="AE222" s="6" t="s">
        <v>611</v>
      </c>
      <c r="AF222" s="6" t="s">
        <v>123</v>
      </c>
      <c r="AG222" s="6" t="s">
        <v>123</v>
      </c>
      <c r="AH222" s="6" t="s">
        <v>123</v>
      </c>
      <c r="AI222" s="6" t="s">
        <v>123</v>
      </c>
      <c r="AJ222" s="8"/>
      <c r="AK222" s="8"/>
      <c r="AL222" s="8"/>
      <c r="AM222" s="8"/>
      <c r="AN222" s="8"/>
      <c r="AO222" s="8"/>
      <c r="AP222" s="9" t="s">
        <v>1385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76.5" hidden="true" customHeight="true" outlineLevel="0" collapsed="false">
      <c r="A223" s="6" t="s">
        <v>1</v>
      </c>
      <c r="B223" s="6" t="n">
        <v>8</v>
      </c>
      <c r="C223" s="6" t="n">
        <v>116856292</v>
      </c>
      <c r="D223" s="6" t="s">
        <v>1373</v>
      </c>
      <c r="E223" s="6" t="s">
        <v>6</v>
      </c>
      <c r="F223" s="6" t="s">
        <v>1374</v>
      </c>
      <c r="G223" s="6" t="s">
        <v>123</v>
      </c>
      <c r="H223" s="6" t="s">
        <v>1386</v>
      </c>
      <c r="I223" s="6"/>
      <c r="J223" s="6" t="s">
        <v>123</v>
      </c>
      <c r="K223" s="6" t="s">
        <v>127</v>
      </c>
      <c r="L223" s="6" t="s">
        <v>1387</v>
      </c>
      <c r="M223" s="6" t="n">
        <v>2865</v>
      </c>
      <c r="N223" s="7" t="n">
        <v>0.18</v>
      </c>
      <c r="O223" s="6" t="s">
        <v>129</v>
      </c>
      <c r="P223" s="10" t="n">
        <f aca="false">HYPERLINK("https://www.ncbi.nlm.nih.gov/clinvar/variation/2185346", 2185346)</f>
        <v>2185346</v>
      </c>
      <c r="Q223" s="6" t="s">
        <v>418</v>
      </c>
      <c r="R223" s="6" t="s">
        <v>1377</v>
      </c>
      <c r="S223" s="10" t="str">
        <f aca="false">HYPERLINK("https://www.ncbi.nlm.nih.gov/snp/rs35902828", "rs35902828")</f>
        <v>rs35902828</v>
      </c>
      <c r="T223" s="10" t="n">
        <f aca="false">HYPERLINK("https://gnomad.broadinstitute.org/variant/8-116856292-TAAAAAAAAAAA-T?dataset=gnomad_r4", 0.00100938)</f>
        <v>0.00100938</v>
      </c>
      <c r="U223" s="10" t="n">
        <f aca="false">HYPERLINK("https://gnomad.broadinstitute.org/variant/8-116856292-TAAAAAAAAAAA-T?dataset=gnomad_r4", 0.0000800792)</f>
        <v>8.00792E-005</v>
      </c>
      <c r="V223" s="6" t="s">
        <v>123</v>
      </c>
      <c r="W223" s="6" t="s">
        <v>123</v>
      </c>
      <c r="X223" s="6" t="s">
        <v>123</v>
      </c>
      <c r="Y223" s="6" t="s">
        <v>123</v>
      </c>
      <c r="Z223" s="6" t="s">
        <v>123</v>
      </c>
      <c r="AA223" s="6" t="s">
        <v>123</v>
      </c>
      <c r="AB223" s="6" t="s">
        <v>123</v>
      </c>
      <c r="AC223" s="6" t="s">
        <v>123</v>
      </c>
      <c r="AD223" s="6" t="n">
        <v>2.279</v>
      </c>
      <c r="AE223" s="6" t="s">
        <v>611</v>
      </c>
      <c r="AF223" s="6" t="s">
        <v>123</v>
      </c>
      <c r="AG223" s="6" t="s">
        <v>123</v>
      </c>
      <c r="AH223" s="6" t="s">
        <v>123</v>
      </c>
      <c r="AI223" s="6" t="s">
        <v>123</v>
      </c>
      <c r="AJ223" s="8"/>
      <c r="AK223" s="8"/>
      <c r="AL223" s="8"/>
      <c r="AM223" s="8"/>
      <c r="AN223" s="8"/>
      <c r="AO223" s="8"/>
      <c r="AP223" s="9" t="s">
        <v>1388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63.75" hidden="true" customHeight="true" outlineLevel="0" collapsed="false">
      <c r="A224" s="6" t="s">
        <v>1</v>
      </c>
      <c r="B224" s="6" t="n">
        <v>8</v>
      </c>
      <c r="C224" s="6" t="n">
        <v>116856292</v>
      </c>
      <c r="D224" s="6" t="s">
        <v>1373</v>
      </c>
      <c r="E224" s="6" t="s">
        <v>6</v>
      </c>
      <c r="F224" s="6" t="s">
        <v>1374</v>
      </c>
      <c r="G224" s="6" t="s">
        <v>123</v>
      </c>
      <c r="H224" s="6" t="s">
        <v>1389</v>
      </c>
      <c r="I224" s="6"/>
      <c r="J224" s="6" t="s">
        <v>123</v>
      </c>
      <c r="K224" s="6" t="s">
        <v>127</v>
      </c>
      <c r="L224" s="6" t="s">
        <v>1390</v>
      </c>
      <c r="M224" s="6" t="n">
        <v>2865</v>
      </c>
      <c r="N224" s="7" t="n">
        <v>0.127</v>
      </c>
      <c r="O224" s="6" t="s">
        <v>129</v>
      </c>
      <c r="P224" s="6" t="s">
        <v>123</v>
      </c>
      <c r="Q224" s="6" t="s">
        <v>123</v>
      </c>
      <c r="R224" s="6" t="s">
        <v>123</v>
      </c>
      <c r="S224" s="6" t="s">
        <v>123</v>
      </c>
      <c r="T224" s="6" t="s">
        <v>123</v>
      </c>
      <c r="U224" s="10" t="n">
        <f aca="false">HYPERLINK("https://gnomad.broadinstitute.org/variant/8-116856292-TAAAAAAAAAAAA-T?dataset=gnomad_r4", 0.0000018409)</f>
        <v>1.8409E-006</v>
      </c>
      <c r="V224" s="6" t="s">
        <v>123</v>
      </c>
      <c r="W224" s="6" t="s">
        <v>123</v>
      </c>
      <c r="X224" s="6" t="s">
        <v>123</v>
      </c>
      <c r="Y224" s="6" t="s">
        <v>123</v>
      </c>
      <c r="Z224" s="6" t="s">
        <v>123</v>
      </c>
      <c r="AA224" s="6" t="s">
        <v>123</v>
      </c>
      <c r="AB224" s="6" t="s">
        <v>123</v>
      </c>
      <c r="AC224" s="6" t="s">
        <v>123</v>
      </c>
      <c r="AD224" s="6" t="s">
        <v>123</v>
      </c>
      <c r="AE224" s="6" t="s">
        <v>611</v>
      </c>
      <c r="AF224" s="6" t="s">
        <v>123</v>
      </c>
      <c r="AG224" s="6" t="s">
        <v>123</v>
      </c>
      <c r="AH224" s="6" t="s">
        <v>123</v>
      </c>
      <c r="AI224" s="6" t="s">
        <v>123</v>
      </c>
      <c r="AJ224" s="8"/>
      <c r="AK224" s="8"/>
      <c r="AL224" s="8"/>
      <c r="AM224" s="8"/>
      <c r="AN224" s="8"/>
      <c r="AO224" s="8"/>
      <c r="AP224" s="9" t="s">
        <v>1391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76.5" hidden="true" customHeight="true" outlineLevel="0" collapsed="false">
      <c r="A225" s="6" t="s">
        <v>1</v>
      </c>
      <c r="B225" s="6" t="n">
        <v>8</v>
      </c>
      <c r="C225" s="6" t="n">
        <v>116852713</v>
      </c>
      <c r="D225" s="6" t="s">
        <v>1373</v>
      </c>
      <c r="E225" s="6" t="s">
        <v>6</v>
      </c>
      <c r="F225" s="6" t="s">
        <v>1374</v>
      </c>
      <c r="G225" s="6" t="s">
        <v>123</v>
      </c>
      <c r="H225" s="6" t="s">
        <v>1392</v>
      </c>
      <c r="I225" s="6"/>
      <c r="J225" s="6" t="s">
        <v>123</v>
      </c>
      <c r="K225" s="6" t="s">
        <v>127</v>
      </c>
      <c r="L225" s="6" t="s">
        <v>1393</v>
      </c>
      <c r="M225" s="6" t="n">
        <v>2812</v>
      </c>
      <c r="N225" s="7" t="n">
        <v>0.428</v>
      </c>
      <c r="O225" s="6" t="s">
        <v>129</v>
      </c>
      <c r="P225" s="10" t="n">
        <f aca="false">HYPERLINK("https://www.ncbi.nlm.nih.gov/clinvar/variation/4290706", 4290706)</f>
        <v>4290706</v>
      </c>
      <c r="Q225" s="6" t="s">
        <v>123</v>
      </c>
      <c r="R225" s="6" t="s">
        <v>123</v>
      </c>
      <c r="S225" s="10" t="str">
        <f aca="false">HYPERLINK("https://www.ncbi.nlm.nih.gov/snp/rs369816312", "rs369816312")</f>
        <v>rs369816312</v>
      </c>
      <c r="T225" s="10" t="n">
        <f aca="false">HYPERLINK("https://gnomad.broadinstitute.org/variant/8-116852713-TAA-T?dataset=gnomad_r4", 0.0000147822)</f>
        <v>1.47822E-005</v>
      </c>
      <c r="U225" s="10" t="n">
        <f aca="false">HYPERLINK("https://gnomad.broadinstitute.org/variant/8-116852713-TAA-T?dataset=gnomad_r4", 0.000519172)</f>
        <v>0.000519172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-39</v>
      </c>
      <c r="AA225" s="6" t="n">
        <v>-5</v>
      </c>
      <c r="AB225" s="6" t="n">
        <v>-15</v>
      </c>
      <c r="AC225" s="6" t="n">
        <v>-31</v>
      </c>
      <c r="AD225" s="6" t="n">
        <v>1.127</v>
      </c>
      <c r="AE225" s="6" t="s">
        <v>1394</v>
      </c>
      <c r="AF225" s="6" t="s">
        <v>123</v>
      </c>
      <c r="AG225" s="6" t="s">
        <v>123</v>
      </c>
      <c r="AH225" s="6" t="s">
        <v>123</v>
      </c>
      <c r="AI225" s="6" t="s">
        <v>123</v>
      </c>
      <c r="AJ225" s="8"/>
      <c r="AK225" s="8"/>
      <c r="AL225" s="8"/>
      <c r="AM225" s="8"/>
      <c r="AN225" s="8"/>
      <c r="AO225" s="8"/>
      <c r="AP225" s="9" t="s">
        <v>1395</v>
      </c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63.75" hidden="true" customHeight="true" outlineLevel="0" collapsed="false">
      <c r="A226" s="6" t="s">
        <v>1</v>
      </c>
      <c r="B226" s="6" t="n">
        <v>8</v>
      </c>
      <c r="C226" s="6" t="n">
        <v>116856292</v>
      </c>
      <c r="D226" s="6" t="s">
        <v>1373</v>
      </c>
      <c r="E226" s="6" t="s">
        <v>6</v>
      </c>
      <c r="F226" s="6" t="s">
        <v>1374</v>
      </c>
      <c r="G226" s="6" t="s">
        <v>123</v>
      </c>
      <c r="H226" s="6" t="s">
        <v>1396</v>
      </c>
      <c r="I226" s="6"/>
      <c r="J226" s="6" t="s">
        <v>123</v>
      </c>
      <c r="K226" s="6" t="s">
        <v>127</v>
      </c>
      <c r="L226" s="6" t="s">
        <v>1397</v>
      </c>
      <c r="M226" s="6" t="n">
        <v>2865</v>
      </c>
      <c r="N226" s="7" t="n">
        <v>0.113</v>
      </c>
      <c r="O226" s="6" t="s">
        <v>129</v>
      </c>
      <c r="P226" s="6" t="s">
        <v>123</v>
      </c>
      <c r="Q226" s="6" t="s">
        <v>123</v>
      </c>
      <c r="R226" s="6" t="s">
        <v>123</v>
      </c>
      <c r="S226" s="6" t="s">
        <v>123</v>
      </c>
      <c r="T226" s="6" t="s">
        <v>123</v>
      </c>
      <c r="U226" s="10" t="n">
        <f aca="false">HYPERLINK("https://gnomad.broadinstitute.org/variant/8-116856292-TAAAAAAAA-T?dataset=gnomad_r4", 0.0000138074)</f>
        <v>1.38074E-005</v>
      </c>
      <c r="V226" s="6" t="s">
        <v>123</v>
      </c>
      <c r="W226" s="6" t="s">
        <v>123</v>
      </c>
      <c r="X226" s="6" t="s">
        <v>123</v>
      </c>
      <c r="Y226" s="6" t="s">
        <v>123</v>
      </c>
      <c r="Z226" s="6" t="s">
        <v>123</v>
      </c>
      <c r="AA226" s="6" t="s">
        <v>123</v>
      </c>
      <c r="AB226" s="6" t="s">
        <v>123</v>
      </c>
      <c r="AC226" s="6" t="s">
        <v>123</v>
      </c>
      <c r="AD226" s="6" t="s">
        <v>123</v>
      </c>
      <c r="AE226" s="6" t="s">
        <v>124</v>
      </c>
      <c r="AF226" s="6" t="s">
        <v>123</v>
      </c>
      <c r="AG226" s="6" t="s">
        <v>123</v>
      </c>
      <c r="AH226" s="6" t="s">
        <v>123</v>
      </c>
      <c r="AI226" s="6" t="s">
        <v>123</v>
      </c>
      <c r="AJ226" s="8"/>
      <c r="AK226" s="8"/>
      <c r="AL226" s="8"/>
      <c r="AM226" s="8"/>
      <c r="AN226" s="8"/>
      <c r="AO226" s="8"/>
      <c r="AP226" s="9" t="s">
        <v>1398</v>
      </c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63.75" hidden="true" customHeight="true" outlineLevel="0" collapsed="false">
      <c r="A227" s="6" t="s">
        <v>1</v>
      </c>
      <c r="B227" s="6" t="n">
        <v>8</v>
      </c>
      <c r="C227" s="6" t="n">
        <v>116852713</v>
      </c>
      <c r="D227" s="6" t="s">
        <v>1373</v>
      </c>
      <c r="E227" s="6" t="s">
        <v>6</v>
      </c>
      <c r="F227" s="6" t="s">
        <v>1374</v>
      </c>
      <c r="G227" s="6" t="s">
        <v>123</v>
      </c>
      <c r="H227" s="6" t="s">
        <v>1399</v>
      </c>
      <c r="I227" s="6"/>
      <c r="J227" s="6" t="s">
        <v>123</v>
      </c>
      <c r="K227" s="6" t="s">
        <v>127</v>
      </c>
      <c r="L227" s="6" t="s">
        <v>1400</v>
      </c>
      <c r="M227" s="6" t="n">
        <v>2812</v>
      </c>
      <c r="N227" s="7" t="n">
        <v>0.0712</v>
      </c>
      <c r="O227" s="6" t="s">
        <v>129</v>
      </c>
      <c r="P227" s="6" t="s">
        <v>123</v>
      </c>
      <c r="Q227" s="6" t="s">
        <v>123</v>
      </c>
      <c r="R227" s="6" t="s">
        <v>123</v>
      </c>
      <c r="S227" s="6" t="s">
        <v>123</v>
      </c>
      <c r="T227" s="6" t="s">
        <v>123</v>
      </c>
      <c r="U227" s="10" t="n">
        <f aca="false">HYPERLINK("https://gnomad.broadinstitute.org/variant/8-116852713-TAAAA-T?dataset=gnomad_r4", 0.00000287419)</f>
        <v>2.87419E-006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-39</v>
      </c>
      <c r="AA227" s="6" t="n">
        <v>-5</v>
      </c>
      <c r="AB227" s="6" t="n">
        <v>-31</v>
      </c>
      <c r="AC227" s="6" t="n">
        <v>-15</v>
      </c>
      <c r="AD227" s="6" t="s">
        <v>123</v>
      </c>
      <c r="AE227" s="6" t="s">
        <v>124</v>
      </c>
      <c r="AF227" s="6" t="s">
        <v>123</v>
      </c>
      <c r="AG227" s="6" t="s">
        <v>123</v>
      </c>
      <c r="AH227" s="6" t="s">
        <v>123</v>
      </c>
      <c r="AI227" s="6" t="s">
        <v>123</v>
      </c>
      <c r="AJ227" s="8"/>
      <c r="AK227" s="8"/>
      <c r="AL227" s="8"/>
      <c r="AM227" s="8"/>
      <c r="AN227" s="8"/>
      <c r="AO227" s="8"/>
      <c r="AP227" s="9" t="s">
        <v>1401</v>
      </c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76.5" hidden="true" customHeight="true" outlineLevel="0" collapsed="false">
      <c r="A228" s="6" t="s">
        <v>1</v>
      </c>
      <c r="B228" s="6" t="n">
        <v>8</v>
      </c>
      <c r="C228" s="6" t="n">
        <v>116852713</v>
      </c>
      <c r="D228" s="6" t="s">
        <v>1373</v>
      </c>
      <c r="E228" s="6" t="s">
        <v>6</v>
      </c>
      <c r="F228" s="6" t="s">
        <v>1374</v>
      </c>
      <c r="G228" s="6" t="s">
        <v>123</v>
      </c>
      <c r="H228" s="6" t="s">
        <v>1402</v>
      </c>
      <c r="I228" s="6"/>
      <c r="J228" s="6" t="s">
        <v>123</v>
      </c>
      <c r="K228" s="6" t="s">
        <v>127</v>
      </c>
      <c r="L228" s="6" t="s">
        <v>1403</v>
      </c>
      <c r="M228" s="6" t="n">
        <v>2812</v>
      </c>
      <c r="N228" s="7" t="n">
        <v>0.171</v>
      </c>
      <c r="O228" s="6" t="s">
        <v>129</v>
      </c>
      <c r="P228" s="6" t="s">
        <v>123</v>
      </c>
      <c r="Q228" s="6" t="s">
        <v>123</v>
      </c>
      <c r="R228" s="6" t="s">
        <v>123</v>
      </c>
      <c r="S228" s="10" t="str">
        <f aca="false">HYPERLINK("https://www.ncbi.nlm.nih.gov/snp/rs369816312", "rs369816312")</f>
        <v>rs369816312</v>
      </c>
      <c r="T228" s="10" t="n">
        <f aca="false">HYPERLINK("https://gnomad.broadinstitute.org/variant/8-116852713-TAAA-T?dataset=gnomad_r4", 0.00000739011)</f>
        <v>7.39011E-006</v>
      </c>
      <c r="U228" s="10" t="n">
        <f aca="false">HYPERLINK("https://gnomad.broadinstitute.org/variant/8-116852713-TAAA-T?dataset=gnomad_r4", 0.0000345032)</f>
        <v>3.45032E-005</v>
      </c>
      <c r="V228" s="6" t="n">
        <v>0</v>
      </c>
      <c r="W228" s="6" t="n">
        <v>0</v>
      </c>
      <c r="X228" s="6" t="n">
        <v>0</v>
      </c>
      <c r="Y228" s="6" t="n">
        <v>0</v>
      </c>
      <c r="Z228" s="6" t="n">
        <v>-5</v>
      </c>
      <c r="AA228" s="6" t="n">
        <v>-39</v>
      </c>
      <c r="AB228" s="6" t="n">
        <v>-25</v>
      </c>
      <c r="AC228" s="6" t="n">
        <v>-31</v>
      </c>
      <c r="AD228" s="6" t="n">
        <v>1.157</v>
      </c>
      <c r="AE228" s="6" t="s">
        <v>124</v>
      </c>
      <c r="AF228" s="6" t="s">
        <v>123</v>
      </c>
      <c r="AG228" s="6" t="s">
        <v>123</v>
      </c>
      <c r="AH228" s="6" t="s">
        <v>123</v>
      </c>
      <c r="AI228" s="6" t="s">
        <v>123</v>
      </c>
      <c r="AJ228" s="8"/>
      <c r="AK228" s="8"/>
      <c r="AL228" s="8"/>
      <c r="AM228" s="8"/>
      <c r="AN228" s="8"/>
      <c r="AO228" s="8"/>
      <c r="AP228" s="9" t="s">
        <v>1404</v>
      </c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63.75" hidden="true" customHeight="true" outlineLevel="0" collapsed="false">
      <c r="A229" s="6" t="s">
        <v>1</v>
      </c>
      <c r="B229" s="6" t="n">
        <v>8</v>
      </c>
      <c r="C229" s="6" t="n">
        <v>116856292</v>
      </c>
      <c r="D229" s="6" t="s">
        <v>1373</v>
      </c>
      <c r="E229" s="6" t="s">
        <v>6</v>
      </c>
      <c r="F229" s="6" t="s">
        <v>1374</v>
      </c>
      <c r="G229" s="6" t="s">
        <v>123</v>
      </c>
      <c r="H229" s="6" t="s">
        <v>1405</v>
      </c>
      <c r="I229" s="6"/>
      <c r="J229" s="6" t="s">
        <v>123</v>
      </c>
      <c r="K229" s="6" t="s">
        <v>127</v>
      </c>
      <c r="L229" s="6" t="s">
        <v>1406</v>
      </c>
      <c r="M229" s="6" t="n">
        <v>2865</v>
      </c>
      <c r="N229" s="7" t="n">
        <v>0.155</v>
      </c>
      <c r="O229" s="6" t="s">
        <v>129</v>
      </c>
      <c r="P229" s="6" t="s">
        <v>123</v>
      </c>
      <c r="Q229" s="6" t="s">
        <v>123</v>
      </c>
      <c r="R229" s="6" t="s">
        <v>123</v>
      </c>
      <c r="S229" s="6" t="s">
        <v>123</v>
      </c>
      <c r="T229" s="10" t="n">
        <f aca="false">HYPERLINK("https://gnomad.broadinstitute.org/variant/8-116856292-TAAAAAAA-T?dataset=gnomad_r4", 0.000022424)</f>
        <v>2.2424E-005</v>
      </c>
      <c r="U229" s="10" t="n">
        <f aca="false">HYPERLINK("https://gnomad.broadinstitute.org/variant/8-116856292-TAAAAAAA-T?dataset=gnomad_r4", 0.0000515512)</f>
        <v>5.15512E-005</v>
      </c>
      <c r="V229" s="6" t="s">
        <v>123</v>
      </c>
      <c r="W229" s="6" t="s">
        <v>123</v>
      </c>
      <c r="X229" s="6" t="s">
        <v>123</v>
      </c>
      <c r="Y229" s="6" t="s">
        <v>123</v>
      </c>
      <c r="Z229" s="6" t="s">
        <v>123</v>
      </c>
      <c r="AA229" s="6" t="s">
        <v>123</v>
      </c>
      <c r="AB229" s="6" t="s">
        <v>123</v>
      </c>
      <c r="AC229" s="6" t="s">
        <v>123</v>
      </c>
      <c r="AD229" s="6" t="n">
        <v>1.576</v>
      </c>
      <c r="AE229" s="6" t="s">
        <v>1407</v>
      </c>
      <c r="AF229" s="6" t="s">
        <v>123</v>
      </c>
      <c r="AG229" s="6" t="s">
        <v>123</v>
      </c>
      <c r="AH229" s="6" t="s">
        <v>123</v>
      </c>
      <c r="AI229" s="6" t="s">
        <v>123</v>
      </c>
      <c r="AJ229" s="8"/>
      <c r="AK229" s="8"/>
      <c r="AL229" s="8"/>
      <c r="AM229" s="8"/>
      <c r="AN229" s="8"/>
      <c r="AO229" s="8"/>
      <c r="AP229" s="9" t="s">
        <v>1408</v>
      </c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76.5" hidden="true" customHeight="true" outlineLevel="0" collapsed="false">
      <c r="A230" s="6" t="s">
        <v>1</v>
      </c>
      <c r="B230" s="6" t="n">
        <v>3</v>
      </c>
      <c r="C230" s="6" t="n">
        <v>49360391</v>
      </c>
      <c r="D230" s="6" t="s">
        <v>1409</v>
      </c>
      <c r="E230" s="6" t="s">
        <v>757</v>
      </c>
      <c r="F230" s="6" t="s">
        <v>1410</v>
      </c>
      <c r="G230" s="6" t="s">
        <v>123</v>
      </c>
      <c r="H230" s="6" t="s">
        <v>1411</v>
      </c>
      <c r="I230" s="6"/>
      <c r="J230" s="6" t="s">
        <v>123</v>
      </c>
      <c r="K230" s="6" t="s">
        <v>141</v>
      </c>
      <c r="L230" s="6" t="s">
        <v>1412</v>
      </c>
      <c r="M230" s="6" t="n">
        <v>2826</v>
      </c>
      <c r="N230" s="7" t="n">
        <v>0.0455</v>
      </c>
      <c r="O230" s="6" t="s">
        <v>143</v>
      </c>
      <c r="P230" s="6" t="s">
        <v>123</v>
      </c>
      <c r="Q230" s="6" t="s">
        <v>123</v>
      </c>
      <c r="R230" s="6" t="s">
        <v>123</v>
      </c>
      <c r="S230" s="10" t="str">
        <f aca="false">HYPERLINK("https://www.ncbi.nlm.nih.gov/snp/rs761095111", "rs761095111")</f>
        <v>rs761095111</v>
      </c>
      <c r="T230" s="10" t="n">
        <f aca="false">HYPERLINK("https://gnomad.broadinstitute.org/variant/3-49360391-G-GA?dataset=gnomad_r4", 0.000346718)</f>
        <v>0.000346718</v>
      </c>
      <c r="U230" s="10" t="n">
        <f aca="false">HYPERLINK("https://gnomad.broadinstitute.org/variant/3-49360391-G-GA?dataset=gnomad_r4", 0.000520421)</f>
        <v>0.000520421</v>
      </c>
      <c r="V230" s="6" t="n">
        <v>0.03</v>
      </c>
      <c r="W230" s="6" t="n">
        <v>0</v>
      </c>
      <c r="X230" s="6" t="n">
        <v>0</v>
      </c>
      <c r="Y230" s="6" t="n">
        <v>0</v>
      </c>
      <c r="Z230" s="6" t="n">
        <v>-12</v>
      </c>
      <c r="AA230" s="6" t="n">
        <v>21</v>
      </c>
      <c r="AB230" s="6" t="n">
        <v>-14</v>
      </c>
      <c r="AC230" s="6" t="n">
        <v>-30</v>
      </c>
      <c r="AD230" s="6" t="n">
        <v>1.246</v>
      </c>
      <c r="AE230" s="6" t="s">
        <v>124</v>
      </c>
      <c r="AF230" s="6" t="s">
        <v>123</v>
      </c>
      <c r="AG230" s="6" t="s">
        <v>123</v>
      </c>
      <c r="AH230" s="6" t="s">
        <v>123</v>
      </c>
      <c r="AI230" s="6" t="s">
        <v>123</v>
      </c>
      <c r="AJ230" s="8"/>
      <c r="AK230" s="8"/>
      <c r="AL230" s="8"/>
      <c r="AM230" s="8"/>
      <c r="AN230" s="8"/>
      <c r="AO230" s="8"/>
      <c r="AP230" s="9" t="s">
        <v>1413</v>
      </c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76.5" hidden="true" customHeight="true" outlineLevel="0" collapsed="false">
      <c r="A231" s="6" t="s">
        <v>1</v>
      </c>
      <c r="B231" s="6" t="n">
        <v>1</v>
      </c>
      <c r="C231" s="6" t="n">
        <v>92840649</v>
      </c>
      <c r="D231" s="6" t="s">
        <v>1414</v>
      </c>
      <c r="E231" s="6" t="s">
        <v>1415</v>
      </c>
      <c r="F231" s="6" t="s">
        <v>1416</v>
      </c>
      <c r="G231" s="6" t="s">
        <v>123</v>
      </c>
      <c r="H231" s="6" t="s">
        <v>1417</v>
      </c>
      <c r="I231" s="6"/>
      <c r="J231" s="6" t="s">
        <v>123</v>
      </c>
      <c r="K231" s="6" t="s">
        <v>141</v>
      </c>
      <c r="L231" s="6" t="s">
        <v>1418</v>
      </c>
      <c r="M231" s="6" t="n">
        <v>3018</v>
      </c>
      <c r="N231" s="7" t="n">
        <v>0.0409</v>
      </c>
      <c r="O231" s="6" t="s">
        <v>528</v>
      </c>
      <c r="P231" s="10" t="n">
        <f aca="false">HYPERLINK("https://www.ncbi.nlm.nih.gov/clinvar/variation/1666891", 1666891)</f>
        <v>1666891</v>
      </c>
      <c r="Q231" s="6" t="s">
        <v>283</v>
      </c>
      <c r="R231" s="6" t="s">
        <v>1419</v>
      </c>
      <c r="S231" s="10" t="str">
        <f aca="false">HYPERLINK("https://www.ncbi.nlm.nih.gov/snp/rs747509136", "rs747509136")</f>
        <v>rs747509136</v>
      </c>
      <c r="T231" s="10" t="n">
        <f aca="false">HYPERLINK("https://gnomad.broadinstitute.org/variant/1-92840649-C-CT?dataset=gnomad_r4", 0.000158575)</f>
        <v>0.000158575</v>
      </c>
      <c r="U231" s="10" t="n">
        <f aca="false">HYPERLINK("https://gnomad.broadinstitute.org/variant/1-92840649-C-CT?dataset=gnomad_r4", 0.000931153)</f>
        <v>0.000931153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21</v>
      </c>
      <c r="AA231" s="6" t="n">
        <v>28</v>
      </c>
      <c r="AB231" s="6" t="n">
        <v>-10</v>
      </c>
      <c r="AC231" s="6" t="n">
        <v>-6</v>
      </c>
      <c r="AD231" s="6" t="n">
        <v>1.156</v>
      </c>
      <c r="AE231" s="6" t="s">
        <v>124</v>
      </c>
      <c r="AF231" s="6" t="s">
        <v>123</v>
      </c>
      <c r="AG231" s="6" t="s">
        <v>123</v>
      </c>
      <c r="AH231" s="6" t="s">
        <v>123</v>
      </c>
      <c r="AI231" s="6" t="s">
        <v>123</v>
      </c>
      <c r="AJ231" s="8"/>
      <c r="AK231" s="8"/>
      <c r="AL231" s="8"/>
      <c r="AM231" s="8"/>
      <c r="AN231" s="8"/>
      <c r="AO231" s="8"/>
      <c r="AP231" s="9" t="s">
        <v>1420</v>
      </c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76.5" hidden="true" customHeight="true" outlineLevel="0" collapsed="false">
      <c r="A232" s="6" t="s">
        <v>1</v>
      </c>
      <c r="B232" s="6" t="n">
        <v>1</v>
      </c>
      <c r="C232" s="6" t="n">
        <v>92840649</v>
      </c>
      <c r="D232" s="6" t="s">
        <v>1414</v>
      </c>
      <c r="E232" s="6" t="s">
        <v>1415</v>
      </c>
      <c r="F232" s="6" t="s">
        <v>1416</v>
      </c>
      <c r="G232" s="6" t="s">
        <v>123</v>
      </c>
      <c r="H232" s="6" t="s">
        <v>1421</v>
      </c>
      <c r="I232" s="6"/>
      <c r="J232" s="6" t="s">
        <v>123</v>
      </c>
      <c r="K232" s="6" t="s">
        <v>141</v>
      </c>
      <c r="L232" s="6" t="s">
        <v>1422</v>
      </c>
      <c r="M232" s="6" t="n">
        <v>3018</v>
      </c>
      <c r="N232" s="7" t="n">
        <v>0.11</v>
      </c>
      <c r="O232" s="6" t="s">
        <v>528</v>
      </c>
      <c r="P232" s="6" t="s">
        <v>123</v>
      </c>
      <c r="Q232" s="6" t="s">
        <v>123</v>
      </c>
      <c r="R232" s="6" t="s">
        <v>123</v>
      </c>
      <c r="S232" s="10" t="str">
        <f aca="false">HYPERLINK("https://www.ncbi.nlm.nih.gov/snp/rs747509136", "rs747509136")</f>
        <v>rs747509136</v>
      </c>
      <c r="T232" s="10" t="n">
        <f aca="false">HYPERLINK("https://gnomad.broadinstitute.org/variant/1-92840649-CT-C?dataset=gnomad_r4", 0.0000198363)</f>
        <v>1.98363E-005</v>
      </c>
      <c r="U232" s="10" t="n">
        <f aca="false">HYPERLINK("https://gnomad.broadinstitute.org/variant/1-92840649-CT-C?dataset=gnomad_r4", 0.000228557)</f>
        <v>0.000228557</v>
      </c>
      <c r="V232" s="6" t="n">
        <v>0</v>
      </c>
      <c r="W232" s="6" t="n">
        <v>0</v>
      </c>
      <c r="X232" s="6" t="n">
        <v>0</v>
      </c>
      <c r="Y232" s="6" t="n">
        <v>0</v>
      </c>
      <c r="Z232" s="6" t="n">
        <v>21</v>
      </c>
      <c r="AA232" s="6" t="n">
        <v>28</v>
      </c>
      <c r="AB232" s="6" t="n">
        <v>27</v>
      </c>
      <c r="AC232" s="6" t="n">
        <v>-10</v>
      </c>
      <c r="AD232" s="6" t="n">
        <v>0.005</v>
      </c>
      <c r="AE232" s="6" t="s">
        <v>124</v>
      </c>
      <c r="AF232" s="6" t="s">
        <v>123</v>
      </c>
      <c r="AG232" s="6" t="s">
        <v>123</v>
      </c>
      <c r="AH232" s="6" t="s">
        <v>123</v>
      </c>
      <c r="AI232" s="6" t="s">
        <v>123</v>
      </c>
      <c r="AJ232" s="8"/>
      <c r="AK232" s="8"/>
      <c r="AL232" s="8"/>
      <c r="AM232" s="8"/>
      <c r="AN232" s="8"/>
      <c r="AO232" s="8"/>
      <c r="AP232" s="9" t="s">
        <v>1423</v>
      </c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63.75" hidden="true" customHeight="true" outlineLevel="0" collapsed="false">
      <c r="A233" s="6" t="s">
        <v>1</v>
      </c>
      <c r="B233" s="6" t="n">
        <v>1</v>
      </c>
      <c r="C233" s="6" t="n">
        <v>92836361</v>
      </c>
      <c r="D233" s="6" t="s">
        <v>1414</v>
      </c>
      <c r="E233" s="6" t="s">
        <v>1415</v>
      </c>
      <c r="F233" s="6" t="s">
        <v>1416</v>
      </c>
      <c r="G233" s="6" t="s">
        <v>1424</v>
      </c>
      <c r="H233" s="6" t="s">
        <v>1425</v>
      </c>
      <c r="I233" s="6" t="s">
        <v>1426</v>
      </c>
      <c r="J233" s="6" t="s">
        <v>1427</v>
      </c>
      <c r="K233" s="6" t="s">
        <v>120</v>
      </c>
      <c r="L233" s="6" t="s">
        <v>1428</v>
      </c>
      <c r="M233" s="6" t="n">
        <v>3122</v>
      </c>
      <c r="N233" s="7" t="n">
        <v>0.0493</v>
      </c>
      <c r="O233" s="6" t="s">
        <v>122</v>
      </c>
      <c r="P233" s="6" t="s">
        <v>123</v>
      </c>
      <c r="Q233" s="6" t="s">
        <v>123</v>
      </c>
      <c r="R233" s="6" t="s">
        <v>123</v>
      </c>
      <c r="S233" s="6" t="s">
        <v>123</v>
      </c>
      <c r="T233" s="6" t="s">
        <v>123</v>
      </c>
      <c r="U233" s="6" t="s">
        <v>123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32</v>
      </c>
      <c r="AA233" s="6" t="n">
        <v>-50</v>
      </c>
      <c r="AB233" s="6" t="n">
        <v>30</v>
      </c>
      <c r="AC233" s="6" t="n">
        <v>31</v>
      </c>
      <c r="AD233" s="6" t="n">
        <v>25.1</v>
      </c>
      <c r="AE233" s="6" t="s">
        <v>124</v>
      </c>
      <c r="AF233" s="6" t="s">
        <v>123</v>
      </c>
      <c r="AG233" s="6" t="s">
        <v>123</v>
      </c>
      <c r="AH233" s="6" t="s">
        <v>123</v>
      </c>
      <c r="AI233" s="6" t="s">
        <v>123</v>
      </c>
      <c r="AJ233" s="8"/>
      <c r="AK233" s="8"/>
      <c r="AL233" s="8"/>
      <c r="AM233" s="8"/>
      <c r="AN233" s="8"/>
      <c r="AO233" s="8"/>
      <c r="AP233" s="9" t="s">
        <v>1429</v>
      </c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63.75" hidden="true" customHeight="true" outlineLevel="0" collapsed="false">
      <c r="A234" s="6" t="s">
        <v>1</v>
      </c>
      <c r="B234" s="6" t="n">
        <v>1</v>
      </c>
      <c r="C234" s="6" t="n">
        <v>92836310</v>
      </c>
      <c r="D234" s="6" t="s">
        <v>1414</v>
      </c>
      <c r="E234" s="6" t="s">
        <v>1415</v>
      </c>
      <c r="F234" s="6" t="s">
        <v>1416</v>
      </c>
      <c r="G234" s="6" t="s">
        <v>1424</v>
      </c>
      <c r="H234" s="6" t="s">
        <v>1430</v>
      </c>
      <c r="I234" s="6" t="s">
        <v>1431</v>
      </c>
      <c r="J234" s="6" t="s">
        <v>1432</v>
      </c>
      <c r="K234" s="6" t="s">
        <v>120</v>
      </c>
      <c r="L234" s="6" t="s">
        <v>1433</v>
      </c>
      <c r="M234" s="6" t="n">
        <v>3296</v>
      </c>
      <c r="N234" s="7" t="n">
        <v>0.282</v>
      </c>
      <c r="O234" s="6" t="s">
        <v>122</v>
      </c>
      <c r="P234" s="6" t="s">
        <v>123</v>
      </c>
      <c r="Q234" s="6" t="s">
        <v>123</v>
      </c>
      <c r="R234" s="6" t="s">
        <v>123</v>
      </c>
      <c r="S234" s="6" t="s">
        <v>123</v>
      </c>
      <c r="T234" s="6" t="s">
        <v>123</v>
      </c>
      <c r="U234" s="6" t="s">
        <v>123</v>
      </c>
      <c r="V234" s="6" t="n">
        <v>0</v>
      </c>
      <c r="W234" s="6" t="n">
        <v>0</v>
      </c>
      <c r="X234" s="6" t="n">
        <v>0</v>
      </c>
      <c r="Y234" s="6" t="n">
        <v>0</v>
      </c>
      <c r="Z234" s="6" t="n">
        <v>-26</v>
      </c>
      <c r="AA234" s="6" t="n">
        <v>1</v>
      </c>
      <c r="AB234" s="6" t="n">
        <v>-27</v>
      </c>
      <c r="AC234" s="6" t="n">
        <v>1</v>
      </c>
      <c r="AD234" s="6" t="n">
        <v>28.8</v>
      </c>
      <c r="AE234" s="6" t="s">
        <v>124</v>
      </c>
      <c r="AF234" s="6" t="s">
        <v>123</v>
      </c>
      <c r="AG234" s="6" t="s">
        <v>123</v>
      </c>
      <c r="AH234" s="6" t="s">
        <v>123</v>
      </c>
      <c r="AI234" s="6" t="s">
        <v>123</v>
      </c>
      <c r="AJ234" s="8"/>
      <c r="AK234" s="8"/>
      <c r="AL234" s="8"/>
      <c r="AM234" s="8"/>
      <c r="AN234" s="8"/>
      <c r="AO234" s="8"/>
      <c r="AP234" s="9" t="s">
        <v>1434</v>
      </c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76.5" hidden="true" customHeight="true" outlineLevel="0" collapsed="false">
      <c r="A235" s="6" t="s">
        <v>1</v>
      </c>
      <c r="B235" s="6" t="n">
        <v>21</v>
      </c>
      <c r="C235" s="6" t="n">
        <v>34887048</v>
      </c>
      <c r="D235" s="6" t="s">
        <v>1435</v>
      </c>
      <c r="E235" s="6" t="s">
        <v>531</v>
      </c>
      <c r="F235" s="6" t="s">
        <v>1436</v>
      </c>
      <c r="G235" s="6" t="s">
        <v>1437</v>
      </c>
      <c r="H235" s="6" t="s">
        <v>1438</v>
      </c>
      <c r="I235" s="6" t="s">
        <v>1439</v>
      </c>
      <c r="J235" s="6" t="s">
        <v>1440</v>
      </c>
      <c r="K235" s="6" t="s">
        <v>120</v>
      </c>
      <c r="L235" s="6" t="s">
        <v>1441</v>
      </c>
      <c r="M235" s="6" t="n">
        <v>3996</v>
      </c>
      <c r="N235" s="7" t="n">
        <v>0.0959</v>
      </c>
      <c r="O235" s="6" t="s">
        <v>122</v>
      </c>
      <c r="P235" s="10" t="n">
        <f aca="false">HYPERLINK("https://www.ncbi.nlm.nih.gov/clinvar/variation/858424", 858424)</f>
        <v>858424</v>
      </c>
      <c r="Q235" s="6" t="s">
        <v>253</v>
      </c>
      <c r="R235" s="6" t="s">
        <v>1442</v>
      </c>
      <c r="S235" s="10" t="str">
        <f aca="false">HYPERLINK("https://www.ncbi.nlm.nih.gov/snp/rs752298116", "rs752298116")</f>
        <v>rs752298116</v>
      </c>
      <c r="T235" s="10" t="n">
        <f aca="false">HYPERLINK("https://gnomad.broadinstitute.org/variant/21-34887048-G-A?dataset=gnomad_r4", 0.0000131396)</f>
        <v>1.31396E-005</v>
      </c>
      <c r="U235" s="10" t="n">
        <f aca="false">HYPERLINK("https://gnomad.broadinstitute.org/variant/21-34887048-G-A?dataset=gnomad_r4", 0.0000324459)</f>
        <v>3.24459E-005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-3</v>
      </c>
      <c r="AA235" s="6" t="n">
        <v>41</v>
      </c>
      <c r="AB235" s="6" t="n">
        <v>2</v>
      </c>
      <c r="AC235" s="6" t="n">
        <v>-2</v>
      </c>
      <c r="AD235" s="6" t="n">
        <v>28</v>
      </c>
      <c r="AE235" s="6" t="s">
        <v>611</v>
      </c>
      <c r="AF235" s="6" t="s">
        <v>1187</v>
      </c>
      <c r="AG235" s="6" t="s">
        <v>1443</v>
      </c>
      <c r="AH235" s="6" t="s">
        <v>1444</v>
      </c>
      <c r="AI235" s="6" t="s">
        <v>1190</v>
      </c>
      <c r="AJ235" s="8"/>
      <c r="AK235" s="8"/>
      <c r="AL235" s="8"/>
      <c r="AM235" s="8"/>
      <c r="AN235" s="8"/>
      <c r="AO235" s="8"/>
      <c r="AP235" s="9" t="s">
        <v>1445</v>
      </c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76.5" hidden="true" customHeight="true" outlineLevel="0" collapsed="false">
      <c r="A236" s="6" t="s">
        <v>1</v>
      </c>
      <c r="B236" s="6" t="n">
        <v>21</v>
      </c>
      <c r="C236" s="6" t="n">
        <v>34834414</v>
      </c>
      <c r="D236" s="6" t="s">
        <v>1435</v>
      </c>
      <c r="E236" s="6" t="s">
        <v>531</v>
      </c>
      <c r="F236" s="6" t="s">
        <v>1436</v>
      </c>
      <c r="G236" s="6" t="s">
        <v>1446</v>
      </c>
      <c r="H236" s="6" t="s">
        <v>1447</v>
      </c>
      <c r="I236" s="6" t="s">
        <v>1448</v>
      </c>
      <c r="J236" s="6" t="s">
        <v>1449</v>
      </c>
      <c r="K236" s="6" t="s">
        <v>120</v>
      </c>
      <c r="L236" s="6" t="s">
        <v>1450</v>
      </c>
      <c r="M236" s="6" t="n">
        <v>3142</v>
      </c>
      <c r="N236" s="7" t="n">
        <v>0.0963</v>
      </c>
      <c r="O236" s="6" t="s">
        <v>155</v>
      </c>
      <c r="P236" s="10" t="n">
        <f aca="false">HYPERLINK("https://www.ncbi.nlm.nih.gov/clinvar/variation/409818", 409818)</f>
        <v>409818</v>
      </c>
      <c r="Q236" s="6" t="s">
        <v>215</v>
      </c>
      <c r="R236" s="6" t="s">
        <v>1451</v>
      </c>
      <c r="S236" s="10" t="str">
        <f aca="false">HYPERLINK("https://www.ncbi.nlm.nih.gov/snp/rs757570529", "rs757570529")</f>
        <v>rs757570529</v>
      </c>
      <c r="T236" s="10" t="n">
        <f aca="false">HYPERLINK("https://gnomad.broadinstitute.org/variant/21-34834414-C-T?dataset=gnomad_r4", 0.0000394934)</f>
        <v>3.94934E-005</v>
      </c>
      <c r="U236" s="10" t="n">
        <f aca="false">HYPERLINK("https://gnomad.broadinstitute.org/variant/21-34834414-C-T?dataset=gnomad_r4", 0.0000898854)</f>
        <v>8.98854E-005</v>
      </c>
      <c r="V236" s="6" t="n">
        <v>0</v>
      </c>
      <c r="W236" s="6" t="n">
        <v>0</v>
      </c>
      <c r="X236" s="6" t="n">
        <v>0</v>
      </c>
      <c r="Y236" s="6" t="n">
        <v>0</v>
      </c>
      <c r="Z236" s="6" t="n">
        <v>-4</v>
      </c>
      <c r="AA236" s="6" t="n">
        <v>14</v>
      </c>
      <c r="AB236" s="6" t="n">
        <v>8</v>
      </c>
      <c r="AC236" s="6" t="n">
        <v>-4</v>
      </c>
      <c r="AD236" s="6" t="n">
        <v>14.51</v>
      </c>
      <c r="AE236" s="6" t="s">
        <v>124</v>
      </c>
      <c r="AF236" s="6" t="s">
        <v>1187</v>
      </c>
      <c r="AG236" s="6" t="s">
        <v>1452</v>
      </c>
      <c r="AH236" s="6" t="s">
        <v>1453</v>
      </c>
      <c r="AI236" s="6" t="s">
        <v>1454</v>
      </c>
      <c r="AJ236" s="8"/>
      <c r="AK236" s="8"/>
      <c r="AL236" s="8"/>
      <c r="AM236" s="8"/>
      <c r="AN236" s="8"/>
      <c r="AO236" s="8"/>
      <c r="AP236" s="9" t="s">
        <v>1455</v>
      </c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63.75" hidden="true" customHeight="true" outlineLevel="0" collapsed="false">
      <c r="A237" s="6" t="s">
        <v>1</v>
      </c>
      <c r="B237" s="6" t="n">
        <v>21</v>
      </c>
      <c r="C237" s="6" t="n">
        <v>34792308</v>
      </c>
      <c r="D237" s="6" t="s">
        <v>1435</v>
      </c>
      <c r="E237" s="6" t="s">
        <v>531</v>
      </c>
      <c r="F237" s="6" t="s">
        <v>1436</v>
      </c>
      <c r="G237" s="6" t="s">
        <v>1072</v>
      </c>
      <c r="H237" s="6" t="s">
        <v>1456</v>
      </c>
      <c r="I237" s="6" t="s">
        <v>1457</v>
      </c>
      <c r="J237" s="6" t="s">
        <v>1458</v>
      </c>
      <c r="K237" s="6" t="s">
        <v>120</v>
      </c>
      <c r="L237" s="6" t="s">
        <v>1459</v>
      </c>
      <c r="M237" s="6" t="n">
        <v>1031</v>
      </c>
      <c r="N237" s="7" t="n">
        <v>0.0432</v>
      </c>
      <c r="O237" s="6" t="s">
        <v>1460</v>
      </c>
      <c r="P237" s="6" t="s">
        <v>123</v>
      </c>
      <c r="Q237" s="6" t="s">
        <v>123</v>
      </c>
      <c r="R237" s="6" t="s">
        <v>123</v>
      </c>
      <c r="S237" s="6" t="s">
        <v>123</v>
      </c>
      <c r="T237" s="6" t="s">
        <v>123</v>
      </c>
      <c r="U237" s="10" t="n">
        <f aca="false">HYPERLINK("https://gnomad.broadinstitute.org/variant/21-34792308-A-T?dataset=gnomad_r4", 0.0000108633)</f>
        <v>1.08633E-005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24</v>
      </c>
      <c r="AA237" s="6" t="n">
        <v>3</v>
      </c>
      <c r="AB237" s="6" t="n">
        <v>16</v>
      </c>
      <c r="AC237" s="6" t="n">
        <v>-9</v>
      </c>
      <c r="AD237" s="6" t="n">
        <v>24.1</v>
      </c>
      <c r="AE237" s="6" t="s">
        <v>1461</v>
      </c>
      <c r="AF237" s="6" t="s">
        <v>123</v>
      </c>
      <c r="AG237" s="6" t="s">
        <v>123</v>
      </c>
      <c r="AH237" s="6" t="s">
        <v>123</v>
      </c>
      <c r="AI237" s="6" t="s">
        <v>123</v>
      </c>
      <c r="AJ237" s="8"/>
      <c r="AK237" s="8"/>
      <c r="AL237" s="8"/>
      <c r="AM237" s="8"/>
      <c r="AN237" s="8"/>
      <c r="AO237" s="8"/>
      <c r="AP237" s="9" t="s">
        <v>1462</v>
      </c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63.75" hidden="true" customHeight="true" outlineLevel="0" collapsed="false">
      <c r="A238" s="6" t="s">
        <v>1</v>
      </c>
      <c r="B238" s="6" t="n">
        <v>18</v>
      </c>
      <c r="C238" s="6" t="n">
        <v>45063235</v>
      </c>
      <c r="D238" s="6" t="s">
        <v>1463</v>
      </c>
      <c r="E238" s="6" t="s">
        <v>6</v>
      </c>
      <c r="F238" s="6" t="s">
        <v>1464</v>
      </c>
      <c r="G238" s="6" t="s">
        <v>1332</v>
      </c>
      <c r="H238" s="6" t="s">
        <v>1465</v>
      </c>
      <c r="I238" s="6" t="s">
        <v>1466</v>
      </c>
      <c r="J238" s="6" t="s">
        <v>1467</v>
      </c>
      <c r="K238" s="6" t="s">
        <v>153</v>
      </c>
      <c r="L238" s="6" t="s">
        <v>1468</v>
      </c>
      <c r="M238" s="6" t="n">
        <v>3767</v>
      </c>
      <c r="N238" s="7" t="n">
        <v>0.0537</v>
      </c>
      <c r="O238" s="6" t="s">
        <v>122</v>
      </c>
      <c r="P238" s="6" t="s">
        <v>123</v>
      </c>
      <c r="Q238" s="6" t="s">
        <v>123</v>
      </c>
      <c r="R238" s="6" t="s">
        <v>123</v>
      </c>
      <c r="S238" s="6" t="s">
        <v>123</v>
      </c>
      <c r="T238" s="6" t="s">
        <v>123</v>
      </c>
      <c r="U238" s="6" t="s">
        <v>123</v>
      </c>
      <c r="V238" s="6" t="n">
        <v>0</v>
      </c>
      <c r="W238" s="6" t="n">
        <v>0</v>
      </c>
      <c r="X238" s="6" t="n">
        <v>0</v>
      </c>
      <c r="Y238" s="6" t="n">
        <v>0</v>
      </c>
      <c r="Z238" s="6" t="n">
        <v>-31</v>
      </c>
      <c r="AA238" s="6" t="n">
        <v>9</v>
      </c>
      <c r="AB238" s="6" t="n">
        <v>45</v>
      </c>
      <c r="AC238" s="6" t="n">
        <v>8</v>
      </c>
      <c r="AD238" s="6" t="s">
        <v>123</v>
      </c>
      <c r="AE238" s="6" t="s">
        <v>124</v>
      </c>
      <c r="AF238" s="6" t="s">
        <v>123</v>
      </c>
      <c r="AG238" s="6" t="s">
        <v>123</v>
      </c>
      <c r="AH238" s="6" t="s">
        <v>123</v>
      </c>
      <c r="AI238" s="6" t="s">
        <v>123</v>
      </c>
      <c r="AJ238" s="8"/>
      <c r="AK238" s="8"/>
      <c r="AL238" s="8"/>
      <c r="AM238" s="8"/>
      <c r="AN238" s="8"/>
      <c r="AO238" s="8"/>
      <c r="AP238" s="9" t="s">
        <v>1469</v>
      </c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63.75" hidden="true" customHeight="true" outlineLevel="0" collapsed="false">
      <c r="A239" s="6" t="s">
        <v>1</v>
      </c>
      <c r="B239" s="6" t="n">
        <v>18</v>
      </c>
      <c r="C239" s="6" t="n">
        <v>45063334</v>
      </c>
      <c r="D239" s="6" t="s">
        <v>1463</v>
      </c>
      <c r="E239" s="6" t="s">
        <v>6</v>
      </c>
      <c r="F239" s="6" t="s">
        <v>1464</v>
      </c>
      <c r="G239" s="6" t="s">
        <v>1332</v>
      </c>
      <c r="H239" s="6" t="s">
        <v>1470</v>
      </c>
      <c r="I239" s="6" t="s">
        <v>1471</v>
      </c>
      <c r="J239" s="6" t="s">
        <v>1472</v>
      </c>
      <c r="K239" s="6" t="s">
        <v>120</v>
      </c>
      <c r="L239" s="6" t="s">
        <v>1473</v>
      </c>
      <c r="M239" s="6" t="n">
        <v>4170</v>
      </c>
      <c r="N239" s="7" t="n">
        <v>0.063</v>
      </c>
      <c r="O239" s="6" t="s">
        <v>122</v>
      </c>
      <c r="P239" s="6" t="s">
        <v>123</v>
      </c>
      <c r="Q239" s="6" t="s">
        <v>123</v>
      </c>
      <c r="R239" s="6" t="s">
        <v>123</v>
      </c>
      <c r="S239" s="6" t="s">
        <v>123</v>
      </c>
      <c r="T239" s="6" t="s">
        <v>123</v>
      </c>
      <c r="U239" s="6" t="s">
        <v>123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1</v>
      </c>
      <c r="AA239" s="6" t="n">
        <v>-20</v>
      </c>
      <c r="AB239" s="6" t="n">
        <v>-39</v>
      </c>
      <c r="AC239" s="6" t="n">
        <v>-8</v>
      </c>
      <c r="AD239" s="6" t="n">
        <v>25.1</v>
      </c>
      <c r="AE239" s="6" t="s">
        <v>124</v>
      </c>
      <c r="AF239" s="6" t="s">
        <v>123</v>
      </c>
      <c r="AG239" s="6" t="s">
        <v>123</v>
      </c>
      <c r="AH239" s="6" t="s">
        <v>123</v>
      </c>
      <c r="AI239" s="6" t="s">
        <v>123</v>
      </c>
      <c r="AJ239" s="8"/>
      <c r="AK239" s="8"/>
      <c r="AL239" s="8"/>
      <c r="AM239" s="8"/>
      <c r="AN239" s="8"/>
      <c r="AO239" s="8"/>
      <c r="AP239" s="9" t="s">
        <v>1474</v>
      </c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63.75" hidden="true" customHeight="true" outlineLevel="0" collapsed="false">
      <c r="A240" s="6" t="s">
        <v>1</v>
      </c>
      <c r="B240" s="6" t="n">
        <v>18</v>
      </c>
      <c r="C240" s="6" t="n">
        <v>45063608</v>
      </c>
      <c r="D240" s="6" t="s">
        <v>1463</v>
      </c>
      <c r="E240" s="6" t="s">
        <v>6</v>
      </c>
      <c r="F240" s="6" t="s">
        <v>1464</v>
      </c>
      <c r="G240" s="6" t="s">
        <v>1332</v>
      </c>
      <c r="H240" s="6" t="s">
        <v>1475</v>
      </c>
      <c r="I240" s="6" t="s">
        <v>1476</v>
      </c>
      <c r="J240" s="6" t="s">
        <v>1477</v>
      </c>
      <c r="K240" s="6" t="s">
        <v>153</v>
      </c>
      <c r="L240" s="6" t="s">
        <v>1478</v>
      </c>
      <c r="M240" s="6" t="n">
        <v>2574</v>
      </c>
      <c r="N240" s="7" t="n">
        <v>0.0717</v>
      </c>
      <c r="O240" s="6" t="s">
        <v>122</v>
      </c>
      <c r="P240" s="6" t="s">
        <v>123</v>
      </c>
      <c r="Q240" s="6" t="s">
        <v>123</v>
      </c>
      <c r="R240" s="6" t="s">
        <v>123</v>
      </c>
      <c r="S240" s="6" t="s">
        <v>123</v>
      </c>
      <c r="T240" s="6" t="s">
        <v>123</v>
      </c>
      <c r="U240" s="6" t="s">
        <v>123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-14</v>
      </c>
      <c r="AA240" s="6" t="n">
        <v>-5</v>
      </c>
      <c r="AB240" s="6" t="n">
        <v>33</v>
      </c>
      <c r="AC240" s="6" t="n">
        <v>47</v>
      </c>
      <c r="AD240" s="6" t="s">
        <v>123</v>
      </c>
      <c r="AE240" s="6" t="s">
        <v>124</v>
      </c>
      <c r="AF240" s="6" t="s">
        <v>123</v>
      </c>
      <c r="AG240" s="6" t="s">
        <v>123</v>
      </c>
      <c r="AH240" s="6" t="s">
        <v>123</v>
      </c>
      <c r="AI240" s="6" t="s">
        <v>123</v>
      </c>
      <c r="AJ240" s="8"/>
      <c r="AK240" s="8"/>
      <c r="AL240" s="8"/>
      <c r="AM240" s="8"/>
      <c r="AN240" s="8"/>
      <c r="AO240" s="8"/>
      <c r="AP240" s="9" t="s">
        <v>1479</v>
      </c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63.75" hidden="true" customHeight="true" outlineLevel="0" collapsed="false">
      <c r="A241" s="6" t="s">
        <v>1</v>
      </c>
      <c r="B241" s="6" t="n">
        <v>11</v>
      </c>
      <c r="C241" s="6" t="n">
        <v>64776599</v>
      </c>
      <c r="D241" s="6" t="s">
        <v>1480</v>
      </c>
      <c r="E241" s="6" t="s">
        <v>6</v>
      </c>
      <c r="F241" s="6" t="s">
        <v>1481</v>
      </c>
      <c r="G241" s="6" t="s">
        <v>1482</v>
      </c>
      <c r="H241" s="6" t="s">
        <v>1483</v>
      </c>
      <c r="I241" s="6" t="s">
        <v>1484</v>
      </c>
      <c r="J241" s="6" t="s">
        <v>1485</v>
      </c>
      <c r="K241" s="6" t="s">
        <v>120</v>
      </c>
      <c r="L241" s="6" t="s">
        <v>1486</v>
      </c>
      <c r="M241" s="6" t="n">
        <v>3516</v>
      </c>
      <c r="N241" s="7" t="n">
        <v>0.0966</v>
      </c>
      <c r="O241" s="6" t="s">
        <v>122</v>
      </c>
      <c r="P241" s="6" t="s">
        <v>123</v>
      </c>
      <c r="Q241" s="6" t="s">
        <v>123</v>
      </c>
      <c r="R241" s="6" t="s">
        <v>123</v>
      </c>
      <c r="S241" s="6" t="s">
        <v>123</v>
      </c>
      <c r="T241" s="6" t="s">
        <v>123</v>
      </c>
      <c r="U241" s="10" t="n">
        <f aca="false">HYPERLINK("https://gnomad.broadinstitute.org/variant/11-64776599-C-A?dataset=gnomad_r4", 0.000000692505)</f>
        <v>6.92505E-007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10</v>
      </c>
      <c r="AA241" s="6" t="n">
        <v>17</v>
      </c>
      <c r="AB241" s="6" t="n">
        <v>19</v>
      </c>
      <c r="AC241" s="6" t="n">
        <v>-34</v>
      </c>
      <c r="AD241" s="6" t="n">
        <v>27.8</v>
      </c>
      <c r="AE241" s="6" t="s">
        <v>124</v>
      </c>
      <c r="AF241" s="6" t="s">
        <v>123</v>
      </c>
      <c r="AG241" s="6" t="s">
        <v>123</v>
      </c>
      <c r="AH241" s="6" t="s">
        <v>123</v>
      </c>
      <c r="AI241" s="6" t="s">
        <v>123</v>
      </c>
      <c r="AJ241" s="8"/>
      <c r="AK241" s="8"/>
      <c r="AL241" s="8"/>
      <c r="AM241" s="8"/>
      <c r="AN241" s="8"/>
      <c r="AO241" s="8"/>
      <c r="AP241" s="9" t="s">
        <v>1487</v>
      </c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63.75" hidden="true" customHeight="true" outlineLevel="0" collapsed="false">
      <c r="A242" s="6" t="s">
        <v>1</v>
      </c>
      <c r="B242" s="6" t="n">
        <v>22</v>
      </c>
      <c r="C242" s="6" t="n">
        <v>30337752</v>
      </c>
      <c r="D242" s="6" t="s">
        <v>1488</v>
      </c>
      <c r="E242" s="6" t="s">
        <v>6</v>
      </c>
      <c r="F242" s="6" t="s">
        <v>1489</v>
      </c>
      <c r="G242" s="6" t="s">
        <v>1490</v>
      </c>
      <c r="H242" s="6" t="s">
        <v>1491</v>
      </c>
      <c r="I242" s="6" t="s">
        <v>1492</v>
      </c>
      <c r="J242" s="6" t="s">
        <v>1493</v>
      </c>
      <c r="K242" s="6" t="s">
        <v>120</v>
      </c>
      <c r="L242" s="6" t="s">
        <v>1494</v>
      </c>
      <c r="M242" s="6" t="n">
        <v>2212</v>
      </c>
      <c r="N242" s="7" t="n">
        <v>0.0588</v>
      </c>
      <c r="O242" s="6" t="s">
        <v>122</v>
      </c>
      <c r="P242" s="6" t="s">
        <v>123</v>
      </c>
      <c r="Q242" s="6" t="s">
        <v>123</v>
      </c>
      <c r="R242" s="6" t="s">
        <v>123</v>
      </c>
      <c r="S242" s="6" t="s">
        <v>123</v>
      </c>
      <c r="T242" s="6" t="s">
        <v>123</v>
      </c>
      <c r="U242" s="6" t="s">
        <v>123</v>
      </c>
      <c r="V242" s="6" t="n">
        <v>0</v>
      </c>
      <c r="W242" s="6" t="n">
        <v>0</v>
      </c>
      <c r="X242" s="6" t="n">
        <v>0</v>
      </c>
      <c r="Y242" s="6" t="n">
        <v>0</v>
      </c>
      <c r="Z242" s="6" t="n">
        <v>14</v>
      </c>
      <c r="AA242" s="6" t="n">
        <v>-4</v>
      </c>
      <c r="AB242" s="6" t="n">
        <v>8</v>
      </c>
      <c r="AC242" s="6" t="n">
        <v>5</v>
      </c>
      <c r="AD242" s="6" t="n">
        <v>23.2</v>
      </c>
      <c r="AE242" s="6" t="s">
        <v>124</v>
      </c>
      <c r="AF242" s="6" t="s">
        <v>123</v>
      </c>
      <c r="AG242" s="6" t="s">
        <v>123</v>
      </c>
      <c r="AH242" s="6" t="s">
        <v>123</v>
      </c>
      <c r="AI242" s="6" t="s">
        <v>123</v>
      </c>
      <c r="AJ242" s="8"/>
      <c r="AK242" s="8"/>
      <c r="AL242" s="8"/>
      <c r="AM242" s="8"/>
      <c r="AN242" s="8"/>
      <c r="AO242" s="8"/>
      <c r="AP242" s="9" t="s">
        <v>1495</v>
      </c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76.5" hidden="true" customHeight="true" outlineLevel="0" collapsed="false">
      <c r="A243" s="6" t="s">
        <v>1</v>
      </c>
      <c r="B243" s="6" t="n">
        <v>2</v>
      </c>
      <c r="C243" s="6" t="n">
        <v>197400449</v>
      </c>
      <c r="D243" s="6" t="s">
        <v>1496</v>
      </c>
      <c r="E243" s="6" t="s">
        <v>371</v>
      </c>
      <c r="F243" s="6" t="s">
        <v>1497</v>
      </c>
      <c r="G243" s="6" t="s">
        <v>123</v>
      </c>
      <c r="H243" s="6" t="s">
        <v>1498</v>
      </c>
      <c r="I243" s="6"/>
      <c r="J243" s="6" t="s">
        <v>123</v>
      </c>
      <c r="K243" s="6" t="s">
        <v>141</v>
      </c>
      <c r="L243" s="6" t="s">
        <v>1499</v>
      </c>
      <c r="M243" s="6" t="n">
        <v>2763</v>
      </c>
      <c r="N243" s="7" t="n">
        <v>0.314</v>
      </c>
      <c r="O243" s="6" t="s">
        <v>129</v>
      </c>
      <c r="P243" s="6" t="s">
        <v>123</v>
      </c>
      <c r="Q243" s="6" t="s">
        <v>123</v>
      </c>
      <c r="R243" s="6" t="s">
        <v>123</v>
      </c>
      <c r="S243" s="10" t="str">
        <f aca="false">HYPERLINK("https://www.ncbi.nlm.nih.gov/snp/rs770725816", "rs770725816")</f>
        <v>rs770725816</v>
      </c>
      <c r="T243" s="6" t="s">
        <v>123</v>
      </c>
      <c r="U243" s="10" t="n">
        <f aca="false">HYPERLINK("https://gnomad.broadinstitute.org/variant/2-197400449-T-TA?dataset=gnomad_r4", 0.00000215064)</f>
        <v>2.15064E-006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-15</v>
      </c>
      <c r="AA243" s="6" t="n">
        <v>-22</v>
      </c>
      <c r="AB243" s="6" t="n">
        <v>-25</v>
      </c>
      <c r="AC243" s="6" t="n">
        <v>-47</v>
      </c>
      <c r="AD243" s="6" t="s">
        <v>123</v>
      </c>
      <c r="AE243" s="6" t="s">
        <v>124</v>
      </c>
      <c r="AF243" s="6" t="s">
        <v>123</v>
      </c>
      <c r="AG243" s="6" t="s">
        <v>123</v>
      </c>
      <c r="AH243" s="6" t="s">
        <v>123</v>
      </c>
      <c r="AI243" s="6" t="s">
        <v>123</v>
      </c>
      <c r="AJ243" s="8"/>
      <c r="AK243" s="8"/>
      <c r="AL243" s="8"/>
      <c r="AM243" s="8"/>
      <c r="AN243" s="8"/>
      <c r="AO243" s="8"/>
      <c r="AP243" s="9" t="s">
        <v>1500</v>
      </c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76.5" hidden="true" customHeight="true" outlineLevel="0" collapsed="false">
      <c r="A244" s="6" t="s">
        <v>1</v>
      </c>
      <c r="B244" s="6" t="s">
        <v>145</v>
      </c>
      <c r="C244" s="6" t="n">
        <v>53414783</v>
      </c>
      <c r="D244" s="6" t="s">
        <v>1501</v>
      </c>
      <c r="E244" s="6" t="s">
        <v>6</v>
      </c>
      <c r="F244" s="6" t="s">
        <v>1502</v>
      </c>
      <c r="G244" s="6" t="s">
        <v>1503</v>
      </c>
      <c r="H244" s="6" t="s">
        <v>1504</v>
      </c>
      <c r="I244" s="6" t="s">
        <v>1505</v>
      </c>
      <c r="J244" s="6" t="s">
        <v>1506</v>
      </c>
      <c r="K244" s="6" t="s">
        <v>120</v>
      </c>
      <c r="L244" s="6" t="s">
        <v>1507</v>
      </c>
      <c r="M244" s="6" t="n">
        <v>3675</v>
      </c>
      <c r="N244" s="7" t="n">
        <v>0.376</v>
      </c>
      <c r="O244" s="6" t="s">
        <v>122</v>
      </c>
      <c r="P244" s="10" t="n">
        <f aca="false">HYPERLINK("https://www.ncbi.nlm.nih.gov/clinvar/variation/1446961", 1446961)</f>
        <v>1446961</v>
      </c>
      <c r="Q244" s="6" t="s">
        <v>253</v>
      </c>
      <c r="R244" s="6" t="s">
        <v>1508</v>
      </c>
      <c r="S244" s="10" t="str">
        <f aca="false">HYPERLINK("https://www.ncbi.nlm.nih.gov/snp/rs1223252947", "rs1223252947")</f>
        <v>rs1223252947</v>
      </c>
      <c r="T244" s="10" t="n">
        <f aca="false">HYPERLINK("https://gnomad.broadinstitute.org/variant/X-53414783-T-C?dataset=gnomad_r4", 0.00000895752)</f>
        <v>8.95752E-006</v>
      </c>
      <c r="U244" s="10" t="n">
        <f aca="false">HYPERLINK("https://gnomad.broadinstitute.org/variant/X-53414783-T-C?dataset=gnomad_r4", 0.0000064155)</f>
        <v>6.4155E-006</v>
      </c>
      <c r="V244" s="6" t="n">
        <v>0</v>
      </c>
      <c r="W244" s="6" t="n">
        <v>0</v>
      </c>
      <c r="X244" s="6" t="n">
        <v>0</v>
      </c>
      <c r="Y244" s="6" t="n">
        <v>0</v>
      </c>
      <c r="Z244" s="6" t="n">
        <v>-1</v>
      </c>
      <c r="AA244" s="6" t="n">
        <v>-26</v>
      </c>
      <c r="AB244" s="6" t="n">
        <v>-27</v>
      </c>
      <c r="AC244" s="6" t="n">
        <v>-25</v>
      </c>
      <c r="AD244" s="6" t="n">
        <v>23.9</v>
      </c>
      <c r="AE244" s="6" t="s">
        <v>124</v>
      </c>
      <c r="AF244" s="6" t="s">
        <v>123</v>
      </c>
      <c r="AG244" s="6" t="s">
        <v>123</v>
      </c>
      <c r="AH244" s="6" t="s">
        <v>123</v>
      </c>
      <c r="AI244" s="6" t="s">
        <v>123</v>
      </c>
      <c r="AJ244" s="8"/>
      <c r="AK244" s="8"/>
      <c r="AL244" s="8"/>
      <c r="AM244" s="8"/>
      <c r="AN244" s="8"/>
      <c r="AO244" s="8"/>
      <c r="AP244" s="9" t="s">
        <v>1509</v>
      </c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63.75" hidden="true" customHeight="true" outlineLevel="0" collapsed="false">
      <c r="A245" s="6" t="s">
        <v>1</v>
      </c>
      <c r="B245" s="6" t="n">
        <v>10</v>
      </c>
      <c r="C245" s="6" t="n">
        <v>110600557</v>
      </c>
      <c r="D245" s="6" t="s">
        <v>1510</v>
      </c>
      <c r="E245" s="6" t="s">
        <v>6</v>
      </c>
      <c r="F245" s="6" t="s">
        <v>1511</v>
      </c>
      <c r="G245" s="6" t="s">
        <v>123</v>
      </c>
      <c r="H245" s="6" t="s">
        <v>1512</v>
      </c>
      <c r="I245" s="6"/>
      <c r="J245" s="6" t="s">
        <v>123</v>
      </c>
      <c r="K245" s="6" t="s">
        <v>141</v>
      </c>
      <c r="L245" s="6" t="s">
        <v>1513</v>
      </c>
      <c r="M245" s="6" t="n">
        <v>3656</v>
      </c>
      <c r="N245" s="7" t="n">
        <v>0.227</v>
      </c>
      <c r="O245" s="6" t="s">
        <v>129</v>
      </c>
      <c r="P245" s="6" t="s">
        <v>123</v>
      </c>
      <c r="Q245" s="6" t="s">
        <v>123</v>
      </c>
      <c r="R245" s="6" t="s">
        <v>123</v>
      </c>
      <c r="S245" s="6" t="s">
        <v>123</v>
      </c>
      <c r="T245" s="6" t="s">
        <v>123</v>
      </c>
      <c r="U245" s="10" t="n">
        <f aca="false">HYPERLINK("https://gnomad.broadinstitute.org/variant/10-110600557-GTTTTTT-G?dataset=gnomad_r4", 0.0000142922)</f>
        <v>1.42922E-005</v>
      </c>
      <c r="V245" s="6" t="s">
        <v>123</v>
      </c>
      <c r="W245" s="6" t="s">
        <v>123</v>
      </c>
      <c r="X245" s="6" t="s">
        <v>123</v>
      </c>
      <c r="Y245" s="6" t="s">
        <v>123</v>
      </c>
      <c r="Z245" s="6" t="s">
        <v>123</v>
      </c>
      <c r="AA245" s="6" t="s">
        <v>123</v>
      </c>
      <c r="AB245" s="6" t="s">
        <v>123</v>
      </c>
      <c r="AC245" s="6" t="s">
        <v>123</v>
      </c>
      <c r="AD245" s="6" t="s">
        <v>123</v>
      </c>
      <c r="AE245" s="6" t="s">
        <v>124</v>
      </c>
      <c r="AF245" s="6" t="s">
        <v>123</v>
      </c>
      <c r="AG245" s="6" t="s">
        <v>123</v>
      </c>
      <c r="AH245" s="6" t="s">
        <v>123</v>
      </c>
      <c r="AI245" s="6" t="s">
        <v>123</v>
      </c>
      <c r="AJ245" s="8"/>
      <c r="AK245" s="8"/>
      <c r="AL245" s="8"/>
      <c r="AM245" s="8"/>
      <c r="AN245" s="8"/>
      <c r="AO245" s="8"/>
      <c r="AP245" s="9" t="s">
        <v>1514</v>
      </c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63.75" hidden="true" customHeight="true" outlineLevel="0" collapsed="false">
      <c r="A246" s="6" t="s">
        <v>1</v>
      </c>
      <c r="B246" s="6" t="n">
        <v>10</v>
      </c>
      <c r="C246" s="6" t="n">
        <v>110600557</v>
      </c>
      <c r="D246" s="6" t="s">
        <v>1510</v>
      </c>
      <c r="E246" s="6" t="s">
        <v>6</v>
      </c>
      <c r="F246" s="6" t="s">
        <v>1511</v>
      </c>
      <c r="G246" s="6" t="s">
        <v>123</v>
      </c>
      <c r="H246" s="6" t="s">
        <v>1515</v>
      </c>
      <c r="I246" s="6"/>
      <c r="J246" s="6" t="s">
        <v>123</v>
      </c>
      <c r="K246" s="6" t="s">
        <v>141</v>
      </c>
      <c r="L246" s="6" t="s">
        <v>1516</v>
      </c>
      <c r="M246" s="6" t="n">
        <v>3656</v>
      </c>
      <c r="N246" s="7" t="n">
        <v>0.0787</v>
      </c>
      <c r="O246" s="6" t="s">
        <v>129</v>
      </c>
      <c r="P246" s="6" t="s">
        <v>123</v>
      </c>
      <c r="Q246" s="6" t="s">
        <v>123</v>
      </c>
      <c r="R246" s="6" t="s">
        <v>123</v>
      </c>
      <c r="S246" s="6" t="s">
        <v>123</v>
      </c>
      <c r="T246" s="10" t="n">
        <f aca="false">HYPERLINK("https://gnomad.broadinstitute.org/variant/10-110600557-GTTTTTTT-G?dataset=gnomad_r4", 0.00000726712)</f>
        <v>7.26712E-006</v>
      </c>
      <c r="U246" s="10" t="n">
        <f aca="false">HYPERLINK("https://gnomad.broadinstitute.org/variant/10-110600557-GTTTTTTT-G?dataset=gnomad_r4", 0.00000357301)</f>
        <v>3.57301E-006</v>
      </c>
      <c r="V246" s="6" t="s">
        <v>123</v>
      </c>
      <c r="W246" s="6" t="s">
        <v>123</v>
      </c>
      <c r="X246" s="6" t="s">
        <v>123</v>
      </c>
      <c r="Y246" s="6" t="s">
        <v>123</v>
      </c>
      <c r="Z246" s="6" t="s">
        <v>123</v>
      </c>
      <c r="AA246" s="6" t="s">
        <v>123</v>
      </c>
      <c r="AB246" s="6" t="s">
        <v>123</v>
      </c>
      <c r="AC246" s="6" t="s">
        <v>123</v>
      </c>
      <c r="AD246" s="6" t="n">
        <v>2.578</v>
      </c>
      <c r="AE246" s="6" t="s">
        <v>124</v>
      </c>
      <c r="AF246" s="6" t="s">
        <v>123</v>
      </c>
      <c r="AG246" s="6" t="s">
        <v>123</v>
      </c>
      <c r="AH246" s="6" t="s">
        <v>123</v>
      </c>
      <c r="AI246" s="6" t="s">
        <v>123</v>
      </c>
      <c r="AJ246" s="8"/>
      <c r="AK246" s="8"/>
      <c r="AL246" s="8"/>
      <c r="AM246" s="8"/>
      <c r="AN246" s="8"/>
      <c r="AO246" s="8"/>
      <c r="AP246" s="9" t="s">
        <v>1517</v>
      </c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63.75" hidden="true" customHeight="true" outlineLevel="0" collapsed="false">
      <c r="A247" s="6" t="s">
        <v>1</v>
      </c>
      <c r="B247" s="6" t="n">
        <v>10</v>
      </c>
      <c r="C247" s="6" t="n">
        <v>110600557</v>
      </c>
      <c r="D247" s="6" t="s">
        <v>1510</v>
      </c>
      <c r="E247" s="6" t="s">
        <v>6</v>
      </c>
      <c r="F247" s="6" t="s">
        <v>1511</v>
      </c>
      <c r="G247" s="6" t="s">
        <v>123</v>
      </c>
      <c r="H247" s="6" t="s">
        <v>1518</v>
      </c>
      <c r="I247" s="6"/>
      <c r="J247" s="6" t="s">
        <v>123</v>
      </c>
      <c r="K247" s="6" t="s">
        <v>141</v>
      </c>
      <c r="L247" s="6" t="s">
        <v>1519</v>
      </c>
      <c r="M247" s="6" t="n">
        <v>3656</v>
      </c>
      <c r="N247" s="7" t="n">
        <v>0.0733</v>
      </c>
      <c r="O247" s="6" t="s">
        <v>129</v>
      </c>
      <c r="P247" s="6" t="s">
        <v>123</v>
      </c>
      <c r="Q247" s="6" t="s">
        <v>123</v>
      </c>
      <c r="R247" s="6" t="s">
        <v>123</v>
      </c>
      <c r="S247" s="6" t="s">
        <v>123</v>
      </c>
      <c r="T247" s="6" t="s">
        <v>123</v>
      </c>
      <c r="U247" s="6" t="s">
        <v>123</v>
      </c>
      <c r="V247" s="6" t="s">
        <v>123</v>
      </c>
      <c r="W247" s="6" t="s">
        <v>123</v>
      </c>
      <c r="X247" s="6" t="s">
        <v>123</v>
      </c>
      <c r="Y247" s="6" t="s">
        <v>123</v>
      </c>
      <c r="Z247" s="6" t="s">
        <v>123</v>
      </c>
      <c r="AA247" s="6" t="s">
        <v>123</v>
      </c>
      <c r="AB247" s="6" t="s">
        <v>123</v>
      </c>
      <c r="AC247" s="6" t="s">
        <v>123</v>
      </c>
      <c r="AD247" s="6" t="s">
        <v>123</v>
      </c>
      <c r="AE247" s="6" t="s">
        <v>124</v>
      </c>
      <c r="AF247" s="6" t="s">
        <v>123</v>
      </c>
      <c r="AG247" s="6" t="s">
        <v>123</v>
      </c>
      <c r="AH247" s="6" t="s">
        <v>123</v>
      </c>
      <c r="AI247" s="6" t="s">
        <v>123</v>
      </c>
      <c r="AJ247" s="8"/>
      <c r="AK247" s="8"/>
      <c r="AL247" s="8"/>
      <c r="AM247" s="8"/>
      <c r="AN247" s="8"/>
      <c r="AO247" s="8"/>
      <c r="AP247" s="9" t="s">
        <v>1520</v>
      </c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63.75" hidden="true" customHeight="true" outlineLevel="0" collapsed="false">
      <c r="A248" s="6" t="s">
        <v>1</v>
      </c>
      <c r="B248" s="6" t="n">
        <v>10</v>
      </c>
      <c r="C248" s="6" t="n">
        <v>110599810</v>
      </c>
      <c r="D248" s="6" t="s">
        <v>1510</v>
      </c>
      <c r="E248" s="6" t="s">
        <v>6</v>
      </c>
      <c r="F248" s="6" t="s">
        <v>1511</v>
      </c>
      <c r="G248" s="6" t="s">
        <v>1521</v>
      </c>
      <c r="H248" s="6" t="s">
        <v>1522</v>
      </c>
      <c r="I248" s="6" t="s">
        <v>1523</v>
      </c>
      <c r="J248" s="6" t="s">
        <v>1524</v>
      </c>
      <c r="K248" s="6" t="s">
        <v>1525</v>
      </c>
      <c r="L248" s="6" t="s">
        <v>1526</v>
      </c>
      <c r="M248" s="6" t="n">
        <v>3042</v>
      </c>
      <c r="N248" s="7" t="n">
        <v>0.0835</v>
      </c>
      <c r="O248" s="6" t="s">
        <v>122</v>
      </c>
      <c r="P248" s="6" t="s">
        <v>123</v>
      </c>
      <c r="Q248" s="6" t="s">
        <v>123</v>
      </c>
      <c r="R248" s="6" t="s">
        <v>123</v>
      </c>
      <c r="S248" s="6" t="s">
        <v>123</v>
      </c>
      <c r="T248" s="6" t="s">
        <v>123</v>
      </c>
      <c r="U248" s="6" t="s">
        <v>123</v>
      </c>
      <c r="V248" s="6" t="n">
        <v>0</v>
      </c>
      <c r="W248" s="6" t="n">
        <v>0</v>
      </c>
      <c r="X248" s="6" t="n">
        <v>0.01</v>
      </c>
      <c r="Y248" s="6" t="n">
        <v>0</v>
      </c>
      <c r="Z248" s="6" t="n">
        <v>-47</v>
      </c>
      <c r="AA248" s="6" t="n">
        <v>-42</v>
      </c>
      <c r="AB248" s="6" t="n">
        <v>-2</v>
      </c>
      <c r="AC248" s="6" t="n">
        <v>2</v>
      </c>
      <c r="AD248" s="6" t="n">
        <v>48</v>
      </c>
      <c r="AE248" s="6" t="s">
        <v>124</v>
      </c>
      <c r="AF248" s="6" t="s">
        <v>123</v>
      </c>
      <c r="AG248" s="6" t="s">
        <v>123</v>
      </c>
      <c r="AH248" s="6" t="s">
        <v>123</v>
      </c>
      <c r="AI248" s="6" t="s">
        <v>123</v>
      </c>
      <c r="AJ248" s="8"/>
      <c r="AK248" s="8"/>
      <c r="AL248" s="8"/>
      <c r="AM248" s="8"/>
      <c r="AN248" s="8"/>
      <c r="AO248" s="8"/>
      <c r="AP248" s="9" t="s">
        <v>1527</v>
      </c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63.75" hidden="true" customHeight="true" outlineLevel="0" collapsed="false">
      <c r="A249" s="6" t="s">
        <v>1</v>
      </c>
      <c r="B249" s="6" t="n">
        <v>10</v>
      </c>
      <c r="C249" s="6" t="n">
        <v>110577876</v>
      </c>
      <c r="D249" s="6" t="s">
        <v>1510</v>
      </c>
      <c r="E249" s="6" t="s">
        <v>6</v>
      </c>
      <c r="F249" s="6" t="s">
        <v>1511</v>
      </c>
      <c r="G249" s="6" t="s">
        <v>1528</v>
      </c>
      <c r="H249" s="6" t="s">
        <v>1529</v>
      </c>
      <c r="I249" s="6" t="s">
        <v>1530</v>
      </c>
      <c r="J249" s="6" t="s">
        <v>1531</v>
      </c>
      <c r="K249" s="6" t="s">
        <v>153</v>
      </c>
      <c r="L249" s="6" t="s">
        <v>1532</v>
      </c>
      <c r="M249" s="6" t="n">
        <v>3316</v>
      </c>
      <c r="N249" s="7" t="n">
        <v>0.0553</v>
      </c>
      <c r="O249" s="6" t="s">
        <v>122</v>
      </c>
      <c r="P249" s="6" t="s">
        <v>123</v>
      </c>
      <c r="Q249" s="6" t="s">
        <v>123</v>
      </c>
      <c r="R249" s="6" t="s">
        <v>123</v>
      </c>
      <c r="S249" s="6" t="s">
        <v>123</v>
      </c>
      <c r="T249" s="6" t="s">
        <v>123</v>
      </c>
      <c r="U249" s="6" t="s">
        <v>123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-12</v>
      </c>
      <c r="AA249" s="6" t="n">
        <v>-41</v>
      </c>
      <c r="AB249" s="6" t="n">
        <v>33</v>
      </c>
      <c r="AC249" s="6" t="n">
        <v>38</v>
      </c>
      <c r="AD249" s="6" t="s">
        <v>123</v>
      </c>
      <c r="AE249" s="6" t="s">
        <v>124</v>
      </c>
      <c r="AF249" s="6" t="s">
        <v>123</v>
      </c>
      <c r="AG249" s="6" t="s">
        <v>123</v>
      </c>
      <c r="AH249" s="6" t="s">
        <v>123</v>
      </c>
      <c r="AI249" s="6" t="s">
        <v>123</v>
      </c>
      <c r="AJ249" s="8"/>
      <c r="AK249" s="8"/>
      <c r="AL249" s="8"/>
      <c r="AM249" s="8"/>
      <c r="AN249" s="8"/>
      <c r="AO249" s="8"/>
      <c r="AP249" s="9" t="s">
        <v>1533</v>
      </c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76.5" hidden="true" customHeight="true" outlineLevel="0" collapsed="false">
      <c r="A250" s="6" t="s">
        <v>1</v>
      </c>
      <c r="B250" s="6" t="n">
        <v>10</v>
      </c>
      <c r="C250" s="6" t="n">
        <v>110577501</v>
      </c>
      <c r="D250" s="6" t="s">
        <v>1510</v>
      </c>
      <c r="E250" s="6" t="s">
        <v>6</v>
      </c>
      <c r="F250" s="6" t="s">
        <v>1511</v>
      </c>
      <c r="G250" s="6" t="s">
        <v>123</v>
      </c>
      <c r="H250" s="6" t="s">
        <v>1534</v>
      </c>
      <c r="I250" s="6"/>
      <c r="J250" s="6" t="s">
        <v>123</v>
      </c>
      <c r="K250" s="6" t="s">
        <v>141</v>
      </c>
      <c r="L250" s="6" t="s">
        <v>1535</v>
      </c>
      <c r="M250" s="6" t="n">
        <v>2845</v>
      </c>
      <c r="N250" s="7" t="n">
        <v>0.101</v>
      </c>
      <c r="O250" s="6" t="s">
        <v>528</v>
      </c>
      <c r="P250" s="10" t="n">
        <f aca="false">HYPERLINK("https://www.ncbi.nlm.nih.gov/clinvar/variation/515620", 515620)</f>
        <v>515620</v>
      </c>
      <c r="Q250" s="6" t="s">
        <v>283</v>
      </c>
      <c r="R250" s="6" t="s">
        <v>1536</v>
      </c>
      <c r="S250" s="10" t="str">
        <f aca="false">HYPERLINK("https://www.ncbi.nlm.nih.gov/snp/rs756099489", "rs756099489")</f>
        <v>rs756099489</v>
      </c>
      <c r="T250" s="10" t="n">
        <f aca="false">HYPERLINK("https://gnomad.broadinstitute.org/variant/10-110577501-C-CT?dataset=gnomad_r4", 0.000482096)</f>
        <v>0.000482096</v>
      </c>
      <c r="U250" s="10" t="n">
        <f aca="false">HYPERLINK("https://gnomad.broadinstitute.org/variant/10-110577501-C-CT?dataset=gnomad_r4", 0.000207271)</f>
        <v>0.000207271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-41</v>
      </c>
      <c r="AA250" s="6" t="n">
        <v>-22</v>
      </c>
      <c r="AB250" s="6" t="n">
        <v>-9</v>
      </c>
      <c r="AC250" s="6" t="n">
        <v>-5</v>
      </c>
      <c r="AD250" s="6" t="n">
        <v>15.12</v>
      </c>
      <c r="AE250" s="6" t="s">
        <v>124</v>
      </c>
      <c r="AF250" s="6" t="s">
        <v>123</v>
      </c>
      <c r="AG250" s="6" t="s">
        <v>123</v>
      </c>
      <c r="AH250" s="6" t="s">
        <v>123</v>
      </c>
      <c r="AI250" s="6" t="s">
        <v>123</v>
      </c>
      <c r="AJ250" s="8"/>
      <c r="AK250" s="8"/>
      <c r="AL250" s="8"/>
      <c r="AM250" s="8"/>
      <c r="AN250" s="8"/>
      <c r="AO250" s="8"/>
      <c r="AP250" s="9" t="s">
        <v>1537</v>
      </c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76.5" hidden="true" customHeight="true" outlineLevel="0" collapsed="false">
      <c r="A251" s="6" t="s">
        <v>1</v>
      </c>
      <c r="B251" s="6" t="n">
        <v>10</v>
      </c>
      <c r="C251" s="6" t="n">
        <v>110573735</v>
      </c>
      <c r="D251" s="6" t="s">
        <v>1510</v>
      </c>
      <c r="E251" s="6" t="s">
        <v>6</v>
      </c>
      <c r="F251" s="6" t="s">
        <v>1511</v>
      </c>
      <c r="G251" s="6" t="s">
        <v>1538</v>
      </c>
      <c r="H251" s="6" t="s">
        <v>1539</v>
      </c>
      <c r="I251" s="6" t="s">
        <v>1540</v>
      </c>
      <c r="J251" s="6" t="s">
        <v>1541</v>
      </c>
      <c r="K251" s="6" t="s">
        <v>153</v>
      </c>
      <c r="L251" s="6" t="s">
        <v>1542</v>
      </c>
      <c r="M251" s="6" t="n">
        <v>3059</v>
      </c>
      <c r="N251" s="7" t="n">
        <v>0.0778</v>
      </c>
      <c r="O251" s="6" t="s">
        <v>122</v>
      </c>
      <c r="P251" s="6" t="s">
        <v>123</v>
      </c>
      <c r="Q251" s="6" t="s">
        <v>123</v>
      </c>
      <c r="R251" s="6" t="s">
        <v>123</v>
      </c>
      <c r="S251" s="10" t="str">
        <f aca="false">HYPERLINK("https://www.ncbi.nlm.nih.gov/snp/rs1466680694", "rs1466680694")</f>
        <v>rs1466680694</v>
      </c>
      <c r="T251" s="6" t="s">
        <v>123</v>
      </c>
      <c r="U251" s="10" t="n">
        <f aca="false">HYPERLINK("https://gnomad.broadinstitute.org/variant/10-110573735-CT-C?dataset=gnomad_r4", 0.00000830399)</f>
        <v>8.30399E-006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10</v>
      </c>
      <c r="AA251" s="6" t="n">
        <v>-28</v>
      </c>
      <c r="AB251" s="6" t="n">
        <v>10</v>
      </c>
      <c r="AC251" s="6" t="n">
        <v>-5</v>
      </c>
      <c r="AD251" s="6" t="s">
        <v>123</v>
      </c>
      <c r="AE251" s="6" t="s">
        <v>124</v>
      </c>
      <c r="AF251" s="6" t="s">
        <v>123</v>
      </c>
      <c r="AG251" s="6" t="s">
        <v>123</v>
      </c>
      <c r="AH251" s="6" t="s">
        <v>123</v>
      </c>
      <c r="AI251" s="6" t="s">
        <v>123</v>
      </c>
      <c r="AJ251" s="8"/>
      <c r="AK251" s="8"/>
      <c r="AL251" s="8"/>
      <c r="AM251" s="8"/>
      <c r="AN251" s="8"/>
      <c r="AO251" s="8"/>
      <c r="AP251" s="9" t="s">
        <v>1543</v>
      </c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76.5" hidden="true" customHeight="true" outlineLevel="0" collapsed="false">
      <c r="A252" s="6" t="s">
        <v>1</v>
      </c>
      <c r="B252" s="6" t="n">
        <v>10</v>
      </c>
      <c r="C252" s="6" t="n">
        <v>110600557</v>
      </c>
      <c r="D252" s="6" t="s">
        <v>1510</v>
      </c>
      <c r="E252" s="6" t="s">
        <v>6</v>
      </c>
      <c r="F252" s="6" t="s">
        <v>1511</v>
      </c>
      <c r="G252" s="6" t="s">
        <v>123</v>
      </c>
      <c r="H252" s="6" t="s">
        <v>1544</v>
      </c>
      <c r="I252" s="6"/>
      <c r="J252" s="6" t="s">
        <v>123</v>
      </c>
      <c r="K252" s="6" t="s">
        <v>141</v>
      </c>
      <c r="L252" s="6" t="s">
        <v>1545</v>
      </c>
      <c r="M252" s="6" t="n">
        <v>3656</v>
      </c>
      <c r="N252" s="7" t="n">
        <v>0.235</v>
      </c>
      <c r="O252" s="6" t="s">
        <v>129</v>
      </c>
      <c r="P252" s="6" t="s">
        <v>123</v>
      </c>
      <c r="Q252" s="6" t="s">
        <v>123</v>
      </c>
      <c r="R252" s="6" t="s">
        <v>123</v>
      </c>
      <c r="S252" s="10" t="str">
        <f aca="false">HYPERLINK("https://www.ncbi.nlm.nih.gov/snp/rs397847637", "rs397847637")</f>
        <v>rs397847637</v>
      </c>
      <c r="T252" s="10" t="n">
        <f aca="false">HYPERLINK("https://gnomad.broadinstitute.org/variant/10-110600557-GTTTT-G?dataset=gnomad_r4", 0.000014534)</f>
        <v>1.4534E-005</v>
      </c>
      <c r="U252" s="10" t="n">
        <f aca="false">HYPERLINK("https://gnomad.broadinstitute.org/variant/10-110600557-GTTTT-G?dataset=gnomad_r4", 0.0000691004)</f>
        <v>6.91004E-005</v>
      </c>
      <c r="V252" s="6" t="n">
        <v>0</v>
      </c>
      <c r="W252" s="6" t="n">
        <v>0</v>
      </c>
      <c r="X252" s="6" t="n">
        <v>0.02</v>
      </c>
      <c r="Y252" s="6" t="n">
        <v>0</v>
      </c>
      <c r="Z252" s="6" t="n">
        <v>-18</v>
      </c>
      <c r="AA252" s="6" t="n">
        <v>21</v>
      </c>
      <c r="AB252" s="6" t="n">
        <v>-7</v>
      </c>
      <c r="AC252" s="6" t="n">
        <v>-11</v>
      </c>
      <c r="AD252" s="6" t="n">
        <v>1.471</v>
      </c>
      <c r="AE252" s="6" t="s">
        <v>124</v>
      </c>
      <c r="AF252" s="6" t="s">
        <v>123</v>
      </c>
      <c r="AG252" s="6" t="s">
        <v>123</v>
      </c>
      <c r="AH252" s="6" t="s">
        <v>123</v>
      </c>
      <c r="AI252" s="6" t="s">
        <v>123</v>
      </c>
      <c r="AJ252" s="8"/>
      <c r="AK252" s="8"/>
      <c r="AL252" s="8"/>
      <c r="AM252" s="8"/>
      <c r="AN252" s="8"/>
      <c r="AO252" s="8"/>
      <c r="AP252" s="9" t="s">
        <v>1546</v>
      </c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63.75" hidden="true" customHeight="true" outlineLevel="0" collapsed="false">
      <c r="A253" s="6" t="s">
        <v>1</v>
      </c>
      <c r="B253" s="6" t="n">
        <v>10</v>
      </c>
      <c r="C253" s="6" t="n">
        <v>110600557</v>
      </c>
      <c r="D253" s="6" t="s">
        <v>1510</v>
      </c>
      <c r="E253" s="6" t="s">
        <v>6</v>
      </c>
      <c r="F253" s="6" t="s">
        <v>1511</v>
      </c>
      <c r="G253" s="6" t="s">
        <v>123</v>
      </c>
      <c r="H253" s="6" t="s">
        <v>1547</v>
      </c>
      <c r="I253" s="6"/>
      <c r="J253" s="6" t="s">
        <v>123</v>
      </c>
      <c r="K253" s="6" t="s">
        <v>141</v>
      </c>
      <c r="L253" s="6" t="s">
        <v>1548</v>
      </c>
      <c r="M253" s="6" t="n">
        <v>3656</v>
      </c>
      <c r="N253" s="7" t="n">
        <v>0.296</v>
      </c>
      <c r="O253" s="6" t="s">
        <v>129</v>
      </c>
      <c r="P253" s="6" t="s">
        <v>123</v>
      </c>
      <c r="Q253" s="6" t="s">
        <v>123</v>
      </c>
      <c r="R253" s="6" t="s">
        <v>123</v>
      </c>
      <c r="S253" s="6" t="s">
        <v>123</v>
      </c>
      <c r="T253" s="10" t="n">
        <f aca="false">HYPERLINK("https://gnomad.broadinstitute.org/variant/10-110600557-GTTTTT-G?dataset=gnomad_r4", 0.000014534)</f>
        <v>1.4534E-005</v>
      </c>
      <c r="U253" s="10" t="n">
        <f aca="false">HYPERLINK("https://gnomad.broadinstitute.org/variant/10-110600557-GTTTTT-G?dataset=gnomad_r4", 0.0000178663)</f>
        <v>1.78663E-005</v>
      </c>
      <c r="V253" s="6" t="s">
        <v>123</v>
      </c>
      <c r="W253" s="6" t="s">
        <v>123</v>
      </c>
      <c r="X253" s="6" t="s">
        <v>123</v>
      </c>
      <c r="Y253" s="6" t="s">
        <v>123</v>
      </c>
      <c r="Z253" s="6" t="s">
        <v>123</v>
      </c>
      <c r="AA253" s="6" t="s">
        <v>123</v>
      </c>
      <c r="AB253" s="6" t="s">
        <v>123</v>
      </c>
      <c r="AC253" s="6" t="s">
        <v>123</v>
      </c>
      <c r="AD253" s="6" t="n">
        <v>2.689</v>
      </c>
      <c r="AE253" s="6" t="s">
        <v>124</v>
      </c>
      <c r="AF253" s="6" t="s">
        <v>123</v>
      </c>
      <c r="AG253" s="6" t="s">
        <v>123</v>
      </c>
      <c r="AH253" s="6" t="s">
        <v>123</v>
      </c>
      <c r="AI253" s="6" t="s">
        <v>123</v>
      </c>
      <c r="AJ253" s="8"/>
      <c r="AK253" s="8"/>
      <c r="AL253" s="8"/>
      <c r="AM253" s="8"/>
      <c r="AN253" s="8"/>
      <c r="AO253" s="8"/>
      <c r="AP253" s="9" t="s">
        <v>1549</v>
      </c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76.5" hidden="true" customHeight="true" outlineLevel="0" collapsed="false">
      <c r="A254" s="6" t="s">
        <v>1</v>
      </c>
      <c r="B254" s="6" t="n">
        <v>10</v>
      </c>
      <c r="C254" s="6" t="n">
        <v>110600557</v>
      </c>
      <c r="D254" s="6" t="s">
        <v>1510</v>
      </c>
      <c r="E254" s="6" t="s">
        <v>6</v>
      </c>
      <c r="F254" s="6" t="s">
        <v>1511</v>
      </c>
      <c r="G254" s="6" t="s">
        <v>123</v>
      </c>
      <c r="H254" s="6" t="s">
        <v>1550</v>
      </c>
      <c r="I254" s="6"/>
      <c r="J254" s="6" t="s">
        <v>123</v>
      </c>
      <c r="K254" s="6" t="s">
        <v>141</v>
      </c>
      <c r="L254" s="6" t="s">
        <v>1551</v>
      </c>
      <c r="M254" s="6" t="n">
        <v>3656</v>
      </c>
      <c r="N254" s="7" t="n">
        <v>0.0582</v>
      </c>
      <c r="O254" s="6" t="s">
        <v>129</v>
      </c>
      <c r="P254" s="6" t="s">
        <v>123</v>
      </c>
      <c r="Q254" s="6" t="s">
        <v>123</v>
      </c>
      <c r="R254" s="6" t="s">
        <v>123</v>
      </c>
      <c r="S254" s="10" t="str">
        <f aca="false">HYPERLINK("https://www.ncbi.nlm.nih.gov/snp/rs397847637", "rs397847637")</f>
        <v>rs397847637</v>
      </c>
      <c r="T254" s="10" t="n">
        <f aca="false">HYPERLINK("https://gnomad.broadinstitute.org/variant/10-110600557-GTTT-G?dataset=gnomad_r4", 0.0000145309)</f>
        <v>1.45309E-005</v>
      </c>
      <c r="U254" s="10" t="n">
        <f aca="false">HYPERLINK("https://gnomad.broadinstitute.org/variant/10-110600557-GTTT-G?dataset=gnomad_r4", 0.000645691)</f>
        <v>0.000645691</v>
      </c>
      <c r="V254" s="6" t="n">
        <v>0</v>
      </c>
      <c r="W254" s="6" t="n">
        <v>0</v>
      </c>
      <c r="X254" s="6" t="n">
        <v>0</v>
      </c>
      <c r="Y254" s="6" t="n">
        <v>0</v>
      </c>
      <c r="Z254" s="6" t="n">
        <v>-10</v>
      </c>
      <c r="AA254" s="6" t="n">
        <v>21</v>
      </c>
      <c r="AB254" s="6" t="n">
        <v>-7</v>
      </c>
      <c r="AC254" s="6" t="n">
        <v>-11</v>
      </c>
      <c r="AD254" s="6" t="n">
        <v>0.486</v>
      </c>
      <c r="AE254" s="6" t="s">
        <v>124</v>
      </c>
      <c r="AF254" s="6" t="s">
        <v>123</v>
      </c>
      <c r="AG254" s="6" t="s">
        <v>123</v>
      </c>
      <c r="AH254" s="6" t="s">
        <v>123</v>
      </c>
      <c r="AI254" s="6" t="s">
        <v>123</v>
      </c>
      <c r="AJ254" s="8"/>
      <c r="AK254" s="8"/>
      <c r="AL254" s="8"/>
      <c r="AM254" s="8"/>
      <c r="AN254" s="8"/>
      <c r="AO254" s="8"/>
      <c r="AP254" s="9" t="s">
        <v>1552</v>
      </c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76.5" hidden="true" customHeight="true" outlineLevel="0" collapsed="false">
      <c r="A255" s="6" t="s">
        <v>1</v>
      </c>
      <c r="B255" s="6" t="n">
        <v>16</v>
      </c>
      <c r="C255" s="6" t="n">
        <v>30729176</v>
      </c>
      <c r="D255" s="6" t="s">
        <v>1553</v>
      </c>
      <c r="E255" s="6" t="s">
        <v>6</v>
      </c>
      <c r="F255" s="6" t="s">
        <v>1554</v>
      </c>
      <c r="G255" s="6" t="s">
        <v>1555</v>
      </c>
      <c r="H255" s="6" t="s">
        <v>1556</v>
      </c>
      <c r="I255" s="6" t="s">
        <v>1557</v>
      </c>
      <c r="J255" s="6" t="s">
        <v>1558</v>
      </c>
      <c r="K255" s="6" t="s">
        <v>120</v>
      </c>
      <c r="L255" s="6" t="s">
        <v>1559</v>
      </c>
      <c r="M255" s="6" t="n">
        <v>4059</v>
      </c>
      <c r="N255" s="7" t="n">
        <v>0.0702</v>
      </c>
      <c r="O255" s="6" t="s">
        <v>122</v>
      </c>
      <c r="P255" s="6" t="s">
        <v>123</v>
      </c>
      <c r="Q255" s="6" t="s">
        <v>123</v>
      </c>
      <c r="R255" s="6" t="s">
        <v>123</v>
      </c>
      <c r="S255" s="10" t="str">
        <f aca="false">HYPERLINK("https://www.ncbi.nlm.nih.gov/snp/rs149539909", "rs149539909")</f>
        <v>rs149539909</v>
      </c>
      <c r="T255" s="10" t="n">
        <f aca="false">HYPERLINK("https://gnomad.broadinstitute.org/variant/16-30729176-C-T?dataset=gnomad_r4", 0.0000131299)</f>
        <v>1.31299E-005</v>
      </c>
      <c r="U255" s="10" t="n">
        <f aca="false">HYPERLINK("https://gnomad.broadinstitute.org/variant/16-30729176-C-T?dataset=gnomad_r4", 0.00000615817)</f>
        <v>6.15817E-006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21</v>
      </c>
      <c r="AA255" s="6" t="n">
        <v>-37</v>
      </c>
      <c r="AB255" s="6" t="n">
        <v>5</v>
      </c>
      <c r="AC255" s="6" t="n">
        <v>37</v>
      </c>
      <c r="AD255" s="6" t="n">
        <v>24.2</v>
      </c>
      <c r="AE255" s="6" t="s">
        <v>124</v>
      </c>
      <c r="AF255" s="6" t="s">
        <v>123</v>
      </c>
      <c r="AG255" s="6" t="s">
        <v>123</v>
      </c>
      <c r="AH255" s="6" t="s">
        <v>123</v>
      </c>
      <c r="AI255" s="6" t="s">
        <v>123</v>
      </c>
      <c r="AJ255" s="8"/>
      <c r="AK255" s="8"/>
      <c r="AL255" s="8"/>
      <c r="AM255" s="8"/>
      <c r="AN255" s="8"/>
      <c r="AO255" s="8"/>
      <c r="AP255" s="9" t="s">
        <v>1560</v>
      </c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63.75" hidden="true" customHeight="true" outlineLevel="0" collapsed="false">
      <c r="A256" s="6" t="s">
        <v>1</v>
      </c>
      <c r="B256" s="6" t="s">
        <v>145</v>
      </c>
      <c r="C256" s="6" t="n">
        <v>124051099</v>
      </c>
      <c r="D256" s="6" t="s">
        <v>1561</v>
      </c>
      <c r="E256" s="6" t="s">
        <v>6</v>
      </c>
      <c r="F256" s="6" t="s">
        <v>1562</v>
      </c>
      <c r="G256" s="6" t="s">
        <v>123</v>
      </c>
      <c r="H256" s="6" t="s">
        <v>1563</v>
      </c>
      <c r="I256" s="6"/>
      <c r="J256" s="6" t="s">
        <v>123</v>
      </c>
      <c r="K256" s="6" t="s">
        <v>127</v>
      </c>
      <c r="L256" s="6" t="s">
        <v>1564</v>
      </c>
      <c r="M256" s="6" t="n">
        <v>1627</v>
      </c>
      <c r="N256" s="7" t="n">
        <v>0.0591</v>
      </c>
      <c r="O256" s="6" t="s">
        <v>129</v>
      </c>
      <c r="P256" s="6" t="s">
        <v>123</v>
      </c>
      <c r="Q256" s="6" t="s">
        <v>123</v>
      </c>
      <c r="R256" s="6" t="s">
        <v>123</v>
      </c>
      <c r="S256" s="6" t="s">
        <v>123</v>
      </c>
      <c r="T256" s="6" t="s">
        <v>123</v>
      </c>
      <c r="U256" s="10" t="n">
        <f aca="false">HYPERLINK("https://gnomad.broadinstitute.org/variant/X-124051099-CTTTTTT-C?dataset=gnomad_r4", 0.000122203)</f>
        <v>0.000122203</v>
      </c>
      <c r="V256" s="6" t="s">
        <v>123</v>
      </c>
      <c r="W256" s="6" t="s">
        <v>123</v>
      </c>
      <c r="X256" s="6" t="s">
        <v>123</v>
      </c>
      <c r="Y256" s="6" t="s">
        <v>123</v>
      </c>
      <c r="Z256" s="6" t="s">
        <v>123</v>
      </c>
      <c r="AA256" s="6" t="s">
        <v>123</v>
      </c>
      <c r="AB256" s="6" t="s">
        <v>123</v>
      </c>
      <c r="AC256" s="6" t="s">
        <v>123</v>
      </c>
      <c r="AD256" s="6" t="s">
        <v>123</v>
      </c>
      <c r="AE256" s="6" t="s">
        <v>124</v>
      </c>
      <c r="AF256" s="6" t="s">
        <v>123</v>
      </c>
      <c r="AG256" s="6" t="s">
        <v>123</v>
      </c>
      <c r="AH256" s="6" t="s">
        <v>123</v>
      </c>
      <c r="AI256" s="6" t="s">
        <v>123</v>
      </c>
      <c r="AJ256" s="8"/>
      <c r="AK256" s="8"/>
      <c r="AL256" s="8"/>
      <c r="AM256" s="8"/>
      <c r="AN256" s="8"/>
      <c r="AO256" s="8"/>
      <c r="AP256" s="9" t="s">
        <v>1565</v>
      </c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63.75" hidden="true" customHeight="true" outlineLevel="0" collapsed="false">
      <c r="A257" s="6" t="s">
        <v>1</v>
      </c>
      <c r="B257" s="6" t="s">
        <v>145</v>
      </c>
      <c r="C257" s="6" t="n">
        <v>124051099</v>
      </c>
      <c r="D257" s="6" t="s">
        <v>1561</v>
      </c>
      <c r="E257" s="6" t="s">
        <v>6</v>
      </c>
      <c r="F257" s="6" t="s">
        <v>1562</v>
      </c>
      <c r="G257" s="6" t="s">
        <v>123</v>
      </c>
      <c r="H257" s="6" t="s">
        <v>1566</v>
      </c>
      <c r="I257" s="6"/>
      <c r="J257" s="6" t="s">
        <v>123</v>
      </c>
      <c r="K257" s="6" t="s">
        <v>127</v>
      </c>
      <c r="L257" s="6" t="s">
        <v>1567</v>
      </c>
      <c r="M257" s="6" t="n">
        <v>1627</v>
      </c>
      <c r="N257" s="7" t="n">
        <v>0.124</v>
      </c>
      <c r="O257" s="6" t="s">
        <v>129</v>
      </c>
      <c r="P257" s="6" t="s">
        <v>123</v>
      </c>
      <c r="Q257" s="6" t="s">
        <v>123</v>
      </c>
      <c r="R257" s="6" t="s">
        <v>123</v>
      </c>
      <c r="S257" s="6" t="s">
        <v>123</v>
      </c>
      <c r="T257" s="6" t="s">
        <v>123</v>
      </c>
      <c r="U257" s="10" t="n">
        <f aca="false">HYPERLINK("https://gnomad.broadinstitute.org/variant/X-124051099-CTTTTT-C?dataset=gnomad_r4", 0.000663043)</f>
        <v>0.000663043</v>
      </c>
      <c r="V257" s="6" t="s">
        <v>123</v>
      </c>
      <c r="W257" s="6" t="s">
        <v>123</v>
      </c>
      <c r="X257" s="6" t="s">
        <v>123</v>
      </c>
      <c r="Y257" s="6" t="s">
        <v>123</v>
      </c>
      <c r="Z257" s="6" t="s">
        <v>123</v>
      </c>
      <c r="AA257" s="6" t="s">
        <v>123</v>
      </c>
      <c r="AB257" s="6" t="s">
        <v>123</v>
      </c>
      <c r="AC257" s="6" t="s">
        <v>123</v>
      </c>
      <c r="AD257" s="6" t="n">
        <v>0.828</v>
      </c>
      <c r="AE257" s="6" t="s">
        <v>124</v>
      </c>
      <c r="AF257" s="6" t="s">
        <v>123</v>
      </c>
      <c r="AG257" s="6" t="s">
        <v>123</v>
      </c>
      <c r="AH257" s="6" t="s">
        <v>123</v>
      </c>
      <c r="AI257" s="6" t="s">
        <v>123</v>
      </c>
      <c r="AJ257" s="8"/>
      <c r="AK257" s="8"/>
      <c r="AL257" s="8"/>
      <c r="AM257" s="8"/>
      <c r="AN257" s="8"/>
      <c r="AO257" s="8"/>
      <c r="AP257" s="9" t="s">
        <v>1568</v>
      </c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76.5" hidden="true" customHeight="true" outlineLevel="0" collapsed="false">
      <c r="A258" s="6" t="s">
        <v>1</v>
      </c>
      <c r="B258" s="6" t="s">
        <v>145</v>
      </c>
      <c r="C258" s="6" t="n">
        <v>124061743</v>
      </c>
      <c r="D258" s="6" t="s">
        <v>1561</v>
      </c>
      <c r="E258" s="6" t="s">
        <v>6</v>
      </c>
      <c r="F258" s="6" t="s">
        <v>1562</v>
      </c>
      <c r="G258" s="6" t="s">
        <v>123</v>
      </c>
      <c r="H258" s="6" t="s">
        <v>1569</v>
      </c>
      <c r="I258" s="6"/>
      <c r="J258" s="6" t="s">
        <v>123</v>
      </c>
      <c r="K258" s="6" t="s">
        <v>127</v>
      </c>
      <c r="L258" s="6" t="s">
        <v>1570</v>
      </c>
      <c r="M258" s="6" t="n">
        <v>1779</v>
      </c>
      <c r="N258" s="7" t="n">
        <v>0.173</v>
      </c>
      <c r="O258" s="6" t="s">
        <v>129</v>
      </c>
      <c r="P258" s="10" t="n">
        <f aca="false">HYPERLINK("https://www.ncbi.nlm.nih.gov/clinvar/variation/1671028", 1671028)</f>
        <v>1671028</v>
      </c>
      <c r="Q258" s="6" t="s">
        <v>215</v>
      </c>
      <c r="R258" s="6" t="s">
        <v>181</v>
      </c>
      <c r="S258" s="10" t="str">
        <f aca="false">HYPERLINK("https://www.ncbi.nlm.nih.gov/snp/rs36097834", "rs36097834")</f>
        <v>rs36097834</v>
      </c>
      <c r="T258" s="10" t="n">
        <f aca="false">HYPERLINK("https://gnomad.broadinstitute.org/variant/X-124061743-CTTTTTTTTTTTT-C?dataset=gnomad_r4", 0.0000161715)</f>
        <v>1.61715E-005</v>
      </c>
      <c r="U258" s="10" t="n">
        <f aca="false">HYPERLINK("https://gnomad.broadinstitute.org/variant/X-124061743-CTTTTTTTTTTTT-C?dataset=gnomad_r4", 0.0000387864)</f>
        <v>3.87864E-005</v>
      </c>
      <c r="V258" s="6" t="s">
        <v>123</v>
      </c>
      <c r="W258" s="6" t="s">
        <v>123</v>
      </c>
      <c r="X258" s="6" t="s">
        <v>123</v>
      </c>
      <c r="Y258" s="6" t="s">
        <v>123</v>
      </c>
      <c r="Z258" s="6" t="s">
        <v>123</v>
      </c>
      <c r="AA258" s="6" t="s">
        <v>123</v>
      </c>
      <c r="AB258" s="6" t="s">
        <v>123</v>
      </c>
      <c r="AC258" s="6" t="s">
        <v>123</v>
      </c>
      <c r="AD258" s="6" t="n">
        <v>0.925</v>
      </c>
      <c r="AE258" s="6" t="s">
        <v>124</v>
      </c>
      <c r="AF258" s="6" t="s">
        <v>123</v>
      </c>
      <c r="AG258" s="6" t="s">
        <v>123</v>
      </c>
      <c r="AH258" s="6" t="s">
        <v>123</v>
      </c>
      <c r="AI258" s="6" t="s">
        <v>123</v>
      </c>
      <c r="AJ258" s="8"/>
      <c r="AK258" s="8"/>
      <c r="AL258" s="8"/>
      <c r="AM258" s="8"/>
      <c r="AN258" s="8"/>
      <c r="AO258" s="8"/>
      <c r="AP258" s="9" t="s">
        <v>1571</v>
      </c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76.5" hidden="true" customHeight="true" outlineLevel="0" collapsed="false">
      <c r="A259" s="6" t="s">
        <v>1</v>
      </c>
      <c r="B259" s="6" t="s">
        <v>145</v>
      </c>
      <c r="C259" s="6" t="n">
        <v>124061743</v>
      </c>
      <c r="D259" s="6" t="s">
        <v>1561</v>
      </c>
      <c r="E259" s="6" t="s">
        <v>6</v>
      </c>
      <c r="F259" s="6" t="s">
        <v>1562</v>
      </c>
      <c r="G259" s="6" t="s">
        <v>123</v>
      </c>
      <c r="H259" s="6" t="s">
        <v>1572</v>
      </c>
      <c r="I259" s="6"/>
      <c r="J259" s="6" t="s">
        <v>123</v>
      </c>
      <c r="K259" s="6" t="s">
        <v>127</v>
      </c>
      <c r="L259" s="6" t="s">
        <v>1573</v>
      </c>
      <c r="M259" s="6" t="n">
        <v>1779</v>
      </c>
      <c r="N259" s="7" t="n">
        <v>0.181</v>
      </c>
      <c r="O259" s="6" t="s">
        <v>129</v>
      </c>
      <c r="P259" s="10" t="n">
        <f aca="false">HYPERLINK("https://www.ncbi.nlm.nih.gov/clinvar/variation/1601790", 1601790)</f>
        <v>1601790</v>
      </c>
      <c r="Q259" s="6" t="s">
        <v>418</v>
      </c>
      <c r="R259" s="6" t="s">
        <v>181</v>
      </c>
      <c r="S259" s="10" t="str">
        <f aca="false">HYPERLINK("https://www.ncbi.nlm.nih.gov/snp/rs36097834", "rs36097834")</f>
        <v>rs36097834</v>
      </c>
      <c r="T259" s="10" t="n">
        <f aca="false">HYPERLINK("https://gnomad.broadinstitute.org/variant/X-124061743-CTTTTTTTTTTT-C?dataset=gnomad_r4", 0.000161715)</f>
        <v>0.000161715</v>
      </c>
      <c r="U259" s="10" t="n">
        <f aca="false">HYPERLINK("https://gnomad.broadinstitute.org/variant/X-124061743-CTTTTTTTTTTT-C?dataset=gnomad_r4", 0.000249743)</f>
        <v>0.000249743</v>
      </c>
      <c r="V259" s="6" t="s">
        <v>123</v>
      </c>
      <c r="W259" s="6" t="s">
        <v>123</v>
      </c>
      <c r="X259" s="6" t="s">
        <v>123</v>
      </c>
      <c r="Y259" s="6" t="s">
        <v>123</v>
      </c>
      <c r="Z259" s="6" t="s">
        <v>123</v>
      </c>
      <c r="AA259" s="6" t="s">
        <v>123</v>
      </c>
      <c r="AB259" s="6" t="s">
        <v>123</v>
      </c>
      <c r="AC259" s="6" t="s">
        <v>123</v>
      </c>
      <c r="AD259" s="6" t="n">
        <v>0.666</v>
      </c>
      <c r="AE259" s="6" t="s">
        <v>124</v>
      </c>
      <c r="AF259" s="6" t="s">
        <v>123</v>
      </c>
      <c r="AG259" s="6" t="s">
        <v>123</v>
      </c>
      <c r="AH259" s="6" t="s">
        <v>123</v>
      </c>
      <c r="AI259" s="6" t="s">
        <v>123</v>
      </c>
      <c r="AJ259" s="8"/>
      <c r="AK259" s="8"/>
      <c r="AL259" s="8"/>
      <c r="AM259" s="8"/>
      <c r="AN259" s="8"/>
      <c r="AO259" s="8"/>
      <c r="AP259" s="9" t="s">
        <v>1574</v>
      </c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76.5" hidden="true" customHeight="true" outlineLevel="0" collapsed="false">
      <c r="A260" s="6" t="s">
        <v>1</v>
      </c>
      <c r="B260" s="6" t="s">
        <v>145</v>
      </c>
      <c r="C260" s="6" t="n">
        <v>124061743</v>
      </c>
      <c r="D260" s="6" t="s">
        <v>1561</v>
      </c>
      <c r="E260" s="6" t="s">
        <v>6</v>
      </c>
      <c r="F260" s="6" t="s">
        <v>1562</v>
      </c>
      <c r="G260" s="6" t="s">
        <v>123</v>
      </c>
      <c r="H260" s="6" t="s">
        <v>1575</v>
      </c>
      <c r="I260" s="6"/>
      <c r="J260" s="6" t="s">
        <v>123</v>
      </c>
      <c r="K260" s="6" t="s">
        <v>127</v>
      </c>
      <c r="L260" s="6" t="s">
        <v>1576</v>
      </c>
      <c r="M260" s="6" t="n">
        <v>1779</v>
      </c>
      <c r="N260" s="7" t="n">
        <v>0.0646</v>
      </c>
      <c r="O260" s="6" t="s">
        <v>129</v>
      </c>
      <c r="P260" s="10" t="n">
        <f aca="false">HYPERLINK("https://www.ncbi.nlm.nih.gov/clinvar/variation/1626949", 1626949)</f>
        <v>1626949</v>
      </c>
      <c r="Q260" s="6" t="s">
        <v>215</v>
      </c>
      <c r="R260" s="6" t="s">
        <v>181</v>
      </c>
      <c r="S260" s="10" t="str">
        <f aca="false">HYPERLINK("https://www.ncbi.nlm.nih.gov/snp/rs36097834", "rs36097834")</f>
        <v>rs36097834</v>
      </c>
      <c r="T260" s="10" t="n">
        <f aca="false">HYPERLINK("https://gnomad.broadinstitute.org/variant/X-124061743-CTTTTTTTTTTTTT-C?dataset=gnomad_r4", 0.0000161715)</f>
        <v>1.61715E-005</v>
      </c>
      <c r="U260" s="10" t="n">
        <f aca="false">HYPERLINK("https://gnomad.broadinstitute.org/variant/X-124061743-CTTTTTTTTTTTTT-C?dataset=gnomad_r4", 0.0000169679)</f>
        <v>1.69679E-005</v>
      </c>
      <c r="V260" s="6" t="s">
        <v>123</v>
      </c>
      <c r="W260" s="6" t="s">
        <v>123</v>
      </c>
      <c r="X260" s="6" t="s">
        <v>123</v>
      </c>
      <c r="Y260" s="6" t="s">
        <v>123</v>
      </c>
      <c r="Z260" s="6" t="s">
        <v>123</v>
      </c>
      <c r="AA260" s="6" t="s">
        <v>123</v>
      </c>
      <c r="AB260" s="6" t="s">
        <v>123</v>
      </c>
      <c r="AC260" s="6" t="s">
        <v>123</v>
      </c>
      <c r="AD260" s="6" t="n">
        <v>1.235</v>
      </c>
      <c r="AE260" s="6" t="s">
        <v>124</v>
      </c>
      <c r="AF260" s="6" t="s">
        <v>123</v>
      </c>
      <c r="AG260" s="6" t="s">
        <v>123</v>
      </c>
      <c r="AH260" s="6" t="s">
        <v>123</v>
      </c>
      <c r="AI260" s="6" t="s">
        <v>123</v>
      </c>
      <c r="AJ260" s="8"/>
      <c r="AK260" s="8"/>
      <c r="AL260" s="8"/>
      <c r="AM260" s="8"/>
      <c r="AN260" s="8"/>
      <c r="AO260" s="8"/>
      <c r="AP260" s="9" t="s">
        <v>1577</v>
      </c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76.5" hidden="true" customHeight="true" outlineLevel="0" collapsed="false">
      <c r="A261" s="6" t="s">
        <v>1</v>
      </c>
      <c r="B261" s="6" t="s">
        <v>145</v>
      </c>
      <c r="C261" s="6" t="n">
        <v>124061743</v>
      </c>
      <c r="D261" s="6" t="s">
        <v>1561</v>
      </c>
      <c r="E261" s="6" t="s">
        <v>6</v>
      </c>
      <c r="F261" s="6" t="s">
        <v>1562</v>
      </c>
      <c r="G261" s="6" t="s">
        <v>123</v>
      </c>
      <c r="H261" s="6" t="s">
        <v>1578</v>
      </c>
      <c r="I261" s="6"/>
      <c r="J261" s="6" t="s">
        <v>123</v>
      </c>
      <c r="K261" s="6" t="s">
        <v>127</v>
      </c>
      <c r="L261" s="6" t="s">
        <v>1579</v>
      </c>
      <c r="M261" s="6" t="n">
        <v>1779</v>
      </c>
      <c r="N261" s="7" t="n">
        <v>0.233</v>
      </c>
      <c r="O261" s="6" t="s">
        <v>129</v>
      </c>
      <c r="P261" s="6" t="s">
        <v>123</v>
      </c>
      <c r="Q261" s="6" t="s">
        <v>123</v>
      </c>
      <c r="R261" s="6" t="s">
        <v>123</v>
      </c>
      <c r="S261" s="10" t="str">
        <f aca="false">HYPERLINK("https://www.ncbi.nlm.nih.gov/snp/rs36097834", "rs36097834")</f>
        <v>rs36097834</v>
      </c>
      <c r="T261" s="6" t="s">
        <v>123</v>
      </c>
      <c r="U261" s="10" t="n">
        <f aca="false">HYPERLINK("https://gnomad.broadinstitute.org/variant/X-124061743-CTTTTTTTTT-C?dataset=gnomad_r4", 0.0000387938)</f>
        <v>3.87938E-005</v>
      </c>
      <c r="V261" s="6" t="s">
        <v>123</v>
      </c>
      <c r="W261" s="6" t="s">
        <v>123</v>
      </c>
      <c r="X261" s="6" t="s">
        <v>123</v>
      </c>
      <c r="Y261" s="6" t="s">
        <v>123</v>
      </c>
      <c r="Z261" s="6" t="s">
        <v>123</v>
      </c>
      <c r="AA261" s="6" t="s">
        <v>123</v>
      </c>
      <c r="AB261" s="6" t="s">
        <v>123</v>
      </c>
      <c r="AC261" s="6" t="s">
        <v>123</v>
      </c>
      <c r="AD261" s="6" t="n">
        <v>0.581</v>
      </c>
      <c r="AE261" s="6" t="s">
        <v>124</v>
      </c>
      <c r="AF261" s="6" t="s">
        <v>123</v>
      </c>
      <c r="AG261" s="6" t="s">
        <v>123</v>
      </c>
      <c r="AH261" s="6" t="s">
        <v>123</v>
      </c>
      <c r="AI261" s="6" t="s">
        <v>123</v>
      </c>
      <c r="AJ261" s="8"/>
      <c r="AK261" s="8"/>
      <c r="AL261" s="8"/>
      <c r="AM261" s="8"/>
      <c r="AN261" s="8"/>
      <c r="AO261" s="8"/>
      <c r="AP261" s="9" t="s">
        <v>1580</v>
      </c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76.5" hidden="true" customHeight="true" outlineLevel="0" collapsed="false">
      <c r="A262" s="6" t="s">
        <v>1</v>
      </c>
      <c r="B262" s="6" t="s">
        <v>145</v>
      </c>
      <c r="C262" s="6" t="n">
        <v>124066143</v>
      </c>
      <c r="D262" s="6" t="s">
        <v>1561</v>
      </c>
      <c r="E262" s="6" t="s">
        <v>6</v>
      </c>
      <c r="F262" s="6" t="s">
        <v>1562</v>
      </c>
      <c r="G262" s="6" t="s">
        <v>123</v>
      </c>
      <c r="H262" s="6" t="s">
        <v>1581</v>
      </c>
      <c r="I262" s="6"/>
      <c r="J262" s="6" t="s">
        <v>123</v>
      </c>
      <c r="K262" s="6" t="s">
        <v>127</v>
      </c>
      <c r="L262" s="6" t="s">
        <v>1582</v>
      </c>
      <c r="M262" s="6" t="n">
        <v>1944</v>
      </c>
      <c r="N262" s="7" t="n">
        <v>0.0778</v>
      </c>
      <c r="O262" s="6" t="s">
        <v>129</v>
      </c>
      <c r="P262" s="10" t="n">
        <f aca="false">HYPERLINK("https://www.ncbi.nlm.nih.gov/clinvar/variation/1424336", 1424336)</f>
        <v>1424336</v>
      </c>
      <c r="Q262" s="6" t="s">
        <v>215</v>
      </c>
      <c r="R262" s="6" t="s">
        <v>181</v>
      </c>
      <c r="S262" s="10" t="str">
        <f aca="false">HYPERLINK("https://www.ncbi.nlm.nih.gov/snp/rs748906058", "rs748906058")</f>
        <v>rs748906058</v>
      </c>
      <c r="T262" s="10" t="n">
        <f aca="false">HYPERLINK("https://gnomad.broadinstitute.org/variant/X-124066143-ATTTTTTTTTTTTTT-A?dataset=gnomad_r4", 0.0000398915)</f>
        <v>3.98915E-005</v>
      </c>
      <c r="U262" s="10" t="n">
        <f aca="false">HYPERLINK("https://gnomad.broadinstitute.org/variant/X-124066143-ATTTTTTTTTTTTTT-A?dataset=gnomad_r4", 0.00000555192)</f>
        <v>5.55192E-006</v>
      </c>
      <c r="V262" s="6" t="s">
        <v>123</v>
      </c>
      <c r="W262" s="6" t="s">
        <v>123</v>
      </c>
      <c r="X262" s="6" t="s">
        <v>123</v>
      </c>
      <c r="Y262" s="6" t="s">
        <v>123</v>
      </c>
      <c r="Z262" s="6" t="s">
        <v>123</v>
      </c>
      <c r="AA262" s="6" t="s">
        <v>123</v>
      </c>
      <c r="AB262" s="6" t="s">
        <v>123</v>
      </c>
      <c r="AC262" s="6" t="s">
        <v>123</v>
      </c>
      <c r="AD262" s="6" t="n">
        <v>2.34</v>
      </c>
      <c r="AE262" s="6" t="s">
        <v>124</v>
      </c>
      <c r="AF262" s="6" t="s">
        <v>123</v>
      </c>
      <c r="AG262" s="6" t="s">
        <v>123</v>
      </c>
      <c r="AH262" s="6" t="s">
        <v>123</v>
      </c>
      <c r="AI262" s="6" t="s">
        <v>123</v>
      </c>
      <c r="AJ262" s="8"/>
      <c r="AK262" s="8"/>
      <c r="AL262" s="8"/>
      <c r="AM262" s="8"/>
      <c r="AN262" s="8"/>
      <c r="AO262" s="8"/>
      <c r="AP262" s="9" t="s">
        <v>1583</v>
      </c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63.75" hidden="true" customHeight="true" outlineLevel="0" collapsed="false">
      <c r="A263" s="6" t="s">
        <v>1</v>
      </c>
      <c r="B263" s="6" t="s">
        <v>145</v>
      </c>
      <c r="C263" s="6" t="n">
        <v>124061743</v>
      </c>
      <c r="D263" s="6" t="s">
        <v>1561</v>
      </c>
      <c r="E263" s="6" t="s">
        <v>6</v>
      </c>
      <c r="F263" s="6" t="s">
        <v>1562</v>
      </c>
      <c r="G263" s="6" t="s">
        <v>123</v>
      </c>
      <c r="H263" s="6" t="s">
        <v>1584</v>
      </c>
      <c r="I263" s="6"/>
      <c r="J263" s="6" t="s">
        <v>123</v>
      </c>
      <c r="K263" s="6" t="s">
        <v>127</v>
      </c>
      <c r="L263" s="6" t="s">
        <v>1585</v>
      </c>
      <c r="M263" s="6" t="n">
        <v>1779</v>
      </c>
      <c r="N263" s="7" t="n">
        <v>0.0637</v>
      </c>
      <c r="O263" s="6" t="s">
        <v>129</v>
      </c>
      <c r="P263" s="6" t="s">
        <v>123</v>
      </c>
      <c r="Q263" s="6" t="s">
        <v>123</v>
      </c>
      <c r="R263" s="6" t="s">
        <v>123</v>
      </c>
      <c r="S263" s="6" t="s">
        <v>123</v>
      </c>
      <c r="T263" s="10" t="n">
        <f aca="false">HYPERLINK("https://gnomad.broadinstitute.org/variant/X-124061743-CTTTTTTTT-C?dataset=gnomad_r4", 0.0000161715)</f>
        <v>1.61715E-005</v>
      </c>
      <c r="U263" s="10" t="n">
        <f aca="false">HYPERLINK("https://gnomad.broadinstitute.org/variant/X-124061743-CTTTTTTTT-C?dataset=gnomad_r4", 0.000113994)</f>
        <v>0.000113994</v>
      </c>
      <c r="V263" s="6" t="s">
        <v>123</v>
      </c>
      <c r="W263" s="6" t="s">
        <v>123</v>
      </c>
      <c r="X263" s="6" t="s">
        <v>123</v>
      </c>
      <c r="Y263" s="6" t="s">
        <v>123</v>
      </c>
      <c r="Z263" s="6" t="s">
        <v>123</v>
      </c>
      <c r="AA263" s="6" t="s">
        <v>123</v>
      </c>
      <c r="AB263" s="6" t="s">
        <v>123</v>
      </c>
      <c r="AC263" s="6" t="s">
        <v>123</v>
      </c>
      <c r="AD263" s="6" t="n">
        <v>0.569</v>
      </c>
      <c r="AE263" s="6" t="s">
        <v>124</v>
      </c>
      <c r="AF263" s="6" t="s">
        <v>123</v>
      </c>
      <c r="AG263" s="6" t="s">
        <v>123</v>
      </c>
      <c r="AH263" s="6" t="s">
        <v>123</v>
      </c>
      <c r="AI263" s="6" t="s">
        <v>123</v>
      </c>
      <c r="AJ263" s="8"/>
      <c r="AK263" s="8"/>
      <c r="AL263" s="8"/>
      <c r="AM263" s="8"/>
      <c r="AN263" s="8"/>
      <c r="AO263" s="8"/>
      <c r="AP263" s="9" t="s">
        <v>1586</v>
      </c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76.5" hidden="true" customHeight="true" outlineLevel="0" collapsed="false">
      <c r="A264" s="6" t="s">
        <v>1</v>
      </c>
      <c r="B264" s="6" t="s">
        <v>145</v>
      </c>
      <c r="C264" s="6" t="n">
        <v>124066143</v>
      </c>
      <c r="D264" s="6" t="s">
        <v>1561</v>
      </c>
      <c r="E264" s="6" t="s">
        <v>6</v>
      </c>
      <c r="F264" s="6" t="s">
        <v>1562</v>
      </c>
      <c r="G264" s="6" t="s">
        <v>123</v>
      </c>
      <c r="H264" s="6" t="s">
        <v>1587</v>
      </c>
      <c r="I264" s="6"/>
      <c r="J264" s="6" t="s">
        <v>123</v>
      </c>
      <c r="K264" s="6" t="s">
        <v>127</v>
      </c>
      <c r="L264" s="6" t="s">
        <v>1588</v>
      </c>
      <c r="M264" s="6" t="n">
        <v>1944</v>
      </c>
      <c r="N264" s="7" t="n">
        <v>0.162</v>
      </c>
      <c r="O264" s="6" t="s">
        <v>129</v>
      </c>
      <c r="P264" s="6" t="s">
        <v>123</v>
      </c>
      <c r="Q264" s="6" t="s">
        <v>123</v>
      </c>
      <c r="R264" s="6" t="s">
        <v>123</v>
      </c>
      <c r="S264" s="10" t="str">
        <f aca="false">HYPERLINK("https://www.ncbi.nlm.nih.gov/snp/rs748906058", "rs748906058")</f>
        <v>rs748906058</v>
      </c>
      <c r="T264" s="10" t="n">
        <f aca="false">HYPERLINK("https://gnomad.broadinstitute.org/variant/X-124066143-ATTTTTTTT-A?dataset=gnomad_r4", 0.000119674)</f>
        <v>0.000119674</v>
      </c>
      <c r="U264" s="10" t="n">
        <f aca="false">HYPERLINK("https://gnomad.broadinstitute.org/variant/X-124066143-ATTTTTTTT-A?dataset=gnomad_r4", 0.000164822)</f>
        <v>0.000164822</v>
      </c>
      <c r="V264" s="6" t="s">
        <v>123</v>
      </c>
      <c r="W264" s="6" t="s">
        <v>123</v>
      </c>
      <c r="X264" s="6" t="s">
        <v>123</v>
      </c>
      <c r="Y264" s="6" t="s">
        <v>123</v>
      </c>
      <c r="Z264" s="6" t="s">
        <v>123</v>
      </c>
      <c r="AA264" s="6" t="s">
        <v>123</v>
      </c>
      <c r="AB264" s="6" t="s">
        <v>123</v>
      </c>
      <c r="AC264" s="6" t="s">
        <v>123</v>
      </c>
      <c r="AD264" s="6" t="n">
        <v>2.691</v>
      </c>
      <c r="AE264" s="6" t="s">
        <v>124</v>
      </c>
      <c r="AF264" s="6" t="s">
        <v>123</v>
      </c>
      <c r="AG264" s="6" t="s">
        <v>123</v>
      </c>
      <c r="AH264" s="6" t="s">
        <v>123</v>
      </c>
      <c r="AI264" s="6" t="s">
        <v>123</v>
      </c>
      <c r="AJ264" s="8"/>
      <c r="AK264" s="8"/>
      <c r="AL264" s="8"/>
      <c r="AM264" s="8"/>
      <c r="AN264" s="8"/>
      <c r="AO264" s="8"/>
      <c r="AP264" s="9" t="s">
        <v>1589</v>
      </c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76.5" hidden="true" customHeight="true" outlineLevel="0" collapsed="false">
      <c r="A265" s="6" t="s">
        <v>1</v>
      </c>
      <c r="B265" s="6" t="s">
        <v>145</v>
      </c>
      <c r="C265" s="6" t="n">
        <v>124066143</v>
      </c>
      <c r="D265" s="6" t="s">
        <v>1561</v>
      </c>
      <c r="E265" s="6" t="s">
        <v>6</v>
      </c>
      <c r="F265" s="6" t="s">
        <v>1562</v>
      </c>
      <c r="G265" s="6" t="s">
        <v>123</v>
      </c>
      <c r="H265" s="6" t="s">
        <v>1590</v>
      </c>
      <c r="I265" s="6"/>
      <c r="J265" s="6" t="s">
        <v>123</v>
      </c>
      <c r="K265" s="6" t="s">
        <v>127</v>
      </c>
      <c r="L265" s="6" t="s">
        <v>1591</v>
      </c>
      <c r="M265" s="6" t="n">
        <v>1944</v>
      </c>
      <c r="N265" s="7" t="n">
        <v>0.0465</v>
      </c>
      <c r="O265" s="6" t="s">
        <v>129</v>
      </c>
      <c r="P265" s="10" t="n">
        <f aca="false">HYPERLINK("https://www.ncbi.nlm.nih.gov/clinvar/variation/1659825", 1659825)</f>
        <v>1659825</v>
      </c>
      <c r="Q265" s="6" t="s">
        <v>215</v>
      </c>
      <c r="R265" s="6" t="s">
        <v>181</v>
      </c>
      <c r="S265" s="10" t="str">
        <f aca="false">HYPERLINK("https://www.ncbi.nlm.nih.gov/snp/rs748906058", "rs748906058")</f>
        <v>rs748906058</v>
      </c>
      <c r="T265" s="10" t="n">
        <f aca="false">HYPERLINK("https://gnomad.broadinstitute.org/variant/X-124066143-ATTTTTTTTTTTT-A?dataset=gnomad_r4", 0.0000398915)</f>
        <v>3.98915E-005</v>
      </c>
      <c r="U265" s="10" t="n">
        <f aca="false">HYPERLINK("https://gnomad.broadinstitute.org/variant/X-124066143-ATTTTTTTTTTTT-A?dataset=gnomad_r4", 0.0000111039)</f>
        <v>1.11039E-005</v>
      </c>
      <c r="V265" s="6" t="s">
        <v>123</v>
      </c>
      <c r="W265" s="6" t="s">
        <v>123</v>
      </c>
      <c r="X265" s="6" t="s">
        <v>123</v>
      </c>
      <c r="Y265" s="6" t="s">
        <v>123</v>
      </c>
      <c r="Z265" s="6" t="s">
        <v>123</v>
      </c>
      <c r="AA265" s="6" t="s">
        <v>123</v>
      </c>
      <c r="AB265" s="6" t="s">
        <v>123</v>
      </c>
      <c r="AC265" s="6" t="s">
        <v>123</v>
      </c>
      <c r="AD265" s="6" t="n">
        <v>2.345</v>
      </c>
      <c r="AE265" s="6" t="s">
        <v>124</v>
      </c>
      <c r="AF265" s="6" t="s">
        <v>123</v>
      </c>
      <c r="AG265" s="6" t="s">
        <v>123</v>
      </c>
      <c r="AH265" s="6" t="s">
        <v>123</v>
      </c>
      <c r="AI265" s="6" t="s">
        <v>123</v>
      </c>
      <c r="AJ265" s="8"/>
      <c r="AK265" s="8"/>
      <c r="AL265" s="8"/>
      <c r="AM265" s="8"/>
      <c r="AN265" s="8"/>
      <c r="AO265" s="8"/>
      <c r="AP265" s="9" t="s">
        <v>1592</v>
      </c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76.5" hidden="true" customHeight="true" outlineLevel="0" collapsed="false">
      <c r="A266" s="6" t="s">
        <v>1</v>
      </c>
      <c r="B266" s="6" t="s">
        <v>145</v>
      </c>
      <c r="C266" s="6" t="n">
        <v>124071128</v>
      </c>
      <c r="D266" s="6" t="s">
        <v>1561</v>
      </c>
      <c r="E266" s="6" t="s">
        <v>6</v>
      </c>
      <c r="F266" s="6" t="s">
        <v>1562</v>
      </c>
      <c r="G266" s="6" t="s">
        <v>123</v>
      </c>
      <c r="H266" s="6" t="s">
        <v>1593</v>
      </c>
      <c r="I266" s="6"/>
      <c r="J266" s="6" t="s">
        <v>123</v>
      </c>
      <c r="K266" s="6" t="s">
        <v>127</v>
      </c>
      <c r="L266" s="6" t="s">
        <v>1594</v>
      </c>
      <c r="M266" s="6" t="n">
        <v>2007</v>
      </c>
      <c r="N266" s="7" t="n">
        <v>0.556</v>
      </c>
      <c r="O266" s="6" t="s">
        <v>129</v>
      </c>
      <c r="P266" s="6" t="s">
        <v>123</v>
      </c>
      <c r="Q266" s="6" t="s">
        <v>123</v>
      </c>
      <c r="R266" s="6" t="s">
        <v>123</v>
      </c>
      <c r="S266" s="10" t="str">
        <f aca="false">HYPERLINK("https://www.ncbi.nlm.nih.gov/snp/rs77366098", "rs77366098")</f>
        <v>rs77366098</v>
      </c>
      <c r="T266" s="10" t="n">
        <f aca="false">HYPERLINK("https://gnomad.broadinstitute.org/variant/X-124071128-CTT-C?dataset=gnomad_r4", 0.0000848626)</f>
        <v>8.48626E-005</v>
      </c>
      <c r="U266" s="10" t="n">
        <f aca="false">HYPERLINK("https://gnomad.broadinstitute.org/variant/X-124071128-CTT-C?dataset=gnomad_r4", 0.00128143)</f>
        <v>0.00128143</v>
      </c>
      <c r="V266" s="6" t="n">
        <v>0</v>
      </c>
      <c r="W266" s="6" t="n">
        <v>0.01</v>
      </c>
      <c r="X266" s="6" t="n">
        <v>0</v>
      </c>
      <c r="Y266" s="6" t="n">
        <v>0</v>
      </c>
      <c r="Z266" s="6" t="n">
        <v>-11</v>
      </c>
      <c r="AA266" s="6" t="n">
        <v>21</v>
      </c>
      <c r="AB266" s="6" t="n">
        <v>21</v>
      </c>
      <c r="AC266" s="6" t="n">
        <v>50</v>
      </c>
      <c r="AD266" s="6" t="n">
        <v>3.165</v>
      </c>
      <c r="AE266" s="6" t="s">
        <v>124</v>
      </c>
      <c r="AF266" s="6" t="s">
        <v>123</v>
      </c>
      <c r="AG266" s="6" t="s">
        <v>123</v>
      </c>
      <c r="AH266" s="6" t="s">
        <v>123</v>
      </c>
      <c r="AI266" s="6" t="s">
        <v>123</v>
      </c>
      <c r="AJ266" s="8"/>
      <c r="AK266" s="8"/>
      <c r="AL266" s="8"/>
      <c r="AM266" s="8"/>
      <c r="AN266" s="8"/>
      <c r="AO266" s="8"/>
      <c r="AP266" s="9" t="s">
        <v>1595</v>
      </c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76.5" hidden="true" customHeight="true" outlineLevel="0" collapsed="false">
      <c r="A267" s="6" t="s">
        <v>1</v>
      </c>
      <c r="B267" s="6" t="s">
        <v>145</v>
      </c>
      <c r="C267" s="6" t="n">
        <v>124066143</v>
      </c>
      <c r="D267" s="6" t="s">
        <v>1561</v>
      </c>
      <c r="E267" s="6" t="s">
        <v>6</v>
      </c>
      <c r="F267" s="6" t="s">
        <v>1562</v>
      </c>
      <c r="G267" s="6" t="s">
        <v>123</v>
      </c>
      <c r="H267" s="6" t="s">
        <v>1596</v>
      </c>
      <c r="I267" s="6"/>
      <c r="J267" s="6" t="s">
        <v>123</v>
      </c>
      <c r="K267" s="6" t="s">
        <v>127</v>
      </c>
      <c r="L267" s="6" t="s">
        <v>1597</v>
      </c>
      <c r="M267" s="6" t="n">
        <v>1944</v>
      </c>
      <c r="N267" s="7" t="n">
        <v>0.0322</v>
      </c>
      <c r="O267" s="6" t="s">
        <v>129</v>
      </c>
      <c r="P267" s="6" t="s">
        <v>123</v>
      </c>
      <c r="Q267" s="6" t="s">
        <v>123</v>
      </c>
      <c r="R267" s="6" t="s">
        <v>123</v>
      </c>
      <c r="S267" s="10" t="str">
        <f aca="false">HYPERLINK("https://www.ncbi.nlm.nih.gov/snp/rs748906058", "rs748906058")</f>
        <v>rs748906058</v>
      </c>
      <c r="T267" s="10" t="n">
        <f aca="false">HYPERLINK("https://gnomad.broadinstitute.org/variant/X-124066143-ATTTTTTTTTTTTT-A?dataset=gnomad_r4", 0.0000199438)</f>
        <v>1.99438E-005</v>
      </c>
      <c r="U267" s="10" t="n">
        <f aca="false">HYPERLINK("https://gnomad.broadinstitute.org/variant/X-124066143-ATTTTTTTTTTTTT-A?dataset=gnomad_r4", 0.00000555192)</f>
        <v>5.55192E-006</v>
      </c>
      <c r="V267" s="6" t="s">
        <v>123</v>
      </c>
      <c r="W267" s="6" t="s">
        <v>123</v>
      </c>
      <c r="X267" s="6" t="s">
        <v>123</v>
      </c>
      <c r="Y267" s="6" t="s">
        <v>123</v>
      </c>
      <c r="Z267" s="6" t="s">
        <v>123</v>
      </c>
      <c r="AA267" s="6" t="s">
        <v>123</v>
      </c>
      <c r="AB267" s="6" t="s">
        <v>123</v>
      </c>
      <c r="AC267" s="6" t="s">
        <v>123</v>
      </c>
      <c r="AD267" s="6" t="n">
        <v>2.346</v>
      </c>
      <c r="AE267" s="6" t="s">
        <v>124</v>
      </c>
      <c r="AF267" s="6" t="s">
        <v>123</v>
      </c>
      <c r="AG267" s="6" t="s">
        <v>123</v>
      </c>
      <c r="AH267" s="6" t="s">
        <v>123</v>
      </c>
      <c r="AI267" s="6" t="s">
        <v>123</v>
      </c>
      <c r="AJ267" s="8"/>
      <c r="AK267" s="8"/>
      <c r="AL267" s="8"/>
      <c r="AM267" s="8"/>
      <c r="AN267" s="8"/>
      <c r="AO267" s="8"/>
      <c r="AP267" s="9" t="s">
        <v>1598</v>
      </c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76.5" hidden="true" customHeight="true" outlineLevel="0" collapsed="false">
      <c r="A268" s="6" t="s">
        <v>1</v>
      </c>
      <c r="B268" s="6" t="s">
        <v>145</v>
      </c>
      <c r="C268" s="6" t="n">
        <v>124071128</v>
      </c>
      <c r="D268" s="6" t="s">
        <v>1561</v>
      </c>
      <c r="E268" s="6" t="s">
        <v>6</v>
      </c>
      <c r="F268" s="6" t="s">
        <v>1562</v>
      </c>
      <c r="G268" s="6" t="s">
        <v>123</v>
      </c>
      <c r="H268" s="6" t="s">
        <v>1599</v>
      </c>
      <c r="I268" s="6"/>
      <c r="J268" s="6" t="s">
        <v>123</v>
      </c>
      <c r="K268" s="6" t="s">
        <v>127</v>
      </c>
      <c r="L268" s="6" t="s">
        <v>1600</v>
      </c>
      <c r="M268" s="6" t="n">
        <v>2007</v>
      </c>
      <c r="N268" s="7" t="n">
        <v>0.292</v>
      </c>
      <c r="O268" s="6" t="s">
        <v>129</v>
      </c>
      <c r="P268" s="6" t="s">
        <v>123</v>
      </c>
      <c r="Q268" s="6" t="s">
        <v>123</v>
      </c>
      <c r="R268" s="6" t="s">
        <v>123</v>
      </c>
      <c r="S268" s="10" t="str">
        <f aca="false">HYPERLINK("https://www.ncbi.nlm.nih.gov/snp/rs77366098", "rs77366098")</f>
        <v>rs77366098</v>
      </c>
      <c r="T268" s="6" t="s">
        <v>123</v>
      </c>
      <c r="U268" s="10" t="n">
        <f aca="false">HYPERLINK("https://gnomad.broadinstitute.org/variant/X-124071128-CTTT-C?dataset=gnomad_r4", 0.0000557463)</f>
        <v>5.57463E-005</v>
      </c>
      <c r="V268" s="6" t="n">
        <v>0</v>
      </c>
      <c r="W268" s="6" t="n">
        <v>0</v>
      </c>
      <c r="X268" s="6" t="n">
        <v>0</v>
      </c>
      <c r="Y268" s="6" t="n">
        <v>0</v>
      </c>
      <c r="Z268" s="6" t="n">
        <v>-11</v>
      </c>
      <c r="AA268" s="6" t="n">
        <v>21</v>
      </c>
      <c r="AB268" s="6" t="n">
        <v>12</v>
      </c>
      <c r="AC268" s="6" t="n">
        <v>50</v>
      </c>
      <c r="AD268" s="6" t="n">
        <v>3.206</v>
      </c>
      <c r="AE268" s="6" t="s">
        <v>124</v>
      </c>
      <c r="AF268" s="6" t="s">
        <v>123</v>
      </c>
      <c r="AG268" s="6" t="s">
        <v>123</v>
      </c>
      <c r="AH268" s="6" t="s">
        <v>123</v>
      </c>
      <c r="AI268" s="6" t="s">
        <v>123</v>
      </c>
      <c r="AJ268" s="8"/>
      <c r="AK268" s="8"/>
      <c r="AL268" s="8"/>
      <c r="AM268" s="8"/>
      <c r="AN268" s="8"/>
      <c r="AO268" s="8"/>
      <c r="AP268" s="9" t="s">
        <v>1601</v>
      </c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76.5" hidden="true" customHeight="true" outlineLevel="0" collapsed="false">
      <c r="A269" s="6" t="s">
        <v>1</v>
      </c>
      <c r="B269" s="6" t="s">
        <v>145</v>
      </c>
      <c r="C269" s="6" t="n">
        <v>124066143</v>
      </c>
      <c r="D269" s="6" t="s">
        <v>1561</v>
      </c>
      <c r="E269" s="6" t="s">
        <v>6</v>
      </c>
      <c r="F269" s="6" t="s">
        <v>1562</v>
      </c>
      <c r="G269" s="6" t="s">
        <v>123</v>
      </c>
      <c r="H269" s="6" t="s">
        <v>1602</v>
      </c>
      <c r="I269" s="6"/>
      <c r="J269" s="6" t="s">
        <v>123</v>
      </c>
      <c r="K269" s="6" t="s">
        <v>127</v>
      </c>
      <c r="L269" s="6" t="s">
        <v>1603</v>
      </c>
      <c r="M269" s="6" t="n">
        <v>1944</v>
      </c>
      <c r="N269" s="7" t="n">
        <v>0.11</v>
      </c>
      <c r="O269" s="6" t="s">
        <v>129</v>
      </c>
      <c r="P269" s="6" t="s">
        <v>123</v>
      </c>
      <c r="Q269" s="6" t="s">
        <v>123</v>
      </c>
      <c r="R269" s="6" t="s">
        <v>123</v>
      </c>
      <c r="S269" s="10" t="str">
        <f aca="false">HYPERLINK("https://www.ncbi.nlm.nih.gov/snp/rs748906058", "rs748906058")</f>
        <v>rs748906058</v>
      </c>
      <c r="T269" s="10" t="n">
        <f aca="false">HYPERLINK("https://gnomad.broadinstitute.org/variant/X-124066143-ATTTTTTT-A?dataset=gnomad_r4", 0.000378931)</f>
        <v>0.000378931</v>
      </c>
      <c r="U269" s="10" t="n">
        <f aca="false">HYPERLINK("https://gnomad.broadinstitute.org/variant/X-124066143-ATTTTTTT-A?dataset=gnomad_r4", 0.000719562)</f>
        <v>0.000719562</v>
      </c>
      <c r="V269" s="6" t="s">
        <v>123</v>
      </c>
      <c r="W269" s="6" t="s">
        <v>123</v>
      </c>
      <c r="X269" s="6" t="s">
        <v>123</v>
      </c>
      <c r="Y269" s="6" t="s">
        <v>123</v>
      </c>
      <c r="Z269" s="6" t="s">
        <v>123</v>
      </c>
      <c r="AA269" s="6" t="s">
        <v>123</v>
      </c>
      <c r="AB269" s="6" t="s">
        <v>123</v>
      </c>
      <c r="AC269" s="6" t="s">
        <v>123</v>
      </c>
      <c r="AD269" s="6" t="n">
        <v>2.732</v>
      </c>
      <c r="AE269" s="6" t="s">
        <v>124</v>
      </c>
      <c r="AF269" s="6" t="s">
        <v>123</v>
      </c>
      <c r="AG269" s="6" t="s">
        <v>123</v>
      </c>
      <c r="AH269" s="6" t="s">
        <v>123</v>
      </c>
      <c r="AI269" s="6" t="s">
        <v>123</v>
      </c>
      <c r="AJ269" s="8"/>
      <c r="AK269" s="8"/>
      <c r="AL269" s="8"/>
      <c r="AM269" s="8"/>
      <c r="AN269" s="8"/>
      <c r="AO269" s="8"/>
      <c r="AP269" s="9" t="s">
        <v>1604</v>
      </c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63.75" hidden="true" customHeight="true" outlineLevel="0" collapsed="false">
      <c r="A270" s="6" t="s">
        <v>1</v>
      </c>
      <c r="B270" s="6" t="s">
        <v>145</v>
      </c>
      <c r="C270" s="6" t="n">
        <v>124051099</v>
      </c>
      <c r="D270" s="6" t="s">
        <v>1561</v>
      </c>
      <c r="E270" s="6" t="s">
        <v>6</v>
      </c>
      <c r="F270" s="6" t="s">
        <v>1562</v>
      </c>
      <c r="G270" s="6" t="s">
        <v>123</v>
      </c>
      <c r="H270" s="6" t="s">
        <v>1605</v>
      </c>
      <c r="I270" s="6"/>
      <c r="J270" s="6" t="s">
        <v>123</v>
      </c>
      <c r="K270" s="6" t="s">
        <v>127</v>
      </c>
      <c r="L270" s="6" t="s">
        <v>1606</v>
      </c>
      <c r="M270" s="6" t="n">
        <v>1627</v>
      </c>
      <c r="N270" s="7" t="n">
        <v>0.089</v>
      </c>
      <c r="O270" s="6" t="s">
        <v>129</v>
      </c>
      <c r="P270" s="6" t="s">
        <v>123</v>
      </c>
      <c r="Q270" s="6" t="s">
        <v>123</v>
      </c>
      <c r="R270" s="6" t="s">
        <v>123</v>
      </c>
      <c r="S270" s="6" t="s">
        <v>123</v>
      </c>
      <c r="T270" s="6" t="s">
        <v>123</v>
      </c>
      <c r="U270" s="10" t="n">
        <f aca="false">HYPERLINK("https://gnomad.broadinstitute.org/variant/X-124051099-CTTTTTTT-C?dataset=gnomad_r4", 0.0000293957)</f>
        <v>2.93957E-005</v>
      </c>
      <c r="V270" s="6" t="s">
        <v>123</v>
      </c>
      <c r="W270" s="6" t="s">
        <v>123</v>
      </c>
      <c r="X270" s="6" t="s">
        <v>123</v>
      </c>
      <c r="Y270" s="6" t="s">
        <v>123</v>
      </c>
      <c r="Z270" s="6" t="s">
        <v>123</v>
      </c>
      <c r="AA270" s="6" t="s">
        <v>123</v>
      </c>
      <c r="AB270" s="6" t="s">
        <v>123</v>
      </c>
      <c r="AC270" s="6" t="s">
        <v>123</v>
      </c>
      <c r="AD270" s="6" t="s">
        <v>123</v>
      </c>
      <c r="AE270" s="6" t="s">
        <v>124</v>
      </c>
      <c r="AF270" s="6" t="s">
        <v>123</v>
      </c>
      <c r="AG270" s="6" t="s">
        <v>123</v>
      </c>
      <c r="AH270" s="6" t="s">
        <v>123</v>
      </c>
      <c r="AI270" s="6" t="s">
        <v>123</v>
      </c>
      <c r="AJ270" s="8"/>
      <c r="AK270" s="8"/>
      <c r="AL270" s="8"/>
      <c r="AM270" s="8"/>
      <c r="AN270" s="8"/>
      <c r="AO270" s="8"/>
      <c r="AP270" s="9" t="s">
        <v>1607</v>
      </c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76.5" hidden="true" customHeight="true" outlineLevel="0" collapsed="false">
      <c r="A271" s="6" t="s">
        <v>1</v>
      </c>
      <c r="B271" s="6" t="s">
        <v>145</v>
      </c>
      <c r="C271" s="6" t="n">
        <v>124066143</v>
      </c>
      <c r="D271" s="6" t="s">
        <v>1561</v>
      </c>
      <c r="E271" s="6" t="s">
        <v>6</v>
      </c>
      <c r="F271" s="6" t="s">
        <v>1562</v>
      </c>
      <c r="G271" s="6" t="s">
        <v>123</v>
      </c>
      <c r="H271" s="6" t="s">
        <v>1608</v>
      </c>
      <c r="I271" s="6"/>
      <c r="J271" s="6" t="s">
        <v>123</v>
      </c>
      <c r="K271" s="6" t="s">
        <v>127</v>
      </c>
      <c r="L271" s="6" t="s">
        <v>1609</v>
      </c>
      <c r="M271" s="6" t="n">
        <v>1944</v>
      </c>
      <c r="N271" s="7" t="n">
        <v>0.192</v>
      </c>
      <c r="O271" s="6" t="s">
        <v>129</v>
      </c>
      <c r="P271" s="10" t="n">
        <f aca="false">HYPERLINK("https://www.ncbi.nlm.nih.gov/clinvar/variation/2472106", 2472106)</f>
        <v>2472106</v>
      </c>
      <c r="Q271" s="6" t="s">
        <v>215</v>
      </c>
      <c r="R271" s="6" t="s">
        <v>1057</v>
      </c>
      <c r="S271" s="10" t="str">
        <f aca="false">HYPERLINK("https://www.ncbi.nlm.nih.gov/snp/rs748906058", "rs748906058")</f>
        <v>rs748906058</v>
      </c>
      <c r="T271" s="10" t="n">
        <f aca="false">HYPERLINK("https://gnomad.broadinstitute.org/variant/X-124066143-ATTTTTTTTT-A?dataset=gnomad_r4", 0.00015955)</f>
        <v>0.00015955</v>
      </c>
      <c r="U271" s="10" t="n">
        <f aca="false">HYPERLINK("https://gnomad.broadinstitute.org/variant/X-124066143-ATTTTTTTTT-A?dataset=gnomad_r4", 0.0000629364)</f>
        <v>6.29364E-005</v>
      </c>
      <c r="V271" s="6" t="s">
        <v>123</v>
      </c>
      <c r="W271" s="6" t="s">
        <v>123</v>
      </c>
      <c r="X271" s="6" t="s">
        <v>123</v>
      </c>
      <c r="Y271" s="6" t="s">
        <v>123</v>
      </c>
      <c r="Z271" s="6" t="s">
        <v>123</v>
      </c>
      <c r="AA271" s="6" t="s">
        <v>123</v>
      </c>
      <c r="AB271" s="6" t="s">
        <v>123</v>
      </c>
      <c r="AC271" s="6" t="s">
        <v>123</v>
      </c>
      <c r="AD271" s="6" t="n">
        <v>3.284</v>
      </c>
      <c r="AE271" s="6" t="s">
        <v>124</v>
      </c>
      <c r="AF271" s="6" t="s">
        <v>123</v>
      </c>
      <c r="AG271" s="6" t="s">
        <v>123</v>
      </c>
      <c r="AH271" s="6" t="s">
        <v>123</v>
      </c>
      <c r="AI271" s="6" t="s">
        <v>123</v>
      </c>
      <c r="AJ271" s="8"/>
      <c r="AK271" s="8"/>
      <c r="AL271" s="8"/>
      <c r="AM271" s="8"/>
      <c r="AN271" s="8"/>
      <c r="AO271" s="8"/>
      <c r="AP271" s="9" t="s">
        <v>1610</v>
      </c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76.5" hidden="true" customHeight="true" outlineLevel="0" collapsed="false">
      <c r="A272" s="6" t="s">
        <v>1</v>
      </c>
      <c r="B272" s="6" t="s">
        <v>145</v>
      </c>
      <c r="C272" s="6" t="n">
        <v>124066143</v>
      </c>
      <c r="D272" s="6" t="s">
        <v>1561</v>
      </c>
      <c r="E272" s="6" t="s">
        <v>6</v>
      </c>
      <c r="F272" s="6" t="s">
        <v>1562</v>
      </c>
      <c r="G272" s="6" t="s">
        <v>123</v>
      </c>
      <c r="H272" s="6" t="s">
        <v>1611</v>
      </c>
      <c r="I272" s="6"/>
      <c r="J272" s="6" t="s">
        <v>123</v>
      </c>
      <c r="K272" s="6" t="s">
        <v>127</v>
      </c>
      <c r="L272" s="6" t="s">
        <v>1612</v>
      </c>
      <c r="M272" s="6" t="n">
        <v>1944</v>
      </c>
      <c r="N272" s="7" t="n">
        <v>0.105</v>
      </c>
      <c r="O272" s="6" t="s">
        <v>129</v>
      </c>
      <c r="P272" s="6" t="s">
        <v>123</v>
      </c>
      <c r="Q272" s="6" t="s">
        <v>123</v>
      </c>
      <c r="R272" s="6" t="s">
        <v>123</v>
      </c>
      <c r="S272" s="10" t="str">
        <f aca="false">HYPERLINK("https://www.ncbi.nlm.nih.gov/snp/rs748906058", "rs748906058")</f>
        <v>rs748906058</v>
      </c>
      <c r="T272" s="10" t="n">
        <f aca="false">HYPERLINK("https://gnomad.broadinstitute.org/variant/X-124066143-ATTTTTTTTTTT-A?dataset=gnomad_r4", 0.0000997248)</f>
        <v>9.97248E-005</v>
      </c>
      <c r="U272" s="10" t="n">
        <f aca="false">HYPERLINK("https://gnomad.broadinstitute.org/variant/X-124066143-ATTTTTTTTTTT-A?dataset=gnomad_r4", 0.0000314619)</f>
        <v>3.14619E-005</v>
      </c>
      <c r="V272" s="6" t="s">
        <v>123</v>
      </c>
      <c r="W272" s="6" t="s">
        <v>123</v>
      </c>
      <c r="X272" s="6" t="s">
        <v>123</v>
      </c>
      <c r="Y272" s="6" t="s">
        <v>123</v>
      </c>
      <c r="Z272" s="6" t="s">
        <v>123</v>
      </c>
      <c r="AA272" s="6" t="s">
        <v>123</v>
      </c>
      <c r="AB272" s="6" t="s">
        <v>123</v>
      </c>
      <c r="AC272" s="6" t="s">
        <v>123</v>
      </c>
      <c r="AD272" s="6" t="n">
        <v>3.194</v>
      </c>
      <c r="AE272" s="6" t="s">
        <v>124</v>
      </c>
      <c r="AF272" s="6" t="s">
        <v>123</v>
      </c>
      <c r="AG272" s="6" t="s">
        <v>123</v>
      </c>
      <c r="AH272" s="6" t="s">
        <v>123</v>
      </c>
      <c r="AI272" s="6" t="s">
        <v>123</v>
      </c>
      <c r="AJ272" s="8"/>
      <c r="AK272" s="8"/>
      <c r="AL272" s="8"/>
      <c r="AM272" s="8"/>
      <c r="AN272" s="8"/>
      <c r="AO272" s="8"/>
      <c r="AP272" s="9" t="s">
        <v>1613</v>
      </c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76.5" hidden="true" customHeight="true" outlineLevel="0" collapsed="false">
      <c r="A273" s="6" t="s">
        <v>1</v>
      </c>
      <c r="B273" s="6" t="s">
        <v>145</v>
      </c>
      <c r="C273" s="6" t="n">
        <v>124066143</v>
      </c>
      <c r="D273" s="6" t="s">
        <v>1561</v>
      </c>
      <c r="E273" s="6" t="s">
        <v>6</v>
      </c>
      <c r="F273" s="6" t="s">
        <v>1562</v>
      </c>
      <c r="G273" s="6" t="s">
        <v>123</v>
      </c>
      <c r="H273" s="6" t="s">
        <v>1614</v>
      </c>
      <c r="I273" s="6"/>
      <c r="J273" s="6" t="s">
        <v>123</v>
      </c>
      <c r="K273" s="6" t="s">
        <v>127</v>
      </c>
      <c r="L273" s="6" t="s">
        <v>1615</v>
      </c>
      <c r="M273" s="6" t="n">
        <v>1944</v>
      </c>
      <c r="N273" s="7" t="n">
        <v>0.144</v>
      </c>
      <c r="O273" s="6" t="s">
        <v>129</v>
      </c>
      <c r="P273" s="6" t="s">
        <v>123</v>
      </c>
      <c r="Q273" s="6" t="s">
        <v>123</v>
      </c>
      <c r="R273" s="6" t="s">
        <v>123</v>
      </c>
      <c r="S273" s="10" t="str">
        <f aca="false">HYPERLINK("https://www.ncbi.nlm.nih.gov/snp/rs748906058", "rs748906058")</f>
        <v>rs748906058</v>
      </c>
      <c r="T273" s="10" t="n">
        <f aca="false">HYPERLINK("https://gnomad.broadinstitute.org/variant/X-124066143-ATTTTTTTTTT-A?dataset=gnomad_r4", 0.0000997287)</f>
        <v>9.97287E-005</v>
      </c>
      <c r="U273" s="10" t="n">
        <f aca="false">HYPERLINK("https://gnomad.broadinstitute.org/variant/X-124066143-ATTTTTTTTTT-A?dataset=gnomad_r4", 0.0000666304)</f>
        <v>6.66304E-005</v>
      </c>
      <c r="V273" s="6" t="s">
        <v>123</v>
      </c>
      <c r="W273" s="6" t="s">
        <v>123</v>
      </c>
      <c r="X273" s="6" t="s">
        <v>123</v>
      </c>
      <c r="Y273" s="6" t="s">
        <v>123</v>
      </c>
      <c r="Z273" s="6" t="s">
        <v>123</v>
      </c>
      <c r="AA273" s="6" t="s">
        <v>123</v>
      </c>
      <c r="AB273" s="6" t="s">
        <v>123</v>
      </c>
      <c r="AC273" s="6" t="s">
        <v>123</v>
      </c>
      <c r="AD273" s="6" t="n">
        <v>3.244</v>
      </c>
      <c r="AE273" s="6" t="s">
        <v>124</v>
      </c>
      <c r="AF273" s="6" t="s">
        <v>123</v>
      </c>
      <c r="AG273" s="6" t="s">
        <v>123</v>
      </c>
      <c r="AH273" s="6" t="s">
        <v>123</v>
      </c>
      <c r="AI273" s="6" t="s">
        <v>123</v>
      </c>
      <c r="AJ273" s="8"/>
      <c r="AK273" s="8"/>
      <c r="AL273" s="8"/>
      <c r="AM273" s="8"/>
      <c r="AN273" s="8"/>
      <c r="AO273" s="8"/>
      <c r="AP273" s="9" t="s">
        <v>1616</v>
      </c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63.75" hidden="true" customHeight="true" outlineLevel="0" collapsed="false">
      <c r="A274" s="6" t="s">
        <v>1</v>
      </c>
      <c r="B274" s="6" t="s">
        <v>145</v>
      </c>
      <c r="C274" s="6" t="n">
        <v>124051099</v>
      </c>
      <c r="D274" s="6" t="s">
        <v>1561</v>
      </c>
      <c r="E274" s="6" t="s">
        <v>6</v>
      </c>
      <c r="F274" s="6" t="s">
        <v>1562</v>
      </c>
      <c r="G274" s="6" t="s">
        <v>123</v>
      </c>
      <c r="H274" s="6" t="s">
        <v>1617</v>
      </c>
      <c r="I274" s="6"/>
      <c r="J274" s="6" t="s">
        <v>123</v>
      </c>
      <c r="K274" s="6" t="s">
        <v>127</v>
      </c>
      <c r="L274" s="6" t="s">
        <v>1618</v>
      </c>
      <c r="M274" s="6" t="n">
        <v>1627</v>
      </c>
      <c r="N274" s="7" t="n">
        <v>0.0315</v>
      </c>
      <c r="O274" s="6" t="s">
        <v>129</v>
      </c>
      <c r="P274" s="6" t="s">
        <v>123</v>
      </c>
      <c r="Q274" s="6" t="s">
        <v>123</v>
      </c>
      <c r="R274" s="6" t="s">
        <v>123</v>
      </c>
      <c r="S274" s="6" t="s">
        <v>123</v>
      </c>
      <c r="T274" s="6" t="s">
        <v>123</v>
      </c>
      <c r="U274" s="10" t="n">
        <f aca="false">HYPERLINK("https://gnomad.broadinstitute.org/variant/X-124051099-CTTTTTTTT-C?dataset=gnomad_r4", 0.0000113035)</f>
        <v>1.13035E-005</v>
      </c>
      <c r="V274" s="6" t="s">
        <v>123</v>
      </c>
      <c r="W274" s="6" t="s">
        <v>123</v>
      </c>
      <c r="X274" s="6" t="s">
        <v>123</v>
      </c>
      <c r="Y274" s="6" t="s">
        <v>123</v>
      </c>
      <c r="Z274" s="6" t="s">
        <v>123</v>
      </c>
      <c r="AA274" s="6" t="s">
        <v>123</v>
      </c>
      <c r="AB274" s="6" t="s">
        <v>123</v>
      </c>
      <c r="AC274" s="6" t="s">
        <v>123</v>
      </c>
      <c r="AD274" s="6" t="s">
        <v>123</v>
      </c>
      <c r="AE274" s="6" t="s">
        <v>124</v>
      </c>
      <c r="AF274" s="6" t="s">
        <v>123</v>
      </c>
      <c r="AG274" s="6" t="s">
        <v>123</v>
      </c>
      <c r="AH274" s="6" t="s">
        <v>123</v>
      </c>
      <c r="AI274" s="6" t="s">
        <v>123</v>
      </c>
      <c r="AJ274" s="8"/>
      <c r="AK274" s="8"/>
      <c r="AL274" s="8"/>
      <c r="AM274" s="8"/>
      <c r="AN274" s="8"/>
      <c r="AO274" s="8"/>
      <c r="AP274" s="9" t="s">
        <v>1619</v>
      </c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63.75" hidden="true" customHeight="true" outlineLevel="0" collapsed="false">
      <c r="A275" s="6" t="s">
        <v>1</v>
      </c>
      <c r="B275" s="6" t="n">
        <v>17</v>
      </c>
      <c r="C275" s="6" t="n">
        <v>42346661</v>
      </c>
      <c r="D275" s="6" t="s">
        <v>1620</v>
      </c>
      <c r="E275" s="6" t="s">
        <v>336</v>
      </c>
      <c r="F275" s="6" t="s">
        <v>1621</v>
      </c>
      <c r="G275" s="6" t="s">
        <v>1622</v>
      </c>
      <c r="H275" s="6" t="s">
        <v>1226</v>
      </c>
      <c r="I275" s="6" t="s">
        <v>1623</v>
      </c>
      <c r="J275" s="6" t="s">
        <v>1624</v>
      </c>
      <c r="K275" s="6" t="s">
        <v>120</v>
      </c>
      <c r="L275" s="6" t="s">
        <v>1625</v>
      </c>
      <c r="M275" s="6" t="n">
        <v>3889</v>
      </c>
      <c r="N275" s="7" t="n">
        <v>0.0432</v>
      </c>
      <c r="O275" s="6" t="s">
        <v>122</v>
      </c>
      <c r="P275" s="6" t="s">
        <v>123</v>
      </c>
      <c r="Q275" s="6" t="s">
        <v>123</v>
      </c>
      <c r="R275" s="6" t="s">
        <v>123</v>
      </c>
      <c r="S275" s="6" t="s">
        <v>123</v>
      </c>
      <c r="T275" s="6" t="s">
        <v>123</v>
      </c>
      <c r="U275" s="6" t="s">
        <v>123</v>
      </c>
      <c r="V275" s="6" t="n">
        <v>0</v>
      </c>
      <c r="W275" s="6" t="n">
        <v>0</v>
      </c>
      <c r="X275" s="6" t="n">
        <v>0</v>
      </c>
      <c r="Y275" s="6" t="n">
        <v>0</v>
      </c>
      <c r="Z275" s="6" t="n">
        <v>47</v>
      </c>
      <c r="AA275" s="6" t="n">
        <v>-9</v>
      </c>
      <c r="AB275" s="6" t="n">
        <v>16</v>
      </c>
      <c r="AC275" s="6" t="n">
        <v>6</v>
      </c>
      <c r="AD275" s="6" t="n">
        <v>22.9</v>
      </c>
      <c r="AE275" s="6" t="s">
        <v>124</v>
      </c>
      <c r="AF275" s="6" t="s">
        <v>123</v>
      </c>
      <c r="AG275" s="6" t="s">
        <v>123</v>
      </c>
      <c r="AH275" s="6" t="s">
        <v>123</v>
      </c>
      <c r="AI275" s="6" t="s">
        <v>123</v>
      </c>
      <c r="AJ275" s="8"/>
      <c r="AK275" s="8"/>
      <c r="AL275" s="8"/>
      <c r="AM275" s="8"/>
      <c r="AN275" s="8"/>
      <c r="AO275" s="8"/>
      <c r="AP275" s="9" t="s">
        <v>1626</v>
      </c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63.75" hidden="true" customHeight="true" outlineLevel="0" collapsed="false">
      <c r="A276" s="6" t="s">
        <v>1</v>
      </c>
      <c r="B276" s="6" t="n">
        <v>17</v>
      </c>
      <c r="C276" s="6" t="n">
        <v>42331514</v>
      </c>
      <c r="D276" s="6" t="s">
        <v>1620</v>
      </c>
      <c r="E276" s="6" t="s">
        <v>336</v>
      </c>
      <c r="F276" s="6" t="s">
        <v>1621</v>
      </c>
      <c r="G276" s="6" t="s">
        <v>1627</v>
      </c>
      <c r="H276" s="6" t="s">
        <v>1628</v>
      </c>
      <c r="I276" s="6" t="s">
        <v>1629</v>
      </c>
      <c r="J276" s="6" t="s">
        <v>1630</v>
      </c>
      <c r="K276" s="6" t="s">
        <v>120</v>
      </c>
      <c r="L276" s="6" t="s">
        <v>1631</v>
      </c>
      <c r="M276" s="6" t="n">
        <v>2938</v>
      </c>
      <c r="N276" s="7" t="n">
        <v>0.303</v>
      </c>
      <c r="O276" s="6" t="s">
        <v>122</v>
      </c>
      <c r="P276" s="6" t="s">
        <v>123</v>
      </c>
      <c r="Q276" s="6" t="s">
        <v>123</v>
      </c>
      <c r="R276" s="6" t="s">
        <v>123</v>
      </c>
      <c r="S276" s="6" t="s">
        <v>123</v>
      </c>
      <c r="T276" s="6" t="s">
        <v>123</v>
      </c>
      <c r="U276" s="6" t="s">
        <v>123</v>
      </c>
      <c r="V276" s="6" t="n">
        <v>0</v>
      </c>
      <c r="W276" s="6" t="n">
        <v>0</v>
      </c>
      <c r="X276" s="6" t="n">
        <v>0</v>
      </c>
      <c r="Y276" s="6" t="n">
        <v>0</v>
      </c>
      <c r="Z276" s="6" t="n">
        <v>-30</v>
      </c>
      <c r="AA276" s="6" t="n">
        <v>17</v>
      </c>
      <c r="AB276" s="6" t="n">
        <v>-46</v>
      </c>
      <c r="AC276" s="6" t="n">
        <v>-42</v>
      </c>
      <c r="AD276" s="6" t="n">
        <v>25.5</v>
      </c>
      <c r="AE276" s="6" t="s">
        <v>124</v>
      </c>
      <c r="AF276" s="6" t="s">
        <v>123</v>
      </c>
      <c r="AG276" s="6" t="s">
        <v>123</v>
      </c>
      <c r="AH276" s="6" t="s">
        <v>123</v>
      </c>
      <c r="AI276" s="6" t="s">
        <v>123</v>
      </c>
      <c r="AJ276" s="8"/>
      <c r="AK276" s="8"/>
      <c r="AL276" s="8"/>
      <c r="AM276" s="8"/>
      <c r="AN276" s="8"/>
      <c r="AO276" s="8"/>
      <c r="AP276" s="9" t="s">
        <v>1632</v>
      </c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63.75" hidden="true" customHeight="true" outlineLevel="0" collapsed="false">
      <c r="A277" s="6" t="s">
        <v>1</v>
      </c>
      <c r="B277" s="6" t="n">
        <v>17</v>
      </c>
      <c r="C277" s="6" t="n">
        <v>42323042</v>
      </c>
      <c r="D277" s="6" t="s">
        <v>1620</v>
      </c>
      <c r="E277" s="6" t="s">
        <v>336</v>
      </c>
      <c r="F277" s="6" t="s">
        <v>1621</v>
      </c>
      <c r="G277" s="6" t="s">
        <v>1633</v>
      </c>
      <c r="H277" s="6" t="s">
        <v>1634</v>
      </c>
      <c r="I277" s="6" t="s">
        <v>1635</v>
      </c>
      <c r="J277" s="6" t="s">
        <v>1636</v>
      </c>
      <c r="K277" s="6" t="s">
        <v>326</v>
      </c>
      <c r="L277" s="6" t="s">
        <v>1637</v>
      </c>
      <c r="M277" s="6" t="n">
        <v>4322</v>
      </c>
      <c r="N277" s="7" t="n">
        <v>0.0628</v>
      </c>
      <c r="O277" s="6" t="s">
        <v>122</v>
      </c>
      <c r="P277" s="10" t="n">
        <f aca="false">HYPERLINK("https://www.ncbi.nlm.nih.gov/clinvar/variation/3761042", 3761042)</f>
        <v>3761042</v>
      </c>
      <c r="Q277" s="6" t="s">
        <v>253</v>
      </c>
      <c r="R277" s="6" t="s">
        <v>1638</v>
      </c>
      <c r="S277" s="6" t="s">
        <v>123</v>
      </c>
      <c r="T277" s="6" t="s">
        <v>123</v>
      </c>
      <c r="U277" s="6" t="s">
        <v>123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-29</v>
      </c>
      <c r="AA277" s="6" t="n">
        <v>23</v>
      </c>
      <c r="AB277" s="6" t="n">
        <v>-38</v>
      </c>
      <c r="AC277" s="6" t="n">
        <v>-19</v>
      </c>
      <c r="AD277" s="6" t="s">
        <v>123</v>
      </c>
      <c r="AE277" s="6" t="s">
        <v>611</v>
      </c>
      <c r="AF277" s="6" t="s">
        <v>225</v>
      </c>
      <c r="AG277" s="6" t="s">
        <v>1639</v>
      </c>
      <c r="AH277" s="6" t="s">
        <v>1640</v>
      </c>
      <c r="AI277" s="6" t="s">
        <v>1106</v>
      </c>
      <c r="AJ277" s="8"/>
      <c r="AK277" s="8"/>
      <c r="AL277" s="8"/>
      <c r="AM277" s="8"/>
      <c r="AN277" s="8"/>
      <c r="AO277" s="8"/>
      <c r="AP277" s="9" t="s">
        <v>1641</v>
      </c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63.75" hidden="true" customHeight="true" outlineLevel="0" collapsed="false">
      <c r="A278" s="6" t="s">
        <v>1</v>
      </c>
      <c r="B278" s="6" t="n">
        <v>17</v>
      </c>
      <c r="C278" s="6" t="n">
        <v>42202450</v>
      </c>
      <c r="D278" s="6" t="s">
        <v>1642</v>
      </c>
      <c r="E278" s="6" t="s">
        <v>832</v>
      </c>
      <c r="F278" s="6" t="s">
        <v>1643</v>
      </c>
      <c r="G278" s="6" t="s">
        <v>123</v>
      </c>
      <c r="H278" s="6" t="s">
        <v>1644</v>
      </c>
      <c r="I278" s="6"/>
      <c r="J278" s="6" t="s">
        <v>123</v>
      </c>
      <c r="K278" s="6" t="s">
        <v>127</v>
      </c>
      <c r="L278" s="6" t="s">
        <v>1645</v>
      </c>
      <c r="M278" s="6" t="n">
        <v>3082</v>
      </c>
      <c r="N278" s="7" t="n">
        <v>0.0845</v>
      </c>
      <c r="O278" s="6" t="s">
        <v>122</v>
      </c>
      <c r="P278" s="6" t="s">
        <v>123</v>
      </c>
      <c r="Q278" s="6" t="s">
        <v>123</v>
      </c>
      <c r="R278" s="6" t="s">
        <v>123</v>
      </c>
      <c r="S278" s="6" t="s">
        <v>123</v>
      </c>
      <c r="T278" s="6" t="s">
        <v>123</v>
      </c>
      <c r="U278" s="6" t="s">
        <v>123</v>
      </c>
      <c r="V278" s="6" t="n">
        <v>0</v>
      </c>
      <c r="W278" s="6" t="n">
        <v>0</v>
      </c>
      <c r="X278" s="6" t="n">
        <v>0</v>
      </c>
      <c r="Y278" s="6" t="n">
        <v>0</v>
      </c>
      <c r="Z278" s="6" t="n">
        <v>-23</v>
      </c>
      <c r="AA278" s="6" t="n">
        <v>-3</v>
      </c>
      <c r="AB278" s="6" t="n">
        <v>2</v>
      </c>
      <c r="AC278" s="6" t="n">
        <v>-2</v>
      </c>
      <c r="AD278" s="6" t="n">
        <v>17.7</v>
      </c>
      <c r="AE278" s="6" t="s">
        <v>124</v>
      </c>
      <c r="AF278" s="6" t="s">
        <v>123</v>
      </c>
      <c r="AG278" s="6" t="s">
        <v>123</v>
      </c>
      <c r="AH278" s="6" t="s">
        <v>123</v>
      </c>
      <c r="AI278" s="6" t="s">
        <v>123</v>
      </c>
      <c r="AJ278" s="8"/>
      <c r="AK278" s="8"/>
      <c r="AL278" s="8"/>
      <c r="AM278" s="8"/>
      <c r="AN278" s="8"/>
      <c r="AO278" s="8"/>
      <c r="AP278" s="9" t="s">
        <v>1646</v>
      </c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76.5" hidden="true" customHeight="true" outlineLevel="0" collapsed="false">
      <c r="A279" s="6" t="s">
        <v>1</v>
      </c>
      <c r="B279" s="6" t="n">
        <v>17</v>
      </c>
      <c r="C279" s="6" t="n">
        <v>42218217</v>
      </c>
      <c r="D279" s="6" t="s">
        <v>1642</v>
      </c>
      <c r="E279" s="6" t="s">
        <v>832</v>
      </c>
      <c r="F279" s="6" t="s">
        <v>1643</v>
      </c>
      <c r="G279" s="6" t="s">
        <v>1647</v>
      </c>
      <c r="H279" s="6" t="s">
        <v>1648</v>
      </c>
      <c r="I279" s="6" t="s">
        <v>1649</v>
      </c>
      <c r="J279" s="6" t="s">
        <v>1650</v>
      </c>
      <c r="K279" s="6" t="s">
        <v>153</v>
      </c>
      <c r="L279" s="6" t="s">
        <v>1651</v>
      </c>
      <c r="M279" s="6" t="n">
        <v>4231</v>
      </c>
      <c r="N279" s="7" t="n">
        <v>0.215</v>
      </c>
      <c r="O279" s="6" t="s">
        <v>129</v>
      </c>
      <c r="P279" s="10" t="n">
        <f aca="false">HYPERLINK("https://www.ncbi.nlm.nih.gov/clinvar/variation/840661", 840661)</f>
        <v>840661</v>
      </c>
      <c r="Q279" s="6" t="s">
        <v>165</v>
      </c>
      <c r="R279" s="6" t="s">
        <v>1652</v>
      </c>
      <c r="S279" s="10" t="str">
        <f aca="false">HYPERLINK("https://www.ncbi.nlm.nih.gov/snp/rs761761205", "rs761761205")</f>
        <v>rs761761205</v>
      </c>
      <c r="T279" s="6" t="s">
        <v>123</v>
      </c>
      <c r="U279" s="10" t="n">
        <f aca="false">HYPERLINK("https://gnomad.broadinstitute.org/variant/17-42218217-TG-T?dataset=gnomad_r4", 0.00000136889)</f>
        <v>1.36889E-006</v>
      </c>
      <c r="V279" s="6" t="n">
        <v>0</v>
      </c>
      <c r="W279" s="6" t="n">
        <v>0</v>
      </c>
      <c r="X279" s="6" t="n">
        <v>0.15</v>
      </c>
      <c r="Y279" s="6" t="n">
        <v>0</v>
      </c>
      <c r="Z279" s="6" t="n">
        <v>25</v>
      </c>
      <c r="AA279" s="6" t="n">
        <v>-2</v>
      </c>
      <c r="AB279" s="6" t="n">
        <v>-1</v>
      </c>
      <c r="AC279" s="6" t="n">
        <v>-20</v>
      </c>
      <c r="AD279" s="6" t="n">
        <v>32</v>
      </c>
      <c r="AE279" s="6" t="s">
        <v>1653</v>
      </c>
      <c r="AF279" s="6" t="s">
        <v>123</v>
      </c>
      <c r="AG279" s="6" t="s">
        <v>123</v>
      </c>
      <c r="AH279" s="6" t="s">
        <v>123</v>
      </c>
      <c r="AI279" s="6" t="s">
        <v>123</v>
      </c>
      <c r="AJ279" s="8"/>
      <c r="AK279" s="8"/>
      <c r="AL279" s="8"/>
      <c r="AM279" s="8"/>
      <c r="AN279" s="8"/>
      <c r="AO279" s="8"/>
      <c r="AP279" s="9" t="s">
        <v>1654</v>
      </c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63.75" hidden="true" customHeight="true" outlineLevel="0" collapsed="false">
      <c r="A280" s="6" t="s">
        <v>1</v>
      </c>
      <c r="B280" s="6" t="n">
        <v>17</v>
      </c>
      <c r="C280" s="6" t="n">
        <v>31994678</v>
      </c>
      <c r="D280" s="6" t="s">
        <v>1655</v>
      </c>
      <c r="E280" s="6" t="s">
        <v>531</v>
      </c>
      <c r="F280" s="6" t="s">
        <v>1656</v>
      </c>
      <c r="G280" s="6" t="s">
        <v>1657</v>
      </c>
      <c r="H280" s="6" t="s">
        <v>1658</v>
      </c>
      <c r="I280" s="6" t="s">
        <v>1659</v>
      </c>
      <c r="J280" s="6" t="s">
        <v>1660</v>
      </c>
      <c r="K280" s="6" t="s">
        <v>120</v>
      </c>
      <c r="L280" s="6" t="s">
        <v>1661</v>
      </c>
      <c r="M280" s="6" t="n">
        <v>3440</v>
      </c>
      <c r="N280" s="7" t="n">
        <v>0.328</v>
      </c>
      <c r="O280" s="6" t="s">
        <v>122</v>
      </c>
      <c r="P280" s="6" t="s">
        <v>123</v>
      </c>
      <c r="Q280" s="6" t="s">
        <v>123</v>
      </c>
      <c r="R280" s="6" t="s">
        <v>123</v>
      </c>
      <c r="S280" s="6" t="s">
        <v>123</v>
      </c>
      <c r="T280" s="6" t="s">
        <v>123</v>
      </c>
      <c r="U280" s="10" t="n">
        <f aca="false">HYPERLINK("https://gnomad.broadinstitute.org/variant/17-31994678-G-A?dataset=gnomad_r4", 0.00000205231)</f>
        <v>2.05231E-006</v>
      </c>
      <c r="V280" s="6" t="n">
        <v>0</v>
      </c>
      <c r="W280" s="6" t="n">
        <v>0</v>
      </c>
      <c r="X280" s="6" t="n">
        <v>0.01</v>
      </c>
      <c r="Y280" s="6" t="n">
        <v>0</v>
      </c>
      <c r="Z280" s="6" t="n">
        <v>2</v>
      </c>
      <c r="AA280" s="6" t="n">
        <v>-50</v>
      </c>
      <c r="AB280" s="6" t="n">
        <v>5</v>
      </c>
      <c r="AC280" s="6" t="n">
        <v>43</v>
      </c>
      <c r="AD280" s="6" t="n">
        <v>25.3</v>
      </c>
      <c r="AE280" s="6" t="s">
        <v>124</v>
      </c>
      <c r="AF280" s="6" t="s">
        <v>123</v>
      </c>
      <c r="AG280" s="6" t="s">
        <v>123</v>
      </c>
      <c r="AH280" s="6" t="s">
        <v>123</v>
      </c>
      <c r="AI280" s="6" t="s">
        <v>123</v>
      </c>
      <c r="AJ280" s="8"/>
      <c r="AK280" s="8"/>
      <c r="AL280" s="8"/>
      <c r="AM280" s="8"/>
      <c r="AN280" s="8"/>
      <c r="AO280" s="8"/>
      <c r="AP280" s="9" t="s">
        <v>1662</v>
      </c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76.5" hidden="true" customHeight="true" outlineLevel="0" collapsed="false">
      <c r="A281" s="6" t="s">
        <v>1</v>
      </c>
      <c r="B281" s="6" t="n">
        <v>17</v>
      </c>
      <c r="C281" s="6" t="n">
        <v>31966130</v>
      </c>
      <c r="D281" s="6" t="s">
        <v>1655</v>
      </c>
      <c r="E281" s="6" t="s">
        <v>531</v>
      </c>
      <c r="F281" s="6" t="s">
        <v>1656</v>
      </c>
      <c r="G281" s="6" t="s">
        <v>123</v>
      </c>
      <c r="H281" s="6" t="s">
        <v>1663</v>
      </c>
      <c r="I281" s="6"/>
      <c r="J281" s="6" t="s">
        <v>123</v>
      </c>
      <c r="K281" s="6" t="s">
        <v>127</v>
      </c>
      <c r="L281" s="6" t="s">
        <v>1664</v>
      </c>
      <c r="M281" s="6" t="n">
        <v>2226</v>
      </c>
      <c r="N281" s="7" t="n">
        <v>0.343</v>
      </c>
      <c r="O281" s="6" t="s">
        <v>129</v>
      </c>
      <c r="P281" s="10" t="n">
        <f aca="false">HYPERLINK("https://www.ncbi.nlm.nih.gov/clinvar/variation/4285305", 4285305)</f>
        <v>4285305</v>
      </c>
      <c r="Q281" s="6" t="s">
        <v>123</v>
      </c>
      <c r="R281" s="6" t="s">
        <v>123</v>
      </c>
      <c r="S281" s="10" t="str">
        <f aca="false">HYPERLINK("https://www.ncbi.nlm.nih.gov/snp/rs79205882", "rs79205882")</f>
        <v>rs79205882</v>
      </c>
      <c r="T281" s="10" t="n">
        <f aca="false">HYPERLINK("https://gnomad.broadinstitute.org/variant/17-31966130-CTT-C?dataset=gnomad_r4", 0.00017951)</f>
        <v>0.00017951</v>
      </c>
      <c r="U281" s="6" t="s">
        <v>123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25</v>
      </c>
      <c r="AA281" s="6" t="n">
        <v>8</v>
      </c>
      <c r="AB281" s="6" t="n">
        <v>29</v>
      </c>
      <c r="AC281" s="6" t="n">
        <v>36</v>
      </c>
      <c r="AD281" s="6" t="n">
        <v>6.28</v>
      </c>
      <c r="AE281" s="6" t="s">
        <v>124</v>
      </c>
      <c r="AF281" s="6" t="s">
        <v>123</v>
      </c>
      <c r="AG281" s="6" t="s">
        <v>123</v>
      </c>
      <c r="AH281" s="6" t="s">
        <v>123</v>
      </c>
      <c r="AI281" s="6" t="s">
        <v>123</v>
      </c>
      <c r="AJ281" s="8"/>
      <c r="AK281" s="8"/>
      <c r="AL281" s="8"/>
      <c r="AM281" s="8"/>
      <c r="AN281" s="8"/>
      <c r="AO281" s="8"/>
      <c r="AP281" s="9" t="s">
        <v>1665</v>
      </c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76.5" hidden="true" customHeight="true" outlineLevel="0" collapsed="false">
      <c r="A282" s="6" t="s">
        <v>1</v>
      </c>
      <c r="B282" s="6" t="n">
        <v>17</v>
      </c>
      <c r="C282" s="6" t="n">
        <v>31966130</v>
      </c>
      <c r="D282" s="6" t="s">
        <v>1655</v>
      </c>
      <c r="E282" s="6" t="s">
        <v>531</v>
      </c>
      <c r="F282" s="6" t="s">
        <v>1656</v>
      </c>
      <c r="G282" s="6" t="s">
        <v>123</v>
      </c>
      <c r="H282" s="6" t="s">
        <v>1666</v>
      </c>
      <c r="I282" s="6"/>
      <c r="J282" s="6" t="s">
        <v>123</v>
      </c>
      <c r="K282" s="6" t="s">
        <v>127</v>
      </c>
      <c r="L282" s="6" t="s">
        <v>1667</v>
      </c>
      <c r="M282" s="6" t="n">
        <v>2226</v>
      </c>
      <c r="N282" s="7" t="n">
        <v>0.321</v>
      </c>
      <c r="O282" s="6" t="s">
        <v>129</v>
      </c>
      <c r="P282" s="6" t="s">
        <v>123</v>
      </c>
      <c r="Q282" s="6" t="s">
        <v>123</v>
      </c>
      <c r="R282" s="6" t="s">
        <v>123</v>
      </c>
      <c r="S282" s="10" t="str">
        <f aca="false">HYPERLINK("https://www.ncbi.nlm.nih.gov/snp/rs79205882", "rs79205882")</f>
        <v>rs79205882</v>
      </c>
      <c r="T282" s="10" t="n">
        <f aca="false">HYPERLINK("https://gnomad.broadinstitute.org/variant/17-31966130-CTTT-C?dataset=gnomad_r4", 0.00000717504)</f>
        <v>7.17504E-006</v>
      </c>
      <c r="U282" s="6" t="s">
        <v>123</v>
      </c>
      <c r="V282" s="6" t="n">
        <v>0</v>
      </c>
      <c r="W282" s="6" t="n">
        <v>0</v>
      </c>
      <c r="X282" s="6" t="n">
        <v>0</v>
      </c>
      <c r="Y282" s="6" t="n">
        <v>0</v>
      </c>
      <c r="Z282" s="6" t="n">
        <v>25</v>
      </c>
      <c r="AA282" s="6" t="n">
        <v>17</v>
      </c>
      <c r="AB282" s="6" t="n">
        <v>25</v>
      </c>
      <c r="AC282" s="6" t="n">
        <v>36</v>
      </c>
      <c r="AD282" s="6" t="n">
        <v>12.31</v>
      </c>
      <c r="AE282" s="6" t="s">
        <v>124</v>
      </c>
      <c r="AF282" s="6" t="s">
        <v>123</v>
      </c>
      <c r="AG282" s="6" t="s">
        <v>123</v>
      </c>
      <c r="AH282" s="6" t="s">
        <v>123</v>
      </c>
      <c r="AI282" s="6" t="s">
        <v>123</v>
      </c>
      <c r="AJ282" s="8"/>
      <c r="AK282" s="8"/>
      <c r="AL282" s="8"/>
      <c r="AM282" s="8"/>
      <c r="AN282" s="8"/>
      <c r="AO282" s="8"/>
      <c r="AP282" s="9" t="s">
        <v>1668</v>
      </c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63.75" hidden="true" customHeight="true" outlineLevel="0" collapsed="false">
      <c r="A283" s="6" t="s">
        <v>1</v>
      </c>
      <c r="B283" s="6" t="n">
        <v>17</v>
      </c>
      <c r="C283" s="6" t="n">
        <v>31966130</v>
      </c>
      <c r="D283" s="6" t="s">
        <v>1655</v>
      </c>
      <c r="E283" s="6" t="s">
        <v>531</v>
      </c>
      <c r="F283" s="6" t="s">
        <v>1656</v>
      </c>
      <c r="G283" s="6" t="s">
        <v>123</v>
      </c>
      <c r="H283" s="6" t="s">
        <v>1669</v>
      </c>
      <c r="I283" s="6"/>
      <c r="J283" s="6" t="s">
        <v>123</v>
      </c>
      <c r="K283" s="6" t="s">
        <v>127</v>
      </c>
      <c r="L283" s="6" t="s">
        <v>1670</v>
      </c>
      <c r="M283" s="6" t="n">
        <v>2226</v>
      </c>
      <c r="N283" s="7" t="n">
        <v>0.12</v>
      </c>
      <c r="O283" s="6" t="s">
        <v>129</v>
      </c>
      <c r="P283" s="6" t="s">
        <v>123</v>
      </c>
      <c r="Q283" s="6" t="s">
        <v>123</v>
      </c>
      <c r="R283" s="6" t="s">
        <v>123</v>
      </c>
      <c r="S283" s="6" t="s">
        <v>123</v>
      </c>
      <c r="T283" s="10" t="n">
        <f aca="false">HYPERLINK("https://gnomad.broadinstitute.org/variant/17-31966130-CTTTT-C?dataset=gnomad_r4", 0.00000717566)</f>
        <v>7.17566E-006</v>
      </c>
      <c r="U283" s="6" t="s">
        <v>123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25</v>
      </c>
      <c r="AA283" s="6" t="n">
        <v>17</v>
      </c>
      <c r="AB283" s="6" t="n">
        <v>17</v>
      </c>
      <c r="AC283" s="6" t="n">
        <v>36</v>
      </c>
      <c r="AD283" s="6" t="n">
        <v>12.95</v>
      </c>
      <c r="AE283" s="6" t="s">
        <v>124</v>
      </c>
      <c r="AF283" s="6" t="s">
        <v>123</v>
      </c>
      <c r="AG283" s="6" t="s">
        <v>123</v>
      </c>
      <c r="AH283" s="6" t="s">
        <v>123</v>
      </c>
      <c r="AI283" s="6" t="s">
        <v>123</v>
      </c>
      <c r="AJ283" s="8"/>
      <c r="AK283" s="8"/>
      <c r="AL283" s="8"/>
      <c r="AM283" s="8"/>
      <c r="AN283" s="8"/>
      <c r="AO283" s="8"/>
      <c r="AP283" s="9" t="s">
        <v>1671</v>
      </c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63.75" hidden="true" customHeight="true" outlineLevel="0" collapsed="false">
      <c r="A284" s="6" t="s">
        <v>1</v>
      </c>
      <c r="B284" s="6" t="n">
        <v>17</v>
      </c>
      <c r="C284" s="6" t="n">
        <v>31966130</v>
      </c>
      <c r="D284" s="6" t="s">
        <v>1655</v>
      </c>
      <c r="E284" s="6" t="s">
        <v>531</v>
      </c>
      <c r="F284" s="6" t="s">
        <v>1656</v>
      </c>
      <c r="G284" s="6" t="s">
        <v>123</v>
      </c>
      <c r="H284" s="6" t="s">
        <v>1672</v>
      </c>
      <c r="I284" s="6"/>
      <c r="J284" s="6" t="s">
        <v>123</v>
      </c>
      <c r="K284" s="6" t="s">
        <v>127</v>
      </c>
      <c r="L284" s="6" t="s">
        <v>1673</v>
      </c>
      <c r="M284" s="6" t="n">
        <v>2226</v>
      </c>
      <c r="N284" s="7" t="n">
        <v>0.119</v>
      </c>
      <c r="O284" s="6" t="s">
        <v>129</v>
      </c>
      <c r="P284" s="6" t="s">
        <v>123</v>
      </c>
      <c r="Q284" s="6" t="s">
        <v>123</v>
      </c>
      <c r="R284" s="6" t="s">
        <v>123</v>
      </c>
      <c r="S284" s="6" t="s">
        <v>123</v>
      </c>
      <c r="T284" s="6" t="s">
        <v>123</v>
      </c>
      <c r="U284" s="10" t="n">
        <f aca="false">HYPERLINK("https://gnomad.broadinstitute.org/variant/17-31966130-CTTTTT-C?dataset=gnomad_r4", 0.000000780456)</f>
        <v>7.80456E-007</v>
      </c>
      <c r="V284" s="6" t="s">
        <v>123</v>
      </c>
      <c r="W284" s="6" t="s">
        <v>123</v>
      </c>
      <c r="X284" s="6" t="s">
        <v>123</v>
      </c>
      <c r="Y284" s="6" t="s">
        <v>123</v>
      </c>
      <c r="Z284" s="6" t="s">
        <v>123</v>
      </c>
      <c r="AA284" s="6" t="s">
        <v>123</v>
      </c>
      <c r="AB284" s="6" t="s">
        <v>123</v>
      </c>
      <c r="AC284" s="6" t="s">
        <v>123</v>
      </c>
      <c r="AD284" s="6" t="s">
        <v>123</v>
      </c>
      <c r="AE284" s="6" t="s">
        <v>124</v>
      </c>
      <c r="AF284" s="6" t="s">
        <v>123</v>
      </c>
      <c r="AG284" s="6" t="s">
        <v>123</v>
      </c>
      <c r="AH284" s="6" t="s">
        <v>123</v>
      </c>
      <c r="AI284" s="6" t="s">
        <v>123</v>
      </c>
      <c r="AJ284" s="8"/>
      <c r="AK284" s="8"/>
      <c r="AL284" s="8"/>
      <c r="AM284" s="8"/>
      <c r="AN284" s="8"/>
      <c r="AO284" s="8"/>
      <c r="AP284" s="9" t="s">
        <v>1674</v>
      </c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76.5" hidden="true" customHeight="true" outlineLevel="0" collapsed="false">
      <c r="A285" s="6" t="s">
        <v>1</v>
      </c>
      <c r="B285" s="6" t="n">
        <v>17</v>
      </c>
      <c r="C285" s="6" t="n">
        <v>31937406</v>
      </c>
      <c r="D285" s="6" t="s">
        <v>1655</v>
      </c>
      <c r="E285" s="6" t="s">
        <v>531</v>
      </c>
      <c r="F285" s="6" t="s">
        <v>1656</v>
      </c>
      <c r="G285" s="6" t="s">
        <v>1675</v>
      </c>
      <c r="H285" s="6" t="s">
        <v>1676</v>
      </c>
      <c r="I285" s="6" t="s">
        <v>1677</v>
      </c>
      <c r="J285" s="6" t="s">
        <v>1678</v>
      </c>
      <c r="K285" s="6" t="s">
        <v>326</v>
      </c>
      <c r="L285" s="6" t="s">
        <v>1679</v>
      </c>
      <c r="M285" s="6" t="n">
        <v>3588</v>
      </c>
      <c r="N285" s="7" t="n">
        <v>0.0361</v>
      </c>
      <c r="O285" s="6" t="s">
        <v>143</v>
      </c>
      <c r="P285" s="10" t="n">
        <f aca="false">HYPERLINK("https://www.ncbi.nlm.nih.gov/clinvar/variation/2647644", 2647644)</f>
        <v>2647644</v>
      </c>
      <c r="Q285" s="6" t="s">
        <v>418</v>
      </c>
      <c r="R285" s="6" t="s">
        <v>181</v>
      </c>
      <c r="S285" s="10" t="str">
        <f aca="false">HYPERLINK("https://www.ncbi.nlm.nih.gov/snp/rs774288551", "rs774288551")</f>
        <v>rs774288551</v>
      </c>
      <c r="T285" s="10" t="n">
        <f aca="false">HYPERLINK("https://gnomad.broadinstitute.org/variant/17-31937406-GCCT-G?dataset=gnomad_r4", 0.000296294)</f>
        <v>0.000296294</v>
      </c>
      <c r="U285" s="10" t="n">
        <f aca="false">HYPERLINK("https://gnomad.broadinstitute.org/variant/17-31937406-GCCT-G?dataset=gnomad_r4", 0.000506077)</f>
        <v>0.000506077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28</v>
      </c>
      <c r="AA285" s="6" t="n">
        <v>50</v>
      </c>
      <c r="AB285" s="6" t="n">
        <v>50</v>
      </c>
      <c r="AC285" s="6" t="n">
        <v>-15</v>
      </c>
      <c r="AD285" s="6" t="n">
        <v>20.6</v>
      </c>
      <c r="AE285" s="6" t="s">
        <v>124</v>
      </c>
      <c r="AF285" s="6" t="s">
        <v>123</v>
      </c>
      <c r="AG285" s="6" t="s">
        <v>123</v>
      </c>
      <c r="AH285" s="6" t="s">
        <v>123</v>
      </c>
      <c r="AI285" s="6" t="s">
        <v>123</v>
      </c>
      <c r="AJ285" s="8"/>
      <c r="AK285" s="8"/>
      <c r="AL285" s="8"/>
      <c r="AM285" s="8"/>
      <c r="AN285" s="8"/>
      <c r="AO285" s="8"/>
      <c r="AP285" s="9" t="s">
        <v>1680</v>
      </c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63.75" hidden="true" customHeight="true" outlineLevel="0" collapsed="false">
      <c r="A286" s="6" t="s">
        <v>1</v>
      </c>
      <c r="B286" s="6" t="n">
        <v>17</v>
      </c>
      <c r="C286" s="6" t="n">
        <v>31983100</v>
      </c>
      <c r="D286" s="6" t="s">
        <v>1655</v>
      </c>
      <c r="E286" s="6" t="s">
        <v>531</v>
      </c>
      <c r="F286" s="6" t="s">
        <v>1656</v>
      </c>
      <c r="G286" s="6" t="s">
        <v>149</v>
      </c>
      <c r="H286" s="6" t="s">
        <v>1681</v>
      </c>
      <c r="I286" s="6" t="s">
        <v>1682</v>
      </c>
      <c r="J286" s="6" t="s">
        <v>1683</v>
      </c>
      <c r="K286" s="6" t="s">
        <v>120</v>
      </c>
      <c r="L286" s="6" t="s">
        <v>1684</v>
      </c>
      <c r="M286" s="6" t="n">
        <v>3132</v>
      </c>
      <c r="N286" s="7" t="n">
        <v>0.303</v>
      </c>
      <c r="O286" s="6" t="s">
        <v>122</v>
      </c>
      <c r="P286" s="6" t="s">
        <v>123</v>
      </c>
      <c r="Q286" s="6" t="s">
        <v>123</v>
      </c>
      <c r="R286" s="6" t="s">
        <v>123</v>
      </c>
      <c r="S286" s="6" t="s">
        <v>123</v>
      </c>
      <c r="T286" s="6" t="s">
        <v>123</v>
      </c>
      <c r="U286" s="6" t="s">
        <v>123</v>
      </c>
      <c r="V286" s="6" t="n">
        <v>0</v>
      </c>
      <c r="W286" s="6" t="n">
        <v>0</v>
      </c>
      <c r="X286" s="6" t="n">
        <v>0</v>
      </c>
      <c r="Y286" s="6" t="n">
        <v>0</v>
      </c>
      <c r="Z286" s="6" t="n">
        <v>-26</v>
      </c>
      <c r="AA286" s="6" t="n">
        <v>4</v>
      </c>
      <c r="AB286" s="6" t="n">
        <v>4</v>
      </c>
      <c r="AC286" s="6" t="n">
        <v>22</v>
      </c>
      <c r="AD286" s="6" t="n">
        <v>25.2</v>
      </c>
      <c r="AE286" s="6" t="s">
        <v>124</v>
      </c>
      <c r="AF286" s="6" t="s">
        <v>123</v>
      </c>
      <c r="AG286" s="6" t="s">
        <v>123</v>
      </c>
      <c r="AH286" s="6" t="s">
        <v>123</v>
      </c>
      <c r="AI286" s="6" t="s">
        <v>123</v>
      </c>
      <c r="AJ286" s="8"/>
      <c r="AK286" s="8"/>
      <c r="AL286" s="8"/>
      <c r="AM286" s="8"/>
      <c r="AN286" s="8"/>
      <c r="AO286" s="8"/>
      <c r="AP286" s="9" t="s">
        <v>1685</v>
      </c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63.75" hidden="true" customHeight="true" outlineLevel="0" collapsed="false">
      <c r="A287" s="6" t="s">
        <v>1</v>
      </c>
      <c r="B287" s="6" t="n">
        <v>17</v>
      </c>
      <c r="C287" s="6" t="n">
        <v>31975717</v>
      </c>
      <c r="D287" s="6" t="s">
        <v>1655</v>
      </c>
      <c r="E287" s="6" t="s">
        <v>531</v>
      </c>
      <c r="F287" s="6" t="s">
        <v>1656</v>
      </c>
      <c r="G287" s="6" t="s">
        <v>123</v>
      </c>
      <c r="H287" s="6" t="s">
        <v>1686</v>
      </c>
      <c r="I287" s="6"/>
      <c r="J287" s="6" t="s">
        <v>123</v>
      </c>
      <c r="K287" s="6" t="s">
        <v>141</v>
      </c>
      <c r="L287" s="6" t="s">
        <v>1687</v>
      </c>
      <c r="M287" s="6" t="n">
        <v>2380</v>
      </c>
      <c r="N287" s="7" t="n">
        <v>0.266</v>
      </c>
      <c r="O287" s="6" t="s">
        <v>129</v>
      </c>
      <c r="P287" s="6" t="s">
        <v>123</v>
      </c>
      <c r="Q287" s="6" t="s">
        <v>123</v>
      </c>
      <c r="R287" s="6" t="s">
        <v>123</v>
      </c>
      <c r="S287" s="6" t="s">
        <v>123</v>
      </c>
      <c r="T287" s="6" t="s">
        <v>123</v>
      </c>
      <c r="U287" s="6" t="s">
        <v>123</v>
      </c>
      <c r="V287" s="6" t="n">
        <v>0</v>
      </c>
      <c r="W287" s="6" t="n">
        <v>0</v>
      </c>
      <c r="X287" s="6" t="n">
        <v>0</v>
      </c>
      <c r="Y287" s="6" t="n">
        <v>0.03</v>
      </c>
      <c r="Z287" s="6" t="n">
        <v>-4</v>
      </c>
      <c r="AA287" s="6" t="n">
        <v>17</v>
      </c>
      <c r="AB287" s="6" t="n">
        <v>-10</v>
      </c>
      <c r="AC287" s="6" t="n">
        <v>-4</v>
      </c>
      <c r="AD287" s="6" t="n">
        <v>13.2</v>
      </c>
      <c r="AE287" s="6" t="s">
        <v>124</v>
      </c>
      <c r="AF287" s="6" t="s">
        <v>123</v>
      </c>
      <c r="AG287" s="6" t="s">
        <v>123</v>
      </c>
      <c r="AH287" s="6" t="s">
        <v>123</v>
      </c>
      <c r="AI287" s="6" t="s">
        <v>123</v>
      </c>
      <c r="AJ287" s="8"/>
      <c r="AK287" s="8"/>
      <c r="AL287" s="8"/>
      <c r="AM287" s="8"/>
      <c r="AN287" s="8"/>
      <c r="AO287" s="8"/>
      <c r="AP287" s="9" t="s">
        <v>1688</v>
      </c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63.75" hidden="true" customHeight="true" outlineLevel="0" collapsed="false">
      <c r="A288" s="6" t="s">
        <v>1</v>
      </c>
      <c r="B288" s="6" t="n">
        <v>4</v>
      </c>
      <c r="C288" s="6" t="n">
        <v>105261789</v>
      </c>
      <c r="D288" s="6" t="s">
        <v>1689</v>
      </c>
      <c r="E288" s="6" t="s">
        <v>832</v>
      </c>
      <c r="F288" s="6" t="s">
        <v>1690</v>
      </c>
      <c r="G288" s="6" t="s">
        <v>1691</v>
      </c>
      <c r="H288" s="6" t="s">
        <v>1692</v>
      </c>
      <c r="I288" s="6" t="s">
        <v>1693</v>
      </c>
      <c r="J288" s="6" t="s">
        <v>1694</v>
      </c>
      <c r="K288" s="6" t="s">
        <v>120</v>
      </c>
      <c r="L288" s="6" t="s">
        <v>1695</v>
      </c>
      <c r="M288" s="6" t="n">
        <v>3359</v>
      </c>
      <c r="N288" s="7" t="n">
        <v>0.311</v>
      </c>
      <c r="O288" s="6" t="s">
        <v>122</v>
      </c>
      <c r="P288" s="6" t="s">
        <v>123</v>
      </c>
      <c r="Q288" s="6" t="s">
        <v>123</v>
      </c>
      <c r="R288" s="6" t="s">
        <v>123</v>
      </c>
      <c r="S288" s="6" t="s">
        <v>123</v>
      </c>
      <c r="T288" s="6" t="s">
        <v>123</v>
      </c>
      <c r="U288" s="6" t="s">
        <v>123</v>
      </c>
      <c r="V288" s="6" t="s">
        <v>123</v>
      </c>
      <c r="W288" s="6" t="s">
        <v>123</v>
      </c>
      <c r="X288" s="6" t="s">
        <v>123</v>
      </c>
      <c r="Y288" s="6" t="s">
        <v>123</v>
      </c>
      <c r="Z288" s="6" t="s">
        <v>123</v>
      </c>
      <c r="AA288" s="6" t="s">
        <v>123</v>
      </c>
      <c r="AB288" s="6" t="s">
        <v>123</v>
      </c>
      <c r="AC288" s="6" t="s">
        <v>123</v>
      </c>
      <c r="AD288" s="6" t="n">
        <v>23.3</v>
      </c>
      <c r="AE288" s="6" t="s">
        <v>124</v>
      </c>
      <c r="AF288" s="6" t="s">
        <v>123</v>
      </c>
      <c r="AG288" s="6" t="s">
        <v>123</v>
      </c>
      <c r="AH288" s="6" t="s">
        <v>123</v>
      </c>
      <c r="AI288" s="6" t="s">
        <v>123</v>
      </c>
      <c r="AJ288" s="8"/>
      <c r="AK288" s="8"/>
      <c r="AL288" s="8"/>
      <c r="AM288" s="8"/>
      <c r="AN288" s="8"/>
      <c r="AO288" s="8"/>
      <c r="AP288" s="9" t="s">
        <v>1696</v>
      </c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63.75" hidden="true" customHeight="true" outlineLevel="0" collapsed="false">
      <c r="A289" s="6" t="s">
        <v>1</v>
      </c>
      <c r="B289" s="6" t="n">
        <v>4</v>
      </c>
      <c r="C289" s="6" t="n">
        <v>105276452</v>
      </c>
      <c r="D289" s="6" t="s">
        <v>1689</v>
      </c>
      <c r="E289" s="6" t="s">
        <v>832</v>
      </c>
      <c r="F289" s="6" t="s">
        <v>1690</v>
      </c>
      <c r="G289" s="6" t="s">
        <v>1697</v>
      </c>
      <c r="H289" s="6" t="s">
        <v>1698</v>
      </c>
      <c r="I289" s="6" t="s">
        <v>1699</v>
      </c>
      <c r="J289" s="6" t="s">
        <v>1700</v>
      </c>
      <c r="K289" s="6" t="s">
        <v>120</v>
      </c>
      <c r="L289" s="6" t="s">
        <v>1701</v>
      </c>
      <c r="M289" s="6" t="n">
        <v>3967</v>
      </c>
      <c r="N289" s="7" t="n">
        <v>0.0718</v>
      </c>
      <c r="O289" s="6" t="s">
        <v>122</v>
      </c>
      <c r="P289" s="6" t="s">
        <v>123</v>
      </c>
      <c r="Q289" s="6" t="s">
        <v>123</v>
      </c>
      <c r="R289" s="6" t="s">
        <v>123</v>
      </c>
      <c r="S289" s="6" t="s">
        <v>123</v>
      </c>
      <c r="T289" s="6" t="s">
        <v>123</v>
      </c>
      <c r="U289" s="6" t="s">
        <v>123</v>
      </c>
      <c r="V289" s="6" t="s">
        <v>123</v>
      </c>
      <c r="W289" s="6" t="s">
        <v>123</v>
      </c>
      <c r="X289" s="6" t="s">
        <v>123</v>
      </c>
      <c r="Y289" s="6" t="s">
        <v>123</v>
      </c>
      <c r="Z289" s="6" t="s">
        <v>123</v>
      </c>
      <c r="AA289" s="6" t="s">
        <v>123</v>
      </c>
      <c r="AB289" s="6" t="s">
        <v>123</v>
      </c>
      <c r="AC289" s="6" t="s">
        <v>123</v>
      </c>
      <c r="AD289" s="6" t="n">
        <v>24.6</v>
      </c>
      <c r="AE289" s="6" t="s">
        <v>124</v>
      </c>
      <c r="AF289" s="6" t="s">
        <v>123</v>
      </c>
      <c r="AG289" s="6" t="s">
        <v>123</v>
      </c>
      <c r="AH289" s="6" t="s">
        <v>123</v>
      </c>
      <c r="AI289" s="6" t="s">
        <v>123</v>
      </c>
      <c r="AJ289" s="8"/>
      <c r="AK289" s="8"/>
      <c r="AL289" s="8"/>
      <c r="AM289" s="8"/>
      <c r="AN289" s="8"/>
      <c r="AO289" s="8"/>
      <c r="AP289" s="9" t="s">
        <v>1702</v>
      </c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63.75" hidden="true" customHeight="true" outlineLevel="0" collapsed="false">
      <c r="A290" s="6" t="s">
        <v>1</v>
      </c>
      <c r="B290" s="6" t="n">
        <v>4</v>
      </c>
      <c r="C290" s="6" t="n">
        <v>105235975</v>
      </c>
      <c r="D290" s="6" t="s">
        <v>1689</v>
      </c>
      <c r="E290" s="6" t="s">
        <v>832</v>
      </c>
      <c r="F290" s="6" t="s">
        <v>1690</v>
      </c>
      <c r="G290" s="6" t="s">
        <v>1037</v>
      </c>
      <c r="H290" s="6" t="s">
        <v>1703</v>
      </c>
      <c r="I290" s="6" t="s">
        <v>1704</v>
      </c>
      <c r="J290" s="6" t="s">
        <v>1705</v>
      </c>
      <c r="K290" s="6" t="s">
        <v>120</v>
      </c>
      <c r="L290" s="6" t="s">
        <v>1706</v>
      </c>
      <c r="M290" s="6" t="n">
        <v>3781</v>
      </c>
      <c r="N290" s="7" t="n">
        <v>0.0757</v>
      </c>
      <c r="O290" s="6" t="s">
        <v>122</v>
      </c>
      <c r="P290" s="6" t="s">
        <v>123</v>
      </c>
      <c r="Q290" s="6" t="s">
        <v>123</v>
      </c>
      <c r="R290" s="6" t="s">
        <v>123</v>
      </c>
      <c r="S290" s="6" t="s">
        <v>123</v>
      </c>
      <c r="T290" s="6" t="s">
        <v>123</v>
      </c>
      <c r="U290" s="6" t="s">
        <v>123</v>
      </c>
      <c r="V290" s="6" t="n">
        <v>0</v>
      </c>
      <c r="W290" s="6" t="n">
        <v>0</v>
      </c>
      <c r="X290" s="6" t="n">
        <v>0</v>
      </c>
      <c r="Y290" s="6" t="n">
        <v>0</v>
      </c>
      <c r="Z290" s="6" t="n">
        <v>30</v>
      </c>
      <c r="AA290" s="6" t="n">
        <v>-21</v>
      </c>
      <c r="AB290" s="6" t="n">
        <v>-17</v>
      </c>
      <c r="AC290" s="6" t="n">
        <v>7</v>
      </c>
      <c r="AD290" s="6" t="n">
        <v>5.587</v>
      </c>
      <c r="AE290" s="6" t="s">
        <v>124</v>
      </c>
      <c r="AF290" s="6" t="s">
        <v>123</v>
      </c>
      <c r="AG290" s="6" t="s">
        <v>123</v>
      </c>
      <c r="AH290" s="6" t="s">
        <v>123</v>
      </c>
      <c r="AI290" s="6" t="s">
        <v>123</v>
      </c>
      <c r="AJ290" s="8"/>
      <c r="AK290" s="8"/>
      <c r="AL290" s="8"/>
      <c r="AM290" s="8"/>
      <c r="AN290" s="8"/>
      <c r="AO290" s="8"/>
      <c r="AP290" s="9" t="s">
        <v>1707</v>
      </c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63.75" hidden="true" customHeight="true" outlineLevel="0" collapsed="false">
      <c r="A291" s="6" t="s">
        <v>1</v>
      </c>
      <c r="B291" s="6" t="n">
        <v>17</v>
      </c>
      <c r="C291" s="6" t="n">
        <v>7673519</v>
      </c>
      <c r="D291" s="6" t="s">
        <v>1708</v>
      </c>
      <c r="E291" s="6" t="s">
        <v>1709</v>
      </c>
      <c r="F291" s="6" t="s">
        <v>1710</v>
      </c>
      <c r="G291" s="6" t="s">
        <v>123</v>
      </c>
      <c r="H291" s="6" t="s">
        <v>1711</v>
      </c>
      <c r="I291" s="6"/>
      <c r="J291" s="6" t="s">
        <v>123</v>
      </c>
      <c r="K291" s="6" t="s">
        <v>141</v>
      </c>
      <c r="L291" s="6" t="s">
        <v>1712</v>
      </c>
      <c r="M291" s="6" t="n">
        <v>3557</v>
      </c>
      <c r="N291" s="7" t="n">
        <v>0.0754</v>
      </c>
      <c r="O291" s="6" t="s">
        <v>122</v>
      </c>
      <c r="P291" s="10" t="n">
        <f aca="false">HYPERLINK("https://www.ncbi.nlm.nih.gov/clinvar/variation/3724581", 3724581)</f>
        <v>3724581</v>
      </c>
      <c r="Q291" s="6" t="s">
        <v>215</v>
      </c>
      <c r="R291" s="6" t="s">
        <v>1713</v>
      </c>
      <c r="S291" s="6" t="s">
        <v>123</v>
      </c>
      <c r="T291" s="6" t="s">
        <v>123</v>
      </c>
      <c r="U291" s="6" t="s">
        <v>123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41</v>
      </c>
      <c r="AA291" s="6" t="n">
        <v>15</v>
      </c>
      <c r="AB291" s="6" t="n">
        <v>13</v>
      </c>
      <c r="AC291" s="6" t="n">
        <v>16</v>
      </c>
      <c r="AD291" s="6" t="n">
        <v>1.265</v>
      </c>
      <c r="AE291" s="6" t="s">
        <v>124</v>
      </c>
      <c r="AF291" s="6" t="s">
        <v>123</v>
      </c>
      <c r="AG291" s="6" t="s">
        <v>123</v>
      </c>
      <c r="AH291" s="6" t="s">
        <v>123</v>
      </c>
      <c r="AI291" s="6" t="s">
        <v>123</v>
      </c>
      <c r="AJ291" s="8"/>
      <c r="AK291" s="8"/>
      <c r="AL291" s="8"/>
      <c r="AM291" s="8"/>
      <c r="AN291" s="8"/>
      <c r="AO291" s="8"/>
      <c r="AP291" s="9" t="s">
        <v>1714</v>
      </c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76.5" hidden="true" customHeight="true" outlineLevel="0" collapsed="false">
      <c r="A292" s="6" t="s">
        <v>1</v>
      </c>
      <c r="B292" s="6" t="n">
        <v>17</v>
      </c>
      <c r="C292" s="6" t="n">
        <v>7675243</v>
      </c>
      <c r="D292" s="6" t="s">
        <v>1708</v>
      </c>
      <c r="E292" s="6" t="s">
        <v>1709</v>
      </c>
      <c r="F292" s="6" t="s">
        <v>1710</v>
      </c>
      <c r="G292" s="6" t="s">
        <v>123</v>
      </c>
      <c r="H292" s="6" t="s">
        <v>1715</v>
      </c>
      <c r="I292" s="6"/>
      <c r="J292" s="6" t="s">
        <v>123</v>
      </c>
      <c r="K292" s="6" t="s">
        <v>127</v>
      </c>
      <c r="L292" s="6" t="s">
        <v>1716</v>
      </c>
      <c r="M292" s="6" t="n">
        <v>3934</v>
      </c>
      <c r="N292" s="7" t="n">
        <v>0.276</v>
      </c>
      <c r="O292" s="6" t="s">
        <v>155</v>
      </c>
      <c r="P292" s="10" t="n">
        <f aca="false">HYPERLINK("https://www.ncbi.nlm.nih.gov/clinvar/variation/510753", 510753)</f>
        <v>510753</v>
      </c>
      <c r="Q292" s="6" t="s">
        <v>215</v>
      </c>
      <c r="R292" s="6" t="s">
        <v>1717</v>
      </c>
      <c r="S292" s="10" t="str">
        <f aca="false">HYPERLINK("https://www.ncbi.nlm.nih.gov/snp/rs1555526345", "rs1555526345")</f>
        <v>rs1555526345</v>
      </c>
      <c r="T292" s="6" t="s">
        <v>123</v>
      </c>
      <c r="U292" s="10" t="n">
        <f aca="false">HYPERLINK("https://gnomad.broadinstitute.org/variant/17-7675243-G-A?dataset=gnomad_r4", 0.000002737)</f>
        <v>2.737E-006</v>
      </c>
      <c r="V292" s="6" t="n">
        <v>0</v>
      </c>
      <c r="W292" s="6" t="n">
        <v>0</v>
      </c>
      <c r="X292" s="6" t="n">
        <v>0</v>
      </c>
      <c r="Y292" s="6" t="n">
        <v>0</v>
      </c>
      <c r="Z292" s="6" t="n">
        <v>3</v>
      </c>
      <c r="AA292" s="6" t="n">
        <v>-28</v>
      </c>
      <c r="AB292" s="6" t="n">
        <v>0</v>
      </c>
      <c r="AC292" s="6" t="n">
        <v>-5</v>
      </c>
      <c r="AD292" s="6" t="n">
        <v>3.626</v>
      </c>
      <c r="AE292" s="6" t="s">
        <v>124</v>
      </c>
      <c r="AF292" s="6" t="s">
        <v>123</v>
      </c>
      <c r="AG292" s="6" t="s">
        <v>123</v>
      </c>
      <c r="AH292" s="6" t="s">
        <v>123</v>
      </c>
      <c r="AI292" s="6" t="s">
        <v>123</v>
      </c>
      <c r="AJ292" s="8"/>
      <c r="AK292" s="8"/>
      <c r="AL292" s="8"/>
      <c r="AM292" s="8"/>
      <c r="AN292" s="8"/>
      <c r="AO292" s="8"/>
      <c r="AP292" s="9" t="s">
        <v>1718</v>
      </c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63.75" hidden="true" customHeight="true" outlineLevel="0" collapsed="false">
      <c r="A293" s="6" t="s">
        <v>1</v>
      </c>
      <c r="B293" s="6" t="s">
        <v>145</v>
      </c>
      <c r="C293" s="6" t="n">
        <v>47214909</v>
      </c>
      <c r="D293" s="6" t="s">
        <v>1719</v>
      </c>
      <c r="E293" s="6" t="s">
        <v>6</v>
      </c>
      <c r="F293" s="6" t="s">
        <v>1720</v>
      </c>
      <c r="G293" s="6" t="s">
        <v>1721</v>
      </c>
      <c r="H293" s="6" t="s">
        <v>1722</v>
      </c>
      <c r="I293" s="6" t="s">
        <v>1723</v>
      </c>
      <c r="J293" s="6" t="s">
        <v>1724</v>
      </c>
      <c r="K293" s="6" t="s">
        <v>120</v>
      </c>
      <c r="L293" s="6" t="s">
        <v>1725</v>
      </c>
      <c r="M293" s="6" t="n">
        <v>2388</v>
      </c>
      <c r="N293" s="7" t="n">
        <v>0.2</v>
      </c>
      <c r="O293" s="6" t="s">
        <v>122</v>
      </c>
      <c r="P293" s="6" t="s">
        <v>123</v>
      </c>
      <c r="Q293" s="6" t="s">
        <v>123</v>
      </c>
      <c r="R293" s="6" t="s">
        <v>123</v>
      </c>
      <c r="S293" s="6" t="s">
        <v>123</v>
      </c>
      <c r="T293" s="6" t="s">
        <v>123</v>
      </c>
      <c r="U293" s="6" t="s">
        <v>123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-3</v>
      </c>
      <c r="AA293" s="6" t="n">
        <v>39</v>
      </c>
      <c r="AB293" s="6" t="n">
        <v>-3</v>
      </c>
      <c r="AC293" s="6" t="n">
        <v>-10</v>
      </c>
      <c r="AD293" s="6" t="n">
        <v>23.1</v>
      </c>
      <c r="AE293" s="6" t="s">
        <v>124</v>
      </c>
      <c r="AF293" s="6" t="s">
        <v>123</v>
      </c>
      <c r="AG293" s="6" t="s">
        <v>123</v>
      </c>
      <c r="AH293" s="6" t="s">
        <v>123</v>
      </c>
      <c r="AI293" s="6" t="s">
        <v>123</v>
      </c>
      <c r="AJ293" s="8"/>
      <c r="AK293" s="8"/>
      <c r="AL293" s="8"/>
      <c r="AM293" s="8"/>
      <c r="AN293" s="8"/>
      <c r="AO293" s="8"/>
      <c r="AP293" s="9" t="s">
        <v>1726</v>
      </c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76.5" hidden="true" customHeight="true" outlineLevel="0" collapsed="false">
      <c r="A294" s="6" t="s">
        <v>1</v>
      </c>
      <c r="B294" s="6" t="s">
        <v>145</v>
      </c>
      <c r="C294" s="6" t="n">
        <v>47201619</v>
      </c>
      <c r="D294" s="6" t="s">
        <v>1719</v>
      </c>
      <c r="E294" s="6" t="s">
        <v>6</v>
      </c>
      <c r="F294" s="6" t="s">
        <v>1720</v>
      </c>
      <c r="G294" s="6" t="s">
        <v>123</v>
      </c>
      <c r="H294" s="6" t="s">
        <v>1727</v>
      </c>
      <c r="I294" s="6"/>
      <c r="J294" s="6" t="s">
        <v>123</v>
      </c>
      <c r="K294" s="6" t="s">
        <v>141</v>
      </c>
      <c r="L294" s="6" t="s">
        <v>1728</v>
      </c>
      <c r="M294" s="6" t="n">
        <v>1952</v>
      </c>
      <c r="N294" s="7" t="n">
        <v>0.999</v>
      </c>
      <c r="O294" s="6" t="s">
        <v>122</v>
      </c>
      <c r="P294" s="10" t="n">
        <f aca="false">HYPERLINK("https://www.ncbi.nlm.nih.gov/clinvar/variation/368331", 368331)</f>
        <v>368331</v>
      </c>
      <c r="Q294" s="6" t="s">
        <v>418</v>
      </c>
      <c r="R294" s="6" t="s">
        <v>1729</v>
      </c>
      <c r="S294" s="10" t="str">
        <f aca="false">HYPERLINK("https://www.ncbi.nlm.nih.gov/snp/rs4239964", "rs4239964")</f>
        <v>rs4239964</v>
      </c>
      <c r="T294" s="6" t="s">
        <v>123</v>
      </c>
      <c r="U294" s="6" t="s">
        <v>123</v>
      </c>
      <c r="V294" s="6" t="n">
        <v>0</v>
      </c>
      <c r="W294" s="6" t="n">
        <v>0</v>
      </c>
      <c r="X294" s="6" t="n">
        <v>0</v>
      </c>
      <c r="Y294" s="6" t="n">
        <v>0</v>
      </c>
      <c r="Z294" s="6" t="n">
        <v>-9</v>
      </c>
      <c r="AA294" s="6" t="n">
        <v>-30</v>
      </c>
      <c r="AB294" s="6" t="n">
        <v>-5</v>
      </c>
      <c r="AC294" s="6" t="n">
        <v>-9</v>
      </c>
      <c r="AD294" s="6" t="n">
        <v>4.397</v>
      </c>
      <c r="AE294" s="6" t="s">
        <v>124</v>
      </c>
      <c r="AF294" s="6" t="s">
        <v>123</v>
      </c>
      <c r="AG294" s="6" t="s">
        <v>123</v>
      </c>
      <c r="AH294" s="6" t="s">
        <v>123</v>
      </c>
      <c r="AI294" s="6" t="s">
        <v>123</v>
      </c>
      <c r="AJ294" s="8"/>
      <c r="AK294" s="8"/>
      <c r="AL294" s="8"/>
      <c r="AM294" s="8"/>
      <c r="AN294" s="8"/>
      <c r="AO294" s="8"/>
      <c r="AP294" s="9" t="s">
        <v>1730</v>
      </c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63.75" hidden="true" customHeight="true" outlineLevel="0" collapsed="false">
      <c r="A295" s="6" t="s">
        <v>1</v>
      </c>
      <c r="B295" s="6" t="s">
        <v>145</v>
      </c>
      <c r="C295" s="6" t="n">
        <v>47201592</v>
      </c>
      <c r="D295" s="6" t="s">
        <v>1719</v>
      </c>
      <c r="E295" s="6" t="s">
        <v>6</v>
      </c>
      <c r="F295" s="6" t="s">
        <v>1720</v>
      </c>
      <c r="G295" s="6" t="s">
        <v>1731</v>
      </c>
      <c r="H295" s="6" t="s">
        <v>1732</v>
      </c>
      <c r="I295" s="6" t="s">
        <v>1733</v>
      </c>
      <c r="J295" s="6" t="s">
        <v>1734</v>
      </c>
      <c r="K295" s="6" t="s">
        <v>120</v>
      </c>
      <c r="L295" s="6" t="s">
        <v>1735</v>
      </c>
      <c r="M295" s="6" t="n">
        <v>2267</v>
      </c>
      <c r="N295" s="7" t="n">
        <v>0.117</v>
      </c>
      <c r="O295" s="6" t="s">
        <v>122</v>
      </c>
      <c r="P295" s="10" t="n">
        <f aca="false">HYPERLINK("https://www.ncbi.nlm.nih.gov/clinvar/variation/1025202", 1025202)</f>
        <v>1025202</v>
      </c>
      <c r="Q295" s="6" t="s">
        <v>253</v>
      </c>
      <c r="R295" s="6" t="s">
        <v>1736</v>
      </c>
      <c r="S295" s="6" t="s">
        <v>123</v>
      </c>
      <c r="T295" s="6" t="s">
        <v>123</v>
      </c>
      <c r="U295" s="6" t="s">
        <v>123</v>
      </c>
      <c r="V295" s="6" t="n">
        <v>0.03</v>
      </c>
      <c r="W295" s="6" t="n">
        <v>0</v>
      </c>
      <c r="X295" s="6" t="n">
        <v>0</v>
      </c>
      <c r="Y295" s="6" t="n">
        <v>0</v>
      </c>
      <c r="Z295" s="6" t="n">
        <v>-38</v>
      </c>
      <c r="AA295" s="6" t="n">
        <v>-3</v>
      </c>
      <c r="AB295" s="6" t="n">
        <v>18</v>
      </c>
      <c r="AC295" s="6" t="n">
        <v>-37</v>
      </c>
      <c r="AD295" s="6" t="n">
        <v>15.82</v>
      </c>
      <c r="AE295" s="6" t="s">
        <v>124</v>
      </c>
      <c r="AF295" s="6" t="s">
        <v>123</v>
      </c>
      <c r="AG295" s="6" t="s">
        <v>123</v>
      </c>
      <c r="AH295" s="6" t="s">
        <v>123</v>
      </c>
      <c r="AI295" s="6" t="s">
        <v>123</v>
      </c>
      <c r="AJ295" s="8"/>
      <c r="AK295" s="8"/>
      <c r="AL295" s="8"/>
      <c r="AM295" s="8"/>
      <c r="AN295" s="8"/>
      <c r="AO295" s="8"/>
      <c r="AP295" s="9" t="s">
        <v>1737</v>
      </c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63.75" hidden="true" customHeight="true" outlineLevel="0" collapsed="false">
      <c r="A296" s="6" t="s">
        <v>1</v>
      </c>
      <c r="B296" s="6" t="n">
        <v>19</v>
      </c>
      <c r="C296" s="6" t="n">
        <v>6833548</v>
      </c>
      <c r="D296" s="6" t="s">
        <v>1738</v>
      </c>
      <c r="E296" s="6" t="s">
        <v>757</v>
      </c>
      <c r="F296" s="6" t="s">
        <v>1739</v>
      </c>
      <c r="G296" s="6" t="s">
        <v>1740</v>
      </c>
      <c r="H296" s="6" t="s">
        <v>1741</v>
      </c>
      <c r="I296" s="6" t="s">
        <v>1742</v>
      </c>
      <c r="J296" s="6" t="s">
        <v>1743</v>
      </c>
      <c r="K296" s="6" t="s">
        <v>120</v>
      </c>
      <c r="L296" s="6" t="s">
        <v>1744</v>
      </c>
      <c r="M296" s="6" t="n">
        <v>3389</v>
      </c>
      <c r="N296" s="7" t="n">
        <v>0.0515</v>
      </c>
      <c r="O296" s="6" t="s">
        <v>122</v>
      </c>
      <c r="P296" s="6" t="s">
        <v>123</v>
      </c>
      <c r="Q296" s="6" t="s">
        <v>123</v>
      </c>
      <c r="R296" s="6" t="s">
        <v>123</v>
      </c>
      <c r="S296" s="6" t="s">
        <v>123</v>
      </c>
      <c r="T296" s="6" t="s">
        <v>123</v>
      </c>
      <c r="U296" s="10" t="n">
        <f aca="false">HYPERLINK("https://gnomad.broadinstitute.org/variant/19-6833548-A-G?dataset=gnomad_r4", 0.000000685897)</f>
        <v>6.85897E-007</v>
      </c>
      <c r="V296" s="6" t="n">
        <v>0.01</v>
      </c>
      <c r="W296" s="6" t="n">
        <v>0.01</v>
      </c>
      <c r="X296" s="6" t="n">
        <v>0</v>
      </c>
      <c r="Y296" s="6" t="n">
        <v>0</v>
      </c>
      <c r="Z296" s="6" t="n">
        <v>-4</v>
      </c>
      <c r="AA296" s="6" t="n">
        <v>-20</v>
      </c>
      <c r="AB296" s="6" t="n">
        <v>-5</v>
      </c>
      <c r="AC296" s="6" t="n">
        <v>-19</v>
      </c>
      <c r="AD296" s="6" t="n">
        <v>28.4</v>
      </c>
      <c r="AE296" s="6" t="s">
        <v>124</v>
      </c>
      <c r="AF296" s="6" t="s">
        <v>123</v>
      </c>
      <c r="AG296" s="6" t="s">
        <v>123</v>
      </c>
      <c r="AH296" s="6" t="s">
        <v>123</v>
      </c>
      <c r="AI296" s="6" t="s">
        <v>123</v>
      </c>
      <c r="AJ296" s="8"/>
      <c r="AK296" s="8"/>
      <c r="AL296" s="8"/>
      <c r="AM296" s="8"/>
      <c r="AN296" s="8"/>
      <c r="AO296" s="8"/>
      <c r="AP296" s="9" t="s">
        <v>1745</v>
      </c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63.75" hidden="true" customHeight="true" outlineLevel="0" collapsed="false">
      <c r="A297" s="6" t="s">
        <v>1</v>
      </c>
      <c r="B297" s="6" t="n">
        <v>11</v>
      </c>
      <c r="C297" s="6" t="n">
        <v>32434950</v>
      </c>
      <c r="D297" s="6" t="s">
        <v>1746</v>
      </c>
      <c r="E297" s="6" t="s">
        <v>531</v>
      </c>
      <c r="F297" s="6" t="s">
        <v>1747</v>
      </c>
      <c r="G297" s="6" t="s">
        <v>1748</v>
      </c>
      <c r="H297" s="6" t="s">
        <v>1749</v>
      </c>
      <c r="I297" s="6" t="s">
        <v>1750</v>
      </c>
      <c r="J297" s="6" t="s">
        <v>1751</v>
      </c>
      <c r="K297" s="6" t="s">
        <v>799</v>
      </c>
      <c r="L297" s="6" t="s">
        <v>1752</v>
      </c>
      <c r="M297" s="6" t="n">
        <v>2987</v>
      </c>
      <c r="N297" s="7" t="n">
        <v>0.0686</v>
      </c>
      <c r="O297" s="6" t="s">
        <v>179</v>
      </c>
      <c r="P297" s="6" t="s">
        <v>123</v>
      </c>
      <c r="Q297" s="6" t="s">
        <v>123</v>
      </c>
      <c r="R297" s="6" t="s">
        <v>123</v>
      </c>
      <c r="S297" s="6" t="s">
        <v>123</v>
      </c>
      <c r="T297" s="6" t="s">
        <v>123</v>
      </c>
      <c r="U297" s="6" t="s">
        <v>123</v>
      </c>
      <c r="V297" s="6" t="s">
        <v>123</v>
      </c>
      <c r="W297" s="6" t="s">
        <v>123</v>
      </c>
      <c r="X297" s="6" t="s">
        <v>123</v>
      </c>
      <c r="Y297" s="6" t="s">
        <v>123</v>
      </c>
      <c r="Z297" s="6" t="s">
        <v>123</v>
      </c>
      <c r="AA297" s="6" t="s">
        <v>123</v>
      </c>
      <c r="AB297" s="6" t="s">
        <v>123</v>
      </c>
      <c r="AC297" s="6" t="s">
        <v>123</v>
      </c>
      <c r="AD297" s="6" t="s">
        <v>123</v>
      </c>
      <c r="AE297" s="6" t="s">
        <v>124</v>
      </c>
      <c r="AF297" s="6" t="s">
        <v>123</v>
      </c>
      <c r="AG297" s="6" t="s">
        <v>123</v>
      </c>
      <c r="AH297" s="6" t="s">
        <v>123</v>
      </c>
      <c r="AI297" s="6" t="s">
        <v>123</v>
      </c>
      <c r="AJ297" s="8"/>
      <c r="AK297" s="8"/>
      <c r="AL297" s="8"/>
      <c r="AM297" s="8"/>
      <c r="AN297" s="8"/>
      <c r="AO297" s="8"/>
      <c r="AP297" s="9" t="s">
        <v>1753</v>
      </c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76.5" hidden="true" customHeight="true" outlineLevel="0" collapsed="false">
      <c r="A298" s="6" t="s">
        <v>1</v>
      </c>
      <c r="B298" s="6" t="n">
        <v>14</v>
      </c>
      <c r="C298" s="6" t="n">
        <v>74799194</v>
      </c>
      <c r="D298" s="6" t="s">
        <v>1754</v>
      </c>
      <c r="E298" s="6" t="s">
        <v>6</v>
      </c>
      <c r="F298" s="6" t="s">
        <v>1755</v>
      </c>
      <c r="G298" s="6" t="s">
        <v>205</v>
      </c>
      <c r="H298" s="6" t="s">
        <v>1756</v>
      </c>
      <c r="I298" s="6" t="s">
        <v>1757</v>
      </c>
      <c r="J298" s="6" t="s">
        <v>1758</v>
      </c>
      <c r="K298" s="6" t="s">
        <v>120</v>
      </c>
      <c r="L298" s="6" t="s">
        <v>1759</v>
      </c>
      <c r="M298" s="6" t="n">
        <v>5161</v>
      </c>
      <c r="N298" s="7" t="n">
        <v>0.0696</v>
      </c>
      <c r="O298" s="6" t="s">
        <v>122</v>
      </c>
      <c r="P298" s="6" t="s">
        <v>123</v>
      </c>
      <c r="Q298" s="6" t="s">
        <v>123</v>
      </c>
      <c r="R298" s="6" t="s">
        <v>123</v>
      </c>
      <c r="S298" s="10" t="str">
        <f aca="false">HYPERLINK("https://www.ncbi.nlm.nih.gov/snp/rs1207968720", "rs1207968720")</f>
        <v>rs1207968720</v>
      </c>
      <c r="T298" s="6" t="s">
        <v>123</v>
      </c>
      <c r="U298" s="10" t="n">
        <f aca="false">HYPERLINK("https://gnomad.broadinstitute.org/variant/14-74799194-G-A?dataset=gnomad_r4", 0.000000684144)</f>
        <v>6.84144E-007</v>
      </c>
      <c r="V298" s="6" t="n">
        <v>0</v>
      </c>
      <c r="W298" s="6" t="n">
        <v>0</v>
      </c>
      <c r="X298" s="6" t="n">
        <v>0</v>
      </c>
      <c r="Y298" s="6" t="n">
        <v>0</v>
      </c>
      <c r="Z298" s="6" t="n">
        <v>2</v>
      </c>
      <c r="AA298" s="6" t="n">
        <v>9</v>
      </c>
      <c r="AB298" s="6" t="n">
        <v>-34</v>
      </c>
      <c r="AC298" s="6" t="n">
        <v>-1</v>
      </c>
      <c r="AD298" s="6" t="n">
        <v>10.54</v>
      </c>
      <c r="AE298" s="6" t="s">
        <v>124</v>
      </c>
      <c r="AF298" s="6" t="s">
        <v>123</v>
      </c>
      <c r="AG298" s="6" t="s">
        <v>123</v>
      </c>
      <c r="AH298" s="6" t="s">
        <v>123</v>
      </c>
      <c r="AI298" s="6" t="s">
        <v>123</v>
      </c>
      <c r="AJ298" s="8"/>
      <c r="AK298" s="8"/>
      <c r="AL298" s="8"/>
      <c r="AM298" s="8"/>
      <c r="AN298" s="8"/>
      <c r="AO298" s="8"/>
      <c r="AP298" s="9" t="s">
        <v>1760</v>
      </c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76.5" hidden="true" customHeight="true" outlineLevel="0" collapsed="false">
      <c r="A299" s="6" t="s">
        <v>1</v>
      </c>
      <c r="B299" s="6" t="n">
        <v>14</v>
      </c>
      <c r="C299" s="6" t="n">
        <v>74764243</v>
      </c>
      <c r="D299" s="6" t="s">
        <v>1754</v>
      </c>
      <c r="E299" s="6" t="s">
        <v>6</v>
      </c>
      <c r="F299" s="6" t="s">
        <v>1755</v>
      </c>
      <c r="G299" s="6" t="s">
        <v>1761</v>
      </c>
      <c r="H299" s="6" t="s">
        <v>1762</v>
      </c>
      <c r="I299" s="6" t="s">
        <v>1763</v>
      </c>
      <c r="J299" s="6" t="s">
        <v>1764</v>
      </c>
      <c r="K299" s="6" t="s">
        <v>153</v>
      </c>
      <c r="L299" s="6" t="s">
        <v>1765</v>
      </c>
      <c r="M299" s="6" t="n">
        <v>4387</v>
      </c>
      <c r="N299" s="7" t="n">
        <v>0.227</v>
      </c>
      <c r="O299" s="6" t="s">
        <v>129</v>
      </c>
      <c r="P299" s="6" t="s">
        <v>123</v>
      </c>
      <c r="Q299" s="6" t="s">
        <v>123</v>
      </c>
      <c r="R299" s="6" t="s">
        <v>123</v>
      </c>
      <c r="S299" s="10" t="str">
        <f aca="false">HYPERLINK("https://www.ncbi.nlm.nih.gov/snp/rs760065689", "rs760065689")</f>
        <v>rs760065689</v>
      </c>
      <c r="T299" s="6" t="s">
        <v>123</v>
      </c>
      <c r="U299" s="10" t="n">
        <f aca="false">HYPERLINK("https://gnomad.broadinstitute.org/variant/14-74764243-G-GC?dataset=gnomad_r4", 0.00000821012)</f>
        <v>8.21012E-006</v>
      </c>
      <c r="V299" s="6" t="n">
        <v>0</v>
      </c>
      <c r="W299" s="6" t="n">
        <v>0</v>
      </c>
      <c r="X299" s="6" t="n">
        <v>0</v>
      </c>
      <c r="Y299" s="6" t="n">
        <v>0</v>
      </c>
      <c r="Z299" s="6" t="n">
        <v>-17</v>
      </c>
      <c r="AA299" s="6" t="n">
        <v>-42</v>
      </c>
      <c r="AB299" s="6" t="n">
        <v>-42</v>
      </c>
      <c r="AC299" s="6" t="n">
        <v>12</v>
      </c>
      <c r="AD299" s="6" t="n">
        <v>22.6</v>
      </c>
      <c r="AE299" s="6" t="s">
        <v>124</v>
      </c>
      <c r="AF299" s="6" t="s">
        <v>123</v>
      </c>
      <c r="AG299" s="6" t="s">
        <v>123</v>
      </c>
      <c r="AH299" s="6" t="s">
        <v>123</v>
      </c>
      <c r="AI299" s="6" t="s">
        <v>123</v>
      </c>
      <c r="AJ299" s="8"/>
      <c r="AK299" s="8"/>
      <c r="AL299" s="8"/>
      <c r="AM299" s="8"/>
      <c r="AN299" s="8"/>
      <c r="AO299" s="8"/>
      <c r="AP299" s="9" t="s">
        <v>1766</v>
      </c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63.75" hidden="true" customHeight="true" outlineLevel="0" collapsed="false">
      <c r="A300" s="6" t="s">
        <v>1</v>
      </c>
      <c r="B300" s="6" t="n">
        <v>14</v>
      </c>
      <c r="C300" s="6" t="n">
        <v>74764243</v>
      </c>
      <c r="D300" s="6" t="s">
        <v>1754</v>
      </c>
      <c r="E300" s="6" t="s">
        <v>6</v>
      </c>
      <c r="F300" s="6" t="s">
        <v>1755</v>
      </c>
      <c r="G300" s="6" t="s">
        <v>1761</v>
      </c>
      <c r="H300" s="6" t="s">
        <v>1767</v>
      </c>
      <c r="I300" s="6" t="s">
        <v>1768</v>
      </c>
      <c r="J300" s="6" t="s">
        <v>1769</v>
      </c>
      <c r="K300" s="6" t="s">
        <v>153</v>
      </c>
      <c r="L300" s="6" t="s">
        <v>1770</v>
      </c>
      <c r="M300" s="6" t="n">
        <v>4387</v>
      </c>
      <c r="N300" s="7" t="n">
        <v>0.14</v>
      </c>
      <c r="O300" s="6" t="s">
        <v>129</v>
      </c>
      <c r="P300" s="6" t="s">
        <v>123</v>
      </c>
      <c r="Q300" s="6" t="s">
        <v>123</v>
      </c>
      <c r="R300" s="6" t="s">
        <v>123</v>
      </c>
      <c r="S300" s="6" t="s">
        <v>123</v>
      </c>
      <c r="T300" s="6" t="s">
        <v>123</v>
      </c>
      <c r="U300" s="10" t="n">
        <f aca="false">HYPERLINK("https://gnomad.broadinstitute.org/variant/14-74764243-GC-G?dataset=gnomad_r4", 0.000000684162)</f>
        <v>6.84162E-007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-17</v>
      </c>
      <c r="AA300" s="6" t="n">
        <v>-42</v>
      </c>
      <c r="AB300" s="6" t="n">
        <v>-42</v>
      </c>
      <c r="AC300" s="6" t="n">
        <v>12</v>
      </c>
      <c r="AD300" s="6" t="s">
        <v>123</v>
      </c>
      <c r="AE300" s="6" t="s">
        <v>124</v>
      </c>
      <c r="AF300" s="6" t="s">
        <v>123</v>
      </c>
      <c r="AG300" s="6" t="s">
        <v>123</v>
      </c>
      <c r="AH300" s="6" t="s">
        <v>123</v>
      </c>
      <c r="AI300" s="6" t="s">
        <v>123</v>
      </c>
      <c r="AJ300" s="8"/>
      <c r="AK300" s="8"/>
      <c r="AL300" s="8"/>
      <c r="AM300" s="8"/>
      <c r="AN300" s="8"/>
      <c r="AO300" s="8"/>
      <c r="AP300" s="9" t="s">
        <v>1771</v>
      </c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63.75" hidden="true" customHeight="true" outlineLevel="0" collapsed="false">
      <c r="A301" s="6" t="s">
        <v>1</v>
      </c>
      <c r="B301" s="6" t="s">
        <v>145</v>
      </c>
      <c r="C301" s="6" t="n">
        <v>120253680</v>
      </c>
      <c r="D301" s="6" t="s">
        <v>1772</v>
      </c>
      <c r="E301" s="6" t="s">
        <v>6</v>
      </c>
      <c r="F301" s="6" t="s">
        <v>1773</v>
      </c>
      <c r="G301" s="6" t="s">
        <v>1150</v>
      </c>
      <c r="H301" s="6" t="s">
        <v>1774</v>
      </c>
      <c r="I301" s="6" t="s">
        <v>1775</v>
      </c>
      <c r="J301" s="6" t="s">
        <v>1776</v>
      </c>
      <c r="K301" s="6" t="s">
        <v>120</v>
      </c>
      <c r="L301" s="6" t="s">
        <v>1777</v>
      </c>
      <c r="M301" s="6" t="n">
        <v>3395</v>
      </c>
      <c r="N301" s="7" t="n">
        <v>0.0775</v>
      </c>
      <c r="O301" s="6" t="s">
        <v>122</v>
      </c>
      <c r="P301" s="6" t="s">
        <v>123</v>
      </c>
      <c r="Q301" s="6" t="s">
        <v>123</v>
      </c>
      <c r="R301" s="6" t="s">
        <v>123</v>
      </c>
      <c r="S301" s="6" t="s">
        <v>123</v>
      </c>
      <c r="T301" s="6" t="s">
        <v>123</v>
      </c>
      <c r="U301" s="6" t="s">
        <v>123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-4</v>
      </c>
      <c r="AA301" s="6" t="n">
        <v>5</v>
      </c>
      <c r="AB301" s="6" t="n">
        <v>11</v>
      </c>
      <c r="AC301" s="6" t="n">
        <v>5</v>
      </c>
      <c r="AD301" s="6" t="n">
        <v>24.8</v>
      </c>
      <c r="AE301" s="6" t="s">
        <v>124</v>
      </c>
      <c r="AF301" s="6" t="s">
        <v>123</v>
      </c>
      <c r="AG301" s="6" t="s">
        <v>123</v>
      </c>
      <c r="AH301" s="6" t="s">
        <v>123</v>
      </c>
      <c r="AI301" s="6" t="s">
        <v>123</v>
      </c>
      <c r="AJ301" s="8"/>
      <c r="AK301" s="8"/>
      <c r="AL301" s="8"/>
      <c r="AM301" s="8"/>
      <c r="AN301" s="8"/>
      <c r="AO301" s="8"/>
      <c r="AP301" s="9" t="s">
        <v>1778</v>
      </c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63.75" hidden="true" customHeight="true" outlineLevel="0" collapsed="false">
      <c r="A302" s="6" t="s">
        <v>1</v>
      </c>
      <c r="B302" s="6" t="s">
        <v>145</v>
      </c>
      <c r="C302" s="6" t="n">
        <v>120253978</v>
      </c>
      <c r="D302" s="6" t="s">
        <v>1772</v>
      </c>
      <c r="E302" s="6" t="s">
        <v>6</v>
      </c>
      <c r="F302" s="6" t="s">
        <v>1773</v>
      </c>
      <c r="G302" s="6" t="s">
        <v>1150</v>
      </c>
      <c r="H302" s="6" t="s">
        <v>1779</v>
      </c>
      <c r="I302" s="6" t="s">
        <v>1780</v>
      </c>
      <c r="J302" s="6" t="s">
        <v>1781</v>
      </c>
      <c r="K302" s="6" t="s">
        <v>799</v>
      </c>
      <c r="L302" s="6" t="s">
        <v>1782</v>
      </c>
      <c r="M302" s="6" t="n">
        <v>3454</v>
      </c>
      <c r="N302" s="7" t="n">
        <v>0.609</v>
      </c>
      <c r="O302" s="6" t="s">
        <v>1783</v>
      </c>
      <c r="P302" s="6" t="s">
        <v>123</v>
      </c>
      <c r="Q302" s="6" t="s">
        <v>123</v>
      </c>
      <c r="R302" s="6" t="s">
        <v>123</v>
      </c>
      <c r="S302" s="6" t="s">
        <v>123</v>
      </c>
      <c r="T302" s="6" t="s">
        <v>123</v>
      </c>
      <c r="U302" s="6" t="s">
        <v>123</v>
      </c>
      <c r="V302" s="6" t="s">
        <v>123</v>
      </c>
      <c r="W302" s="6" t="s">
        <v>123</v>
      </c>
      <c r="X302" s="6" t="s">
        <v>123</v>
      </c>
      <c r="Y302" s="6" t="s">
        <v>123</v>
      </c>
      <c r="Z302" s="6" t="s">
        <v>123</v>
      </c>
      <c r="AA302" s="6" t="s">
        <v>123</v>
      </c>
      <c r="AB302" s="6" t="s">
        <v>123</v>
      </c>
      <c r="AC302" s="6" t="s">
        <v>123</v>
      </c>
      <c r="AD302" s="6" t="s">
        <v>123</v>
      </c>
      <c r="AE302" s="6" t="s">
        <v>124</v>
      </c>
      <c r="AF302" s="6" t="s">
        <v>123</v>
      </c>
      <c r="AG302" s="6" t="s">
        <v>123</v>
      </c>
      <c r="AH302" s="6" t="s">
        <v>123</v>
      </c>
      <c r="AI302" s="6" t="s">
        <v>123</v>
      </c>
      <c r="AJ302" s="8"/>
      <c r="AK302" s="8"/>
      <c r="AL302" s="8"/>
      <c r="AM302" s="8"/>
      <c r="AN302" s="8"/>
      <c r="AO302" s="8"/>
      <c r="AP302" s="9" t="s">
        <v>1784</v>
      </c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63.75" hidden="true" customHeight="true" outlineLevel="0" collapsed="false">
      <c r="A303" s="6" t="s">
        <v>1</v>
      </c>
      <c r="B303" s="6" t="n">
        <v>6</v>
      </c>
      <c r="C303" s="6" t="n">
        <v>43339629</v>
      </c>
      <c r="D303" s="6" t="s">
        <v>1785</v>
      </c>
      <c r="E303" s="6" t="s">
        <v>6</v>
      </c>
      <c r="F303" s="6" t="s">
        <v>1786</v>
      </c>
      <c r="G303" s="6" t="s">
        <v>1787</v>
      </c>
      <c r="H303" s="6" t="s">
        <v>1788</v>
      </c>
      <c r="I303" s="6" t="s">
        <v>1789</v>
      </c>
      <c r="J303" s="6" t="s">
        <v>1790</v>
      </c>
      <c r="K303" s="6" t="s">
        <v>153</v>
      </c>
      <c r="L303" s="6" t="s">
        <v>1791</v>
      </c>
      <c r="M303" s="6" t="n">
        <v>2407</v>
      </c>
      <c r="N303" s="7" t="n">
        <v>0.116</v>
      </c>
      <c r="O303" s="6" t="s">
        <v>122</v>
      </c>
      <c r="P303" s="6" t="s">
        <v>123</v>
      </c>
      <c r="Q303" s="6" t="s">
        <v>123</v>
      </c>
      <c r="R303" s="6" t="s">
        <v>123</v>
      </c>
      <c r="S303" s="6" t="s">
        <v>123</v>
      </c>
      <c r="T303" s="6" t="s">
        <v>123</v>
      </c>
      <c r="U303" s="10" t="n">
        <f aca="false">HYPERLINK("https://gnomad.broadinstitute.org/variant/6-43339629-CG-C?dataset=gnomad_r4", 0.00000155761)</f>
        <v>1.55761E-006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-16</v>
      </c>
      <c r="AA303" s="6" t="n">
        <v>8</v>
      </c>
      <c r="AB303" s="6" t="n">
        <v>2</v>
      </c>
      <c r="AC303" s="6" t="n">
        <v>1</v>
      </c>
      <c r="AD303" s="6" t="s">
        <v>123</v>
      </c>
      <c r="AE303" s="6" t="s">
        <v>124</v>
      </c>
      <c r="AF303" s="6" t="s">
        <v>123</v>
      </c>
      <c r="AG303" s="6" t="s">
        <v>123</v>
      </c>
      <c r="AH303" s="6" t="s">
        <v>123</v>
      </c>
      <c r="AI303" s="6" t="s">
        <v>123</v>
      </c>
      <c r="AJ303" s="8"/>
      <c r="AK303" s="8"/>
      <c r="AL303" s="8"/>
      <c r="AM303" s="8"/>
      <c r="AN303" s="8"/>
      <c r="AO303" s="8"/>
      <c r="AP303" s="9" t="s">
        <v>1792</v>
      </c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76.5" hidden="true" customHeight="true" outlineLevel="0" collapsed="false">
      <c r="A304" s="6" t="s">
        <v>1</v>
      </c>
      <c r="B304" s="6" t="n">
        <v>6</v>
      </c>
      <c r="C304" s="6" t="n">
        <v>43355383</v>
      </c>
      <c r="D304" s="6" t="s">
        <v>1785</v>
      </c>
      <c r="E304" s="6" t="s">
        <v>6</v>
      </c>
      <c r="F304" s="6" t="s">
        <v>1786</v>
      </c>
      <c r="G304" s="6" t="s">
        <v>1793</v>
      </c>
      <c r="H304" s="6" t="s">
        <v>1794</v>
      </c>
      <c r="I304" s="6" t="s">
        <v>1795</v>
      </c>
      <c r="J304" s="6" t="s">
        <v>1796</v>
      </c>
      <c r="K304" s="6" t="s">
        <v>120</v>
      </c>
      <c r="L304" s="6" t="s">
        <v>1797</v>
      </c>
      <c r="M304" s="6" t="n">
        <v>3808</v>
      </c>
      <c r="N304" s="7" t="n">
        <v>0.038</v>
      </c>
      <c r="O304" s="6" t="s">
        <v>122</v>
      </c>
      <c r="P304" s="6" t="s">
        <v>123</v>
      </c>
      <c r="Q304" s="6" t="s">
        <v>123</v>
      </c>
      <c r="R304" s="6" t="s">
        <v>123</v>
      </c>
      <c r="S304" s="10" t="str">
        <f aca="false">HYPERLINK("https://www.ncbi.nlm.nih.gov/snp/rs780911532", "rs780911532")</f>
        <v>rs780911532</v>
      </c>
      <c r="T304" s="10" t="n">
        <f aca="false">HYPERLINK("https://gnomad.broadinstitute.org/variant/6-43355383-G-A?dataset=gnomad_r4", 0.000046009)</f>
        <v>4.6009E-005</v>
      </c>
      <c r="U304" s="10" t="n">
        <f aca="false">HYPERLINK("https://gnomad.broadinstitute.org/variant/6-43355383-G-A?dataset=gnomad_r4", 0.000009577)</f>
        <v>9.577E-006</v>
      </c>
      <c r="V304" s="6" t="n">
        <v>0</v>
      </c>
      <c r="W304" s="6" t="n">
        <v>0</v>
      </c>
      <c r="X304" s="6" t="n">
        <v>0</v>
      </c>
      <c r="Y304" s="6" t="n">
        <v>0</v>
      </c>
      <c r="Z304" s="6" t="n">
        <v>-10</v>
      </c>
      <c r="AA304" s="6" t="n">
        <v>26</v>
      </c>
      <c r="AB304" s="6" t="n">
        <v>46</v>
      </c>
      <c r="AC304" s="6" t="n">
        <v>10</v>
      </c>
      <c r="AD304" s="6" t="n">
        <v>20.2</v>
      </c>
      <c r="AE304" s="6" t="s">
        <v>124</v>
      </c>
      <c r="AF304" s="6" t="s">
        <v>123</v>
      </c>
      <c r="AG304" s="6" t="s">
        <v>123</v>
      </c>
      <c r="AH304" s="6" t="s">
        <v>123</v>
      </c>
      <c r="AI304" s="6" t="s">
        <v>123</v>
      </c>
      <c r="AJ304" s="8"/>
      <c r="AK304" s="8"/>
      <c r="AL304" s="8"/>
      <c r="AM304" s="8"/>
      <c r="AN304" s="8"/>
      <c r="AO304" s="8"/>
      <c r="AP304" s="9" t="s">
        <v>1798</v>
      </c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63.75" hidden="true" customHeight="true" outlineLevel="0" collapsed="false">
      <c r="A305" s="6" t="s">
        <v>1</v>
      </c>
      <c r="B305" s="6" t="n">
        <v>6</v>
      </c>
      <c r="C305" s="6" t="n">
        <v>43365276</v>
      </c>
      <c r="D305" s="6" t="s">
        <v>1785</v>
      </c>
      <c r="E305" s="6" t="s">
        <v>6</v>
      </c>
      <c r="F305" s="6" t="s">
        <v>1786</v>
      </c>
      <c r="G305" s="6" t="s">
        <v>123</v>
      </c>
      <c r="H305" s="6" t="s">
        <v>1799</v>
      </c>
      <c r="I305" s="6"/>
      <c r="J305" s="6" t="s">
        <v>123</v>
      </c>
      <c r="K305" s="6" t="s">
        <v>141</v>
      </c>
      <c r="L305" s="6" t="s">
        <v>1800</v>
      </c>
      <c r="M305" s="6" t="n">
        <v>2106</v>
      </c>
      <c r="N305" s="7" t="n">
        <v>0.101</v>
      </c>
      <c r="O305" s="6" t="s">
        <v>122</v>
      </c>
      <c r="P305" s="6" t="s">
        <v>123</v>
      </c>
      <c r="Q305" s="6" t="s">
        <v>123</v>
      </c>
      <c r="R305" s="6" t="s">
        <v>123</v>
      </c>
      <c r="S305" s="6" t="s">
        <v>123</v>
      </c>
      <c r="T305" s="6" t="s">
        <v>123</v>
      </c>
      <c r="U305" s="6" t="s">
        <v>123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40</v>
      </c>
      <c r="AA305" s="6" t="n">
        <v>-1</v>
      </c>
      <c r="AB305" s="6" t="n">
        <v>16</v>
      </c>
      <c r="AC305" s="6" t="n">
        <v>0</v>
      </c>
      <c r="AD305" s="6" t="n">
        <v>8.397</v>
      </c>
      <c r="AE305" s="6" t="s">
        <v>124</v>
      </c>
      <c r="AF305" s="6" t="s">
        <v>123</v>
      </c>
      <c r="AG305" s="6" t="s">
        <v>123</v>
      </c>
      <c r="AH305" s="6" t="s">
        <v>123</v>
      </c>
      <c r="AI305" s="6" t="s">
        <v>123</v>
      </c>
      <c r="AJ305" s="8"/>
      <c r="AK305" s="8"/>
      <c r="AL305" s="8"/>
      <c r="AM305" s="8"/>
      <c r="AN305" s="8"/>
      <c r="AO305" s="8"/>
      <c r="AP305" s="9" t="s">
        <v>1801</v>
      </c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76.5" hidden="true" customHeight="true" outlineLevel="0" collapsed="false">
      <c r="A306" s="6" t="s">
        <v>1</v>
      </c>
      <c r="B306" s="6" t="s">
        <v>145</v>
      </c>
      <c r="C306" s="6" t="n">
        <v>15823107</v>
      </c>
      <c r="D306" s="6" t="s">
        <v>1802</v>
      </c>
      <c r="E306" s="6" t="s">
        <v>6</v>
      </c>
      <c r="F306" s="6" t="s">
        <v>1803</v>
      </c>
      <c r="G306" s="6" t="s">
        <v>1697</v>
      </c>
      <c r="H306" s="6" t="s">
        <v>1804</v>
      </c>
      <c r="I306" s="6" t="s">
        <v>1805</v>
      </c>
      <c r="J306" s="6" t="s">
        <v>1806</v>
      </c>
      <c r="K306" s="6" t="s">
        <v>326</v>
      </c>
      <c r="L306" s="6" t="s">
        <v>1807</v>
      </c>
      <c r="M306" s="6" t="n">
        <v>2563</v>
      </c>
      <c r="N306" s="7" t="n">
        <v>0.152</v>
      </c>
      <c r="O306" s="6" t="s">
        <v>122</v>
      </c>
      <c r="P306" s="6" t="s">
        <v>123</v>
      </c>
      <c r="Q306" s="6" t="s">
        <v>123</v>
      </c>
      <c r="R306" s="6" t="s">
        <v>123</v>
      </c>
      <c r="S306" s="10" t="str">
        <f aca="false">HYPERLINK("https://www.ncbi.nlm.nih.gov/snp/rs752736259", "rs752736259")</f>
        <v>rs752736259</v>
      </c>
      <c r="T306" s="10" t="n">
        <f aca="false">HYPERLINK("https://gnomad.broadinstitute.org/variant/X-15823107-CAGCCGG-C?dataset=gnomad_r4", 0.000635455)</f>
        <v>0.000635455</v>
      </c>
      <c r="U306" s="10" t="n">
        <f aca="false">HYPERLINK("https://gnomad.broadinstitute.org/variant/X-15823107-CAGCCGG-C?dataset=gnomad_r4", 0.00070659)</f>
        <v>0.00070659</v>
      </c>
      <c r="V306" s="6" t="s">
        <v>123</v>
      </c>
      <c r="W306" s="6" t="s">
        <v>123</v>
      </c>
      <c r="X306" s="6" t="s">
        <v>123</v>
      </c>
      <c r="Y306" s="6" t="s">
        <v>123</v>
      </c>
      <c r="Z306" s="6" t="s">
        <v>123</v>
      </c>
      <c r="AA306" s="6" t="s">
        <v>123</v>
      </c>
      <c r="AB306" s="6" t="s">
        <v>123</v>
      </c>
      <c r="AC306" s="6" t="s">
        <v>123</v>
      </c>
      <c r="AD306" s="6" t="n">
        <v>15.87</v>
      </c>
      <c r="AE306" s="6" t="s">
        <v>1407</v>
      </c>
      <c r="AF306" s="6" t="s">
        <v>123</v>
      </c>
      <c r="AG306" s="6" t="s">
        <v>123</v>
      </c>
      <c r="AH306" s="6" t="s">
        <v>123</v>
      </c>
      <c r="AI306" s="6" t="s">
        <v>123</v>
      </c>
      <c r="AJ306" s="8"/>
      <c r="AK306" s="8"/>
      <c r="AL306" s="8"/>
      <c r="AM306" s="8"/>
      <c r="AN306" s="8"/>
      <c r="AO306" s="8"/>
      <c r="AP306" s="9" t="s">
        <v>1808</v>
      </c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</row>
  </sheetData>
  <sheetProtection sheet="true" password="c8bf" formatCells="false" formatColumns="false" formatRows="false" autoFilter="false"/>
  <autoFilter ref="A1:AP306">
    <filterColumn colId="4">
      <filters>
        <filter val="B-/T-ALL&amp;BNHL&amp;CLL/MCL"/>
        <filter val="B-/T-ALL&amp;BNHL&amp;CLL/MCL&amp;Histiocytosis&amp;Myeloid&amp;PCD&amp;TNHL"/>
        <filter val="B-/T-ALL&amp;BNHL&amp;CLL/MCL&amp;Myeloid&amp;PCD&amp;TNHL"/>
        <filter val="B-/T-ALL&amp;BNHL&amp;CLL/MCL&amp;Myeloid&amp;TNHL"/>
        <filter val="BNHL&amp;CLL/MCL"/>
        <filter val="BNHL&amp;CLL/MCL&amp;Histiocytosis&amp;Myeloid&amp;PCD&amp;TNHL"/>
        <filter val="BNHL&amp;CLL/MCL&amp;Myeloid"/>
      </filters>
    </filterColumn>
    <filterColumn colId="10">
      <filters>
        <filter val="frameshift_variant"/>
        <filter val="intron_variant&amp;splice_region_variant"/>
        <filter val="stop_gained"/>
      </filters>
    </filterColumn>
    <filterColumn colId="16">
      <filters>
        <filter val="."/>
        <filter val="Uncertain_significance"/>
      </filters>
    </filterColumn>
    <filterColumn colId="14">
      <filters>
        <filter val="PASS"/>
      </filters>
    </filterColumn>
  </autoFilter>
  <dataValidations count="5">
    <dataValidation allowBlank="true" errorStyle="stop" operator="between" prompt="Choose Somatic or Unknown" promptTitle="Variant allele origin?" showDropDown="false" showErrorMessage="true" showInputMessage="true" sqref="AJ2:AJ306" type="list">
      <formula1>"Somatic,Unknown"</formula1>
      <formula2>0</formula2>
    </dataValidation>
    <dataValidation allowBlank="true" errorStyle="stop" operator="between" prompt="Choose YES or NO" promptTitle="Variant interpreted or not?" showDropDown="false" showErrorMessage="true" showInputMessage="true" sqref="AK2:AK306" type="list">
      <formula1>"YES,NO"</formula1>
      <formula2>0</formula2>
    </dataValidation>
    <dataValidation allowBlank="true" errorStyle="stop" operator="between" prompt="Choose YES or NO" promptTitle="Variant reported or not?" showDropDown="false" showErrorMessage="true" showInputMessage="true" sqref="AL2:AL306" type="list">
      <formula1>"YES,NO"</formula1>
      <formula2>0</formula2>
    </dataValidation>
    <dataValidation allowBlank="true" errorStyle="stop" operator="between" prompt="Choose variant classification" promptTitle="Variant classification?" showDropDown="false" showErrorMessage="true" showInputMessage="true" sqref="AN2:AN306" type="list">
      <formula1>"Oncogenic,Likely_oncogenic,Uncertain_significance,Likely_benign,Benign"</formula1>
      <formula2>0</formula2>
    </dataValidation>
    <dataValidation allowBlank="true" errorStyle="stop" operator="between" prompt="Choose YES or NO" promptTitle="Variant is an MNV?" showDropDown="false" showErrorMessage="true" showInputMessage="true" sqref="AO2:AO30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4.9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5"/>
    <col collapsed="false" customWidth="true" hidden="false" outlineLevel="0" max="33" min="33" style="0" width="29.9"/>
    <col collapsed="false" customWidth="true" hidden="false" outlineLevel="0" max="34" min="34" style="0" width="20.7"/>
    <col collapsed="false" customWidth="true" hidden="false" outlineLevel="0" max="35" min="35" style="0" width="24.15"/>
    <col collapsed="false" customWidth="true" hidden="false" outlineLevel="0" max="36" min="36" style="0" width="14.94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 t="s">
        <v>50</v>
      </c>
      <c r="X1" s="5" t="s">
        <v>51</v>
      </c>
      <c r="Y1" s="5" t="s">
        <v>52</v>
      </c>
      <c r="Z1" s="5" t="s">
        <v>53</v>
      </c>
      <c r="AA1" s="5" t="s">
        <v>54</v>
      </c>
      <c r="AB1" s="5" t="s">
        <v>55</v>
      </c>
      <c r="AC1" s="5" t="s">
        <v>56</v>
      </c>
      <c r="AD1" s="5" t="s">
        <v>57</v>
      </c>
      <c r="AE1" s="5" t="s">
        <v>58</v>
      </c>
      <c r="AF1" s="5" t="s">
        <v>59</v>
      </c>
      <c r="AG1" s="5" t="s">
        <v>60</v>
      </c>
      <c r="AH1" s="5" t="s">
        <v>61</v>
      </c>
      <c r="AI1" s="5" t="s">
        <v>62</v>
      </c>
      <c r="AJ1" s="5" t="s">
        <v>63</v>
      </c>
      <c r="AK1" s="5" t="s">
        <v>64</v>
      </c>
      <c r="AL1" s="5" t="s">
        <v>65</v>
      </c>
      <c r="AM1" s="5" t="s">
        <v>66</v>
      </c>
      <c r="AN1" s="5" t="s">
        <v>67</v>
      </c>
      <c r="AO1" s="5" t="s">
        <v>68</v>
      </c>
      <c r="AP1" s="5" t="s">
        <v>69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76.5" hidden="false" customHeight="true" outlineLevel="0" collapsed="false">
      <c r="A2" s="6" t="s">
        <v>1</v>
      </c>
      <c r="B2" s="6" t="n">
        <v>10</v>
      </c>
      <c r="C2" s="6" t="n">
        <v>27035066</v>
      </c>
      <c r="D2" s="6" t="s">
        <v>114</v>
      </c>
      <c r="E2" s="6" t="s">
        <v>6</v>
      </c>
      <c r="F2" s="6" t="s">
        <v>115</v>
      </c>
      <c r="G2" s="6" t="s">
        <v>1809</v>
      </c>
      <c r="H2" s="6" t="s">
        <v>1810</v>
      </c>
      <c r="I2" s="6" t="s">
        <v>1811</v>
      </c>
      <c r="J2" s="6" t="s">
        <v>1812</v>
      </c>
      <c r="K2" s="6" t="s">
        <v>1813</v>
      </c>
      <c r="L2" s="6" t="s">
        <v>1814</v>
      </c>
      <c r="M2" s="6" t="n">
        <v>3602</v>
      </c>
      <c r="N2" s="7" t="n">
        <v>0.294</v>
      </c>
      <c r="O2" s="6"/>
      <c r="P2" s="10" t="n">
        <f aca="false">HYPERLINK("https://www.ncbi.nlm.nih.gov/clinvar/variation/260465", 260465)</f>
        <v>260465</v>
      </c>
      <c r="Q2" s="6" t="s">
        <v>283</v>
      </c>
      <c r="R2" s="6" t="s">
        <v>1815</v>
      </c>
      <c r="S2" s="10" t="str">
        <f aca="false">HYPERLINK("https://www.ncbi.nlm.nih.gov/snp/rs41299210", "rs41299210")</f>
        <v>rs41299210</v>
      </c>
      <c r="T2" s="10" t="n">
        <f aca="false">HYPERLINK("https://gnomad.broadinstitute.org/variant/10-27035066-C-T?dataset=gnomad_r4", 0.0146506)</f>
        <v>0.0146506</v>
      </c>
      <c r="U2" s="10" t="n">
        <f aca="false">HYPERLINK("https://gnomad.broadinstitute.org/variant/10-27035066-C-T?dataset=gnomad_r4", 0.0233264)</f>
        <v>0.0233264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-4</v>
      </c>
      <c r="AA2" s="6" t="n">
        <v>-1</v>
      </c>
      <c r="AB2" s="6" t="n">
        <v>-37</v>
      </c>
      <c r="AC2" s="6" t="n">
        <v>-1</v>
      </c>
      <c r="AD2" s="6" t="n">
        <v>7.031</v>
      </c>
      <c r="AE2" s="6" t="s">
        <v>1816</v>
      </c>
      <c r="AF2" s="6" t="s">
        <v>123</v>
      </c>
      <c r="AG2" s="6" t="s">
        <v>123</v>
      </c>
      <c r="AH2" s="6" t="s">
        <v>123</v>
      </c>
      <c r="AI2" s="6" t="s">
        <v>123</v>
      </c>
      <c r="AJ2" s="8"/>
      <c r="AK2" s="8"/>
      <c r="AL2" s="8"/>
      <c r="AM2" s="8"/>
      <c r="AN2" s="8"/>
      <c r="AO2" s="8"/>
      <c r="AP2" s="9" t="s">
        <v>1817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76.5" hidden="false" customHeight="true" outlineLevel="0" collapsed="false">
      <c r="A3" s="6" t="s">
        <v>1</v>
      </c>
      <c r="B3" s="6" t="n">
        <v>10</v>
      </c>
      <c r="C3" s="6" t="n">
        <v>27044192</v>
      </c>
      <c r="D3" s="6" t="s">
        <v>114</v>
      </c>
      <c r="E3" s="6" t="s">
        <v>6</v>
      </c>
      <c r="F3" s="6" t="s">
        <v>115</v>
      </c>
      <c r="G3" s="6" t="s">
        <v>123</v>
      </c>
      <c r="H3" s="6" t="s">
        <v>1818</v>
      </c>
      <c r="I3" s="6"/>
      <c r="J3" s="6" t="s">
        <v>123</v>
      </c>
      <c r="K3" s="6" t="s">
        <v>127</v>
      </c>
      <c r="L3" s="6" t="s">
        <v>1819</v>
      </c>
      <c r="M3" s="6" t="n">
        <v>2217</v>
      </c>
      <c r="N3" s="7" t="n">
        <v>0.0303</v>
      </c>
      <c r="O3" s="6" t="s">
        <v>1820</v>
      </c>
      <c r="P3" s="10" t="n">
        <f aca="false">HYPERLINK("https://www.ncbi.nlm.nih.gov/clinvar/variation/299742", 299742)</f>
        <v>299742</v>
      </c>
      <c r="Q3" s="6" t="s">
        <v>283</v>
      </c>
      <c r="R3" s="6" t="s">
        <v>1821</v>
      </c>
      <c r="S3" s="10" t="str">
        <f aca="false">HYPERLINK("https://www.ncbi.nlm.nih.gov/snp/rs113123391", "rs113123391")</f>
        <v>rs113123391</v>
      </c>
      <c r="T3" s="10" t="n">
        <f aca="false">HYPERLINK("https://gnomad.broadinstitute.org/variant/10-27044192-TA-T?dataset=gnomad_r4", 0.126418)</f>
        <v>0.126418</v>
      </c>
      <c r="U3" s="6" t="s">
        <v>123</v>
      </c>
      <c r="V3" s="6" t="n">
        <v>0</v>
      </c>
      <c r="W3" s="6" t="n">
        <v>0.14</v>
      </c>
      <c r="X3" s="6" t="n">
        <v>0</v>
      </c>
      <c r="Y3" s="6" t="n">
        <v>0</v>
      </c>
      <c r="Z3" s="6" t="n">
        <v>-35</v>
      </c>
      <c r="AA3" s="6" t="n">
        <v>-2</v>
      </c>
      <c r="AB3" s="6" t="n">
        <v>-2</v>
      </c>
      <c r="AC3" s="6" t="n">
        <v>-35</v>
      </c>
      <c r="AD3" s="6" t="n">
        <v>5.753</v>
      </c>
      <c r="AE3" s="6" t="s">
        <v>1822</v>
      </c>
      <c r="AF3" s="6" t="s">
        <v>123</v>
      </c>
      <c r="AG3" s="6" t="s">
        <v>123</v>
      </c>
      <c r="AH3" s="6" t="s">
        <v>123</v>
      </c>
      <c r="AI3" s="6" t="s">
        <v>123</v>
      </c>
      <c r="AJ3" s="8"/>
      <c r="AK3" s="8"/>
      <c r="AL3" s="8"/>
      <c r="AM3" s="8"/>
      <c r="AN3" s="8"/>
      <c r="AO3" s="8"/>
      <c r="AP3" s="9" t="s">
        <v>1823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76.5" hidden="false" customHeight="true" outlineLevel="0" collapsed="false">
      <c r="A4" s="6" t="s">
        <v>1</v>
      </c>
      <c r="B4" s="6" t="n">
        <v>10</v>
      </c>
      <c r="C4" s="6" t="n">
        <v>27035672</v>
      </c>
      <c r="D4" s="6" t="s">
        <v>114</v>
      </c>
      <c r="E4" s="6" t="s">
        <v>6</v>
      </c>
      <c r="F4" s="6" t="s">
        <v>115</v>
      </c>
      <c r="G4" s="6" t="s">
        <v>1809</v>
      </c>
      <c r="H4" s="6" t="s">
        <v>1824</v>
      </c>
      <c r="I4" s="6" t="s">
        <v>1825</v>
      </c>
      <c r="J4" s="6" t="s">
        <v>1826</v>
      </c>
      <c r="K4" s="6" t="s">
        <v>1813</v>
      </c>
      <c r="L4" s="6" t="s">
        <v>1827</v>
      </c>
      <c r="M4" s="6" t="n">
        <v>3212</v>
      </c>
      <c r="N4" s="7" t="n">
        <v>0.127</v>
      </c>
      <c r="O4" s="6"/>
      <c r="P4" s="10" t="n">
        <f aca="false">HYPERLINK("https://www.ncbi.nlm.nih.gov/clinvar/variation/3031029", 3031029)</f>
        <v>3031029</v>
      </c>
      <c r="Q4" s="6" t="s">
        <v>215</v>
      </c>
      <c r="R4" s="6" t="s">
        <v>1828</v>
      </c>
      <c r="S4" s="10" t="str">
        <f aca="false">HYPERLINK("https://www.ncbi.nlm.nih.gov/snp/rs909249689", "rs909249689")</f>
        <v>rs909249689</v>
      </c>
      <c r="T4" s="10" t="n">
        <f aca="false">HYPERLINK("https://gnomad.broadinstitute.org/variant/10-27035672-T-C?dataset=gnomad_r4", 0.0000394389)</f>
        <v>3.94389E-005</v>
      </c>
      <c r="U4" s="10" t="n">
        <f aca="false">HYPERLINK("https://gnomad.broadinstitute.org/variant/10-27035672-T-C?dataset=gnomad_r4", 0.000015204)</f>
        <v>1.5204E-005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33</v>
      </c>
      <c r="AA4" s="6" t="n">
        <v>-31</v>
      </c>
      <c r="AB4" s="6" t="n">
        <v>33</v>
      </c>
      <c r="AC4" s="6" t="n">
        <v>4</v>
      </c>
      <c r="AD4" s="6" t="n">
        <v>7.291</v>
      </c>
      <c r="AE4" s="6" t="s">
        <v>611</v>
      </c>
      <c r="AF4" s="6" t="s">
        <v>123</v>
      </c>
      <c r="AG4" s="6" t="s">
        <v>123</v>
      </c>
      <c r="AH4" s="6" t="s">
        <v>123</v>
      </c>
      <c r="AI4" s="6" t="s">
        <v>123</v>
      </c>
      <c r="AJ4" s="8"/>
      <c r="AK4" s="8"/>
      <c r="AL4" s="8"/>
      <c r="AM4" s="8"/>
      <c r="AN4" s="8"/>
      <c r="AO4" s="8"/>
      <c r="AP4" s="9" t="s">
        <v>1829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76.5" hidden="false" customHeight="true" outlineLevel="0" collapsed="false">
      <c r="A5" s="6" t="s">
        <v>1</v>
      </c>
      <c r="B5" s="6" t="s">
        <v>145</v>
      </c>
      <c r="C5" s="6" t="n">
        <v>47564881</v>
      </c>
      <c r="D5" s="6" t="s">
        <v>146</v>
      </c>
      <c r="E5" s="6" t="s">
        <v>147</v>
      </c>
      <c r="F5" s="6" t="s">
        <v>148</v>
      </c>
      <c r="G5" s="6" t="s">
        <v>1830</v>
      </c>
      <c r="H5" s="6" t="s">
        <v>1831</v>
      </c>
      <c r="I5" s="6" t="s">
        <v>1832</v>
      </c>
      <c r="J5" s="6" t="s">
        <v>1833</v>
      </c>
      <c r="K5" s="6" t="s">
        <v>1813</v>
      </c>
      <c r="L5" s="6" t="s">
        <v>1834</v>
      </c>
      <c r="M5" s="6" t="n">
        <v>2457</v>
      </c>
      <c r="N5" s="7" t="n">
        <v>0.111</v>
      </c>
      <c r="O5" s="6"/>
      <c r="P5" s="6" t="s">
        <v>123</v>
      </c>
      <c r="Q5" s="6" t="s">
        <v>123</v>
      </c>
      <c r="R5" s="6" t="s">
        <v>123</v>
      </c>
      <c r="S5" s="10" t="str">
        <f aca="false">HYPERLINK("https://www.ncbi.nlm.nih.gov/snp/rs748685491", "rs748685491")</f>
        <v>rs748685491</v>
      </c>
      <c r="T5" s="6" t="s">
        <v>123</v>
      </c>
      <c r="U5" s="10" t="n">
        <f aca="false">HYPERLINK("https://gnomad.broadinstitute.org/variant/X-47564881-G-A?dataset=gnomad_r4", 0.00000273322)</f>
        <v>2.73322E-006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29</v>
      </c>
      <c r="AA5" s="6" t="n">
        <v>1</v>
      </c>
      <c r="AB5" s="6" t="n">
        <v>-18</v>
      </c>
      <c r="AC5" s="6" t="n">
        <v>18</v>
      </c>
      <c r="AD5" s="6" t="n">
        <v>3.237</v>
      </c>
      <c r="AE5" s="6" t="s">
        <v>124</v>
      </c>
      <c r="AF5" s="6" t="s">
        <v>123</v>
      </c>
      <c r="AG5" s="6" t="s">
        <v>123</v>
      </c>
      <c r="AH5" s="6" t="s">
        <v>123</v>
      </c>
      <c r="AI5" s="6" t="s">
        <v>123</v>
      </c>
      <c r="AJ5" s="8"/>
      <c r="AK5" s="8"/>
      <c r="AL5" s="8"/>
      <c r="AM5" s="8"/>
      <c r="AN5" s="8"/>
      <c r="AO5" s="8"/>
      <c r="AP5" s="9" t="s">
        <v>1835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76.5" hidden="false" customHeight="true" outlineLevel="0" collapsed="false">
      <c r="A6" s="6" t="s">
        <v>1</v>
      </c>
      <c r="B6" s="6" t="n">
        <v>1</v>
      </c>
      <c r="C6" s="6" t="n">
        <v>26774790</v>
      </c>
      <c r="D6" s="6" t="s">
        <v>157</v>
      </c>
      <c r="E6" s="6" t="s">
        <v>158</v>
      </c>
      <c r="F6" s="6" t="s">
        <v>159</v>
      </c>
      <c r="G6" s="6" t="s">
        <v>183</v>
      </c>
      <c r="H6" s="6" t="s">
        <v>1836</v>
      </c>
      <c r="I6" s="6" t="s">
        <v>1837</v>
      </c>
      <c r="J6" s="6" t="s">
        <v>1838</v>
      </c>
      <c r="K6" s="6" t="s">
        <v>1813</v>
      </c>
      <c r="L6" s="6" t="s">
        <v>1839</v>
      </c>
      <c r="M6" s="6" t="n">
        <v>3809</v>
      </c>
      <c r="N6" s="7" t="n">
        <v>0.0668</v>
      </c>
      <c r="O6" s="6"/>
      <c r="P6" s="10" t="n">
        <f aca="false">HYPERLINK("https://www.ncbi.nlm.nih.gov/clinvar/variation/1225856", 1225856)</f>
        <v>1225856</v>
      </c>
      <c r="Q6" s="6" t="s">
        <v>283</v>
      </c>
      <c r="R6" s="6" t="s">
        <v>181</v>
      </c>
      <c r="S6" s="10" t="str">
        <f aca="false">HYPERLINK("https://www.ncbi.nlm.nih.gov/snp/rs149095176", "rs149095176")</f>
        <v>rs149095176</v>
      </c>
      <c r="T6" s="10" t="n">
        <f aca="false">HYPERLINK("https://gnomad.broadinstitute.org/variant/1-26774790-C-T?dataset=gnomad_r4", 0.000551463)</f>
        <v>0.000551463</v>
      </c>
      <c r="U6" s="10" t="n">
        <f aca="false">HYPERLINK("https://gnomad.broadinstitute.org/variant/1-26774790-C-T?dataset=gnomad_r4", 0.0000560927)</f>
        <v>5.60927E-005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44</v>
      </c>
      <c r="AA6" s="6" t="n">
        <v>-30</v>
      </c>
      <c r="AB6" s="6" t="n">
        <v>-5</v>
      </c>
      <c r="AC6" s="6" t="n">
        <v>-30</v>
      </c>
      <c r="AD6" s="6" t="n">
        <v>1.923</v>
      </c>
      <c r="AE6" s="6" t="s">
        <v>124</v>
      </c>
      <c r="AF6" s="6" t="s">
        <v>123</v>
      </c>
      <c r="AG6" s="6" t="s">
        <v>123</v>
      </c>
      <c r="AH6" s="6" t="s">
        <v>123</v>
      </c>
      <c r="AI6" s="6" t="s">
        <v>123</v>
      </c>
      <c r="AJ6" s="8"/>
      <c r="AK6" s="8"/>
      <c r="AL6" s="8"/>
      <c r="AM6" s="8"/>
      <c r="AN6" s="8"/>
      <c r="AO6" s="8"/>
      <c r="AP6" s="9" t="s">
        <v>1840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76.5" hidden="false" customHeight="true" outlineLevel="0" collapsed="false">
      <c r="A7" s="6" t="s">
        <v>1</v>
      </c>
      <c r="B7" s="6" t="n">
        <v>1</v>
      </c>
      <c r="C7" s="6" t="n">
        <v>26696448</v>
      </c>
      <c r="D7" s="6" t="s">
        <v>157</v>
      </c>
      <c r="E7" s="6" t="s">
        <v>158</v>
      </c>
      <c r="F7" s="6" t="s">
        <v>159</v>
      </c>
      <c r="G7" s="6" t="s">
        <v>160</v>
      </c>
      <c r="H7" s="6" t="s">
        <v>1841</v>
      </c>
      <c r="I7" s="6" t="s">
        <v>1842</v>
      </c>
      <c r="J7" s="6" t="s">
        <v>1843</v>
      </c>
      <c r="K7" s="6" t="s">
        <v>326</v>
      </c>
      <c r="L7" s="6" t="s">
        <v>1844</v>
      </c>
      <c r="M7" s="6" t="n">
        <v>2703</v>
      </c>
      <c r="N7" s="7" t="n">
        <v>0.0419</v>
      </c>
      <c r="O7" s="6" t="s">
        <v>1845</v>
      </c>
      <c r="P7" s="10" t="n">
        <f aca="false">HYPERLINK("https://www.ncbi.nlm.nih.gov/clinvar/variation/770843", 770843)</f>
        <v>770843</v>
      </c>
      <c r="Q7" s="6" t="s">
        <v>215</v>
      </c>
      <c r="R7" s="6" t="s">
        <v>1846</v>
      </c>
      <c r="S7" s="10" t="str">
        <f aca="false">HYPERLINK("https://www.ncbi.nlm.nih.gov/snp/rs748085214", "rs748085214")</f>
        <v>rs748085214</v>
      </c>
      <c r="T7" s="10" t="n">
        <f aca="false">HYPERLINK("https://gnomad.broadinstitute.org/variant/1-26696448-CCCG-C?dataset=gnomad_r4", 0.0000204073)</f>
        <v>2.04073E-005</v>
      </c>
      <c r="U7" s="10" t="n">
        <f aca="false">HYPERLINK("https://gnomad.broadinstitute.org/variant/1-26696448-CCCG-C?dataset=gnomad_r4", 0.00130881)</f>
        <v>0.00130881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28</v>
      </c>
      <c r="AA7" s="6" t="n">
        <v>-9</v>
      </c>
      <c r="AB7" s="6" t="n">
        <v>-32</v>
      </c>
      <c r="AC7" s="6" t="n">
        <v>-33</v>
      </c>
      <c r="AD7" s="6" t="n">
        <v>15.87</v>
      </c>
      <c r="AE7" s="6" t="s">
        <v>1847</v>
      </c>
      <c r="AF7" s="6" t="s">
        <v>123</v>
      </c>
      <c r="AG7" s="6" t="s">
        <v>123</v>
      </c>
      <c r="AH7" s="6" t="s">
        <v>123</v>
      </c>
      <c r="AI7" s="6" t="s">
        <v>123</v>
      </c>
      <c r="AJ7" s="8"/>
      <c r="AK7" s="8"/>
      <c r="AL7" s="8"/>
      <c r="AM7" s="8"/>
      <c r="AN7" s="8"/>
      <c r="AO7" s="8"/>
      <c r="AP7" s="9" t="s">
        <v>1848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76.5" hidden="false" customHeight="true" outlineLevel="0" collapsed="false">
      <c r="A8" s="6" t="s">
        <v>1</v>
      </c>
      <c r="B8" s="6" t="n">
        <v>1</v>
      </c>
      <c r="C8" s="6" t="n">
        <v>26729794</v>
      </c>
      <c r="D8" s="6" t="s">
        <v>157</v>
      </c>
      <c r="E8" s="6" t="s">
        <v>158</v>
      </c>
      <c r="F8" s="6" t="s">
        <v>159</v>
      </c>
      <c r="G8" s="6" t="s">
        <v>1849</v>
      </c>
      <c r="H8" s="6" t="s">
        <v>1850</v>
      </c>
      <c r="I8" s="6" t="s">
        <v>1851</v>
      </c>
      <c r="J8" s="6" t="s">
        <v>1852</v>
      </c>
      <c r="K8" s="6" t="s">
        <v>1813</v>
      </c>
      <c r="L8" s="6" t="s">
        <v>1853</v>
      </c>
      <c r="M8" s="6" t="n">
        <v>4183</v>
      </c>
      <c r="N8" s="7" t="n">
        <v>0.332</v>
      </c>
      <c r="O8" s="6"/>
      <c r="P8" s="10" t="n">
        <f aca="false">HYPERLINK("https://www.ncbi.nlm.nih.gov/clinvar/variation/1623083", 1623083)</f>
        <v>1623083</v>
      </c>
      <c r="Q8" s="6" t="s">
        <v>215</v>
      </c>
      <c r="R8" s="6" t="s">
        <v>181</v>
      </c>
      <c r="S8" s="10" t="str">
        <f aca="false">HYPERLINK("https://www.ncbi.nlm.nih.gov/snp/rs139562988", "rs139562988")</f>
        <v>rs139562988</v>
      </c>
      <c r="T8" s="10" t="n">
        <f aca="false">HYPERLINK("https://gnomad.broadinstitute.org/variant/1-26729794-G-A?dataset=gnomad_r4", 0.0000262536)</f>
        <v>2.62536E-005</v>
      </c>
      <c r="U8" s="10" t="n">
        <f aca="false">HYPERLINK("https://gnomad.broadinstitute.org/variant/1-26729794-G-A?dataset=gnomad_r4", 0.0000451469)</f>
        <v>4.51469E-005</v>
      </c>
      <c r="V8" s="6" t="n">
        <v>0</v>
      </c>
      <c r="W8" s="6" t="n">
        <v>0</v>
      </c>
      <c r="X8" s="6" t="n">
        <v>0.03</v>
      </c>
      <c r="Y8" s="6" t="n">
        <v>0</v>
      </c>
      <c r="Z8" s="6" t="n">
        <v>25</v>
      </c>
      <c r="AA8" s="6" t="n">
        <v>-44</v>
      </c>
      <c r="AB8" s="6" t="n">
        <v>-34</v>
      </c>
      <c r="AC8" s="6" t="n">
        <v>37</v>
      </c>
      <c r="AD8" s="6" t="n">
        <v>3.858</v>
      </c>
      <c r="AE8" s="6" t="s">
        <v>124</v>
      </c>
      <c r="AF8" s="6" t="s">
        <v>123</v>
      </c>
      <c r="AG8" s="6" t="s">
        <v>123</v>
      </c>
      <c r="AH8" s="6" t="s">
        <v>123</v>
      </c>
      <c r="AI8" s="6" t="s">
        <v>123</v>
      </c>
      <c r="AJ8" s="8"/>
      <c r="AK8" s="8"/>
      <c r="AL8" s="8"/>
      <c r="AM8" s="8"/>
      <c r="AN8" s="8"/>
      <c r="AO8" s="8"/>
      <c r="AP8" s="9" t="s">
        <v>1854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customFormat="false" ht="76.5" hidden="false" customHeight="true" outlineLevel="0" collapsed="false">
      <c r="A9" s="6" t="s">
        <v>1</v>
      </c>
      <c r="B9" s="6" t="n">
        <v>1</v>
      </c>
      <c r="C9" s="6" t="n">
        <v>26773690</v>
      </c>
      <c r="D9" s="6" t="s">
        <v>157</v>
      </c>
      <c r="E9" s="6" t="s">
        <v>158</v>
      </c>
      <c r="F9" s="6" t="s">
        <v>159</v>
      </c>
      <c r="G9" s="6" t="s">
        <v>174</v>
      </c>
      <c r="H9" s="6" t="s">
        <v>1855</v>
      </c>
      <c r="I9" s="6" t="s">
        <v>1856</v>
      </c>
      <c r="J9" s="6" t="s">
        <v>1857</v>
      </c>
      <c r="K9" s="6" t="s">
        <v>326</v>
      </c>
      <c r="L9" s="6" t="s">
        <v>1858</v>
      </c>
      <c r="M9" s="6" t="n">
        <v>5067</v>
      </c>
      <c r="N9" s="7" t="n">
        <v>0.033</v>
      </c>
      <c r="O9" s="6" t="s">
        <v>1859</v>
      </c>
      <c r="P9" s="10" t="n">
        <f aca="false">HYPERLINK("https://www.ncbi.nlm.nih.gov/clinvar/variation/788714", 788714)</f>
        <v>788714</v>
      </c>
      <c r="Q9" s="6" t="s">
        <v>418</v>
      </c>
      <c r="R9" s="6" t="s">
        <v>181</v>
      </c>
      <c r="S9" s="10" t="str">
        <f aca="false">HYPERLINK("https://www.ncbi.nlm.nih.gov/snp/rs374564889", "rs374564889")</f>
        <v>rs374564889</v>
      </c>
      <c r="T9" s="10" t="n">
        <f aca="false">HYPERLINK("https://gnomad.broadinstitute.org/variant/1-26773690-CGCA-C?dataset=gnomad_r4", 0.0000460435)</f>
        <v>4.60435E-005</v>
      </c>
      <c r="U9" s="10" t="n">
        <f aca="false">HYPERLINK("https://gnomad.broadinstitute.org/variant/1-26773690-CGCA-C?dataset=gnomad_r4", 0.0000316954)</f>
        <v>3.16954E-005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-33</v>
      </c>
      <c r="AA9" s="6" t="n">
        <v>5</v>
      </c>
      <c r="AB9" s="6" t="n">
        <v>26</v>
      </c>
      <c r="AC9" s="6" t="n">
        <v>16</v>
      </c>
      <c r="AD9" s="6" t="n">
        <v>13.52</v>
      </c>
      <c r="AE9" s="6" t="s">
        <v>1860</v>
      </c>
      <c r="AF9" s="6" t="s">
        <v>123</v>
      </c>
      <c r="AG9" s="6" t="s">
        <v>123</v>
      </c>
      <c r="AH9" s="6" t="s">
        <v>123</v>
      </c>
      <c r="AI9" s="6" t="s">
        <v>123</v>
      </c>
      <c r="AJ9" s="8"/>
      <c r="AK9" s="8"/>
      <c r="AL9" s="8"/>
      <c r="AM9" s="8"/>
      <c r="AN9" s="8"/>
      <c r="AO9" s="8"/>
      <c r="AP9" s="9" t="s">
        <v>1861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customFormat="false" ht="76.5" hidden="false" customHeight="true" outlineLevel="0" collapsed="false">
      <c r="A10" s="6" t="s">
        <v>1</v>
      </c>
      <c r="B10" s="6" t="n">
        <v>12</v>
      </c>
      <c r="C10" s="6" t="n">
        <v>45836727</v>
      </c>
      <c r="D10" s="6" t="s">
        <v>196</v>
      </c>
      <c r="E10" s="6" t="s">
        <v>6</v>
      </c>
      <c r="F10" s="6" t="s">
        <v>197</v>
      </c>
      <c r="G10" s="6" t="s">
        <v>123</v>
      </c>
      <c r="H10" s="6" t="s">
        <v>1862</v>
      </c>
      <c r="I10" s="6"/>
      <c r="J10" s="6" t="s">
        <v>123</v>
      </c>
      <c r="K10" s="6" t="s">
        <v>141</v>
      </c>
      <c r="L10" s="6" t="s">
        <v>1863</v>
      </c>
      <c r="M10" s="6" t="n">
        <v>3155</v>
      </c>
      <c r="N10" s="7" t="n">
        <v>0.0795</v>
      </c>
      <c r="O10" s="6"/>
      <c r="P10" s="6" t="s">
        <v>123</v>
      </c>
      <c r="Q10" s="6" t="s">
        <v>123</v>
      </c>
      <c r="R10" s="6" t="s">
        <v>123</v>
      </c>
      <c r="S10" s="10" t="str">
        <f aca="false">HYPERLINK("https://www.ncbi.nlm.nih.gov/snp/rs151327096", "rs151327096")</f>
        <v>rs151327096</v>
      </c>
      <c r="T10" s="10" t="n">
        <f aca="false">HYPERLINK("https://gnomad.broadinstitute.org/variant/12-45836727-A-C?dataset=gnomad_r4", 0.00911539)</f>
        <v>0.00911539</v>
      </c>
      <c r="U10" s="10" t="n">
        <f aca="false">HYPERLINK("https://gnomad.broadinstitute.org/variant/12-45836727-A-C?dataset=gnomad_r4", 0.00119201)</f>
        <v>0.00119201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14</v>
      </c>
      <c r="AA10" s="6" t="n">
        <v>-2</v>
      </c>
      <c r="AB10" s="6" t="n">
        <v>16</v>
      </c>
      <c r="AC10" s="6" t="n">
        <v>14</v>
      </c>
      <c r="AD10" s="6" t="n">
        <v>0.142</v>
      </c>
      <c r="AE10" s="6" t="s">
        <v>124</v>
      </c>
      <c r="AF10" s="6" t="s">
        <v>123</v>
      </c>
      <c r="AG10" s="6" t="s">
        <v>123</v>
      </c>
      <c r="AH10" s="6" t="s">
        <v>123</v>
      </c>
      <c r="AI10" s="6" t="s">
        <v>123</v>
      </c>
      <c r="AJ10" s="8"/>
      <c r="AK10" s="8"/>
      <c r="AL10" s="8"/>
      <c r="AM10" s="8"/>
      <c r="AN10" s="8"/>
      <c r="AO10" s="8"/>
      <c r="AP10" s="9" t="s">
        <v>1864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customFormat="false" ht="76.5" hidden="false" customHeight="true" outlineLevel="0" collapsed="false">
      <c r="A11" s="6" t="s">
        <v>1</v>
      </c>
      <c r="B11" s="6" t="n">
        <v>20</v>
      </c>
      <c r="C11" s="6" t="n">
        <v>32436457</v>
      </c>
      <c r="D11" s="6" t="s">
        <v>211</v>
      </c>
      <c r="E11" s="6" t="s">
        <v>6</v>
      </c>
      <c r="F11" s="6" t="s">
        <v>212</v>
      </c>
      <c r="G11" s="6" t="s">
        <v>217</v>
      </c>
      <c r="H11" s="6" t="s">
        <v>1865</v>
      </c>
      <c r="I11" s="6" t="s">
        <v>1866</v>
      </c>
      <c r="J11" s="6" t="s">
        <v>1867</v>
      </c>
      <c r="K11" s="6" t="s">
        <v>120</v>
      </c>
      <c r="L11" s="6" t="s">
        <v>1868</v>
      </c>
      <c r="M11" s="6" t="n">
        <v>3990</v>
      </c>
      <c r="N11" s="7" t="n">
        <v>0.0971</v>
      </c>
      <c r="O11" s="6"/>
      <c r="P11" s="10" t="n">
        <f aca="false">HYPERLINK("https://www.ncbi.nlm.nih.gov/clinvar/variation/133580", 133580)</f>
        <v>133580</v>
      </c>
      <c r="Q11" s="6" t="s">
        <v>418</v>
      </c>
      <c r="R11" s="6" t="s">
        <v>1869</v>
      </c>
      <c r="S11" s="10" t="str">
        <f aca="false">HYPERLINK("https://www.ncbi.nlm.nih.gov/snp/rs146141075", "rs146141075")</f>
        <v>rs146141075</v>
      </c>
      <c r="T11" s="10" t="n">
        <f aca="false">HYPERLINK("https://gnomad.broadinstitute.org/variant/20-32436457-A-G?dataset=gnomad_r4", 0.00198217)</f>
        <v>0.00198217</v>
      </c>
      <c r="U11" s="10" t="n">
        <f aca="false">HYPERLINK("https://gnomad.broadinstitute.org/variant/20-32436457-A-G?dataset=gnomad_r4", 0.00220004)</f>
        <v>0.00220004</v>
      </c>
      <c r="V11" s="6" t="n">
        <v>0.01</v>
      </c>
      <c r="W11" s="6" t="n">
        <v>0</v>
      </c>
      <c r="X11" s="6" t="n">
        <v>0</v>
      </c>
      <c r="Y11" s="6" t="n">
        <v>0</v>
      </c>
      <c r="Z11" s="6" t="n">
        <v>-28</v>
      </c>
      <c r="AA11" s="6" t="n">
        <v>34</v>
      </c>
      <c r="AB11" s="6" t="n">
        <v>12</v>
      </c>
      <c r="AC11" s="6" t="n">
        <v>-10</v>
      </c>
      <c r="AD11" s="6" t="n">
        <v>0.001</v>
      </c>
      <c r="AE11" s="6" t="s">
        <v>1870</v>
      </c>
      <c r="AF11" s="6" t="s">
        <v>123</v>
      </c>
      <c r="AG11" s="6" t="s">
        <v>123</v>
      </c>
      <c r="AH11" s="6" t="s">
        <v>123</v>
      </c>
      <c r="AI11" s="6" t="s">
        <v>123</v>
      </c>
      <c r="AJ11" s="8"/>
      <c r="AK11" s="8"/>
      <c r="AL11" s="8"/>
      <c r="AM11" s="8"/>
      <c r="AN11" s="8"/>
      <c r="AO11" s="8"/>
      <c r="AP11" s="9" t="s">
        <v>1871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76.5" hidden="false" customHeight="true" outlineLevel="0" collapsed="false">
      <c r="A12" s="6" t="s">
        <v>1</v>
      </c>
      <c r="B12" s="6" t="n">
        <v>2</v>
      </c>
      <c r="C12" s="6" t="n">
        <v>25799408</v>
      </c>
      <c r="D12" s="6" t="s">
        <v>1872</v>
      </c>
      <c r="E12" s="6" t="s">
        <v>6</v>
      </c>
      <c r="F12" s="6" t="s">
        <v>1873</v>
      </c>
      <c r="G12" s="6" t="s">
        <v>1874</v>
      </c>
      <c r="H12" s="6" t="s">
        <v>1875</v>
      </c>
      <c r="I12" s="6" t="s">
        <v>1876</v>
      </c>
      <c r="J12" s="6" t="s">
        <v>1877</v>
      </c>
      <c r="K12" s="6" t="s">
        <v>120</v>
      </c>
      <c r="L12" s="6" t="s">
        <v>1878</v>
      </c>
      <c r="M12" s="6" t="n">
        <v>3590</v>
      </c>
      <c r="N12" s="7" t="n">
        <v>0.0791</v>
      </c>
      <c r="O12" s="6" t="s">
        <v>1879</v>
      </c>
      <c r="P12" s="10" t="n">
        <f aca="false">HYPERLINK("https://www.ncbi.nlm.nih.gov/clinvar/variation/1167925", 1167925)</f>
        <v>1167925</v>
      </c>
      <c r="Q12" s="6" t="s">
        <v>418</v>
      </c>
      <c r="R12" s="6" t="s">
        <v>181</v>
      </c>
      <c r="S12" s="10" t="str">
        <f aca="false">HYPERLINK("https://www.ncbi.nlm.nih.gov/snp/rs34816614", "rs34816614")</f>
        <v>rs34816614</v>
      </c>
      <c r="T12" s="10" t="n">
        <f aca="false">HYPERLINK("https://gnomad.broadinstitute.org/variant/2-25799408-T-C?dataset=gnomad_r4", 0.0577231)</f>
        <v>0.0577231</v>
      </c>
      <c r="U12" s="10" t="n">
        <f aca="false">HYPERLINK("https://gnomad.broadinstitute.org/variant/2-25799408-T-C?dataset=gnomad_r4", 0.0534498)</f>
        <v>0.0534498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38</v>
      </c>
      <c r="AA12" s="6" t="n">
        <v>-23</v>
      </c>
      <c r="AB12" s="6" t="n">
        <v>-23</v>
      </c>
      <c r="AC12" s="6" t="n">
        <v>-5</v>
      </c>
      <c r="AD12" s="6" t="n">
        <v>16.71</v>
      </c>
      <c r="AE12" s="6" t="s">
        <v>124</v>
      </c>
      <c r="AF12" s="6" t="s">
        <v>123</v>
      </c>
      <c r="AG12" s="6" t="s">
        <v>123</v>
      </c>
      <c r="AH12" s="6" t="s">
        <v>123</v>
      </c>
      <c r="AI12" s="6" t="s">
        <v>123</v>
      </c>
      <c r="AJ12" s="8"/>
      <c r="AK12" s="8"/>
      <c r="AL12" s="8"/>
      <c r="AM12" s="8"/>
      <c r="AN12" s="8"/>
      <c r="AO12" s="8"/>
      <c r="AP12" s="9" t="s">
        <v>1880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76.5" hidden="false" customHeight="true" outlineLevel="0" collapsed="false">
      <c r="A13" s="6" t="s">
        <v>1</v>
      </c>
      <c r="B13" s="6" t="n">
        <v>11</v>
      </c>
      <c r="C13" s="6" t="n">
        <v>108250683</v>
      </c>
      <c r="D13" s="6" t="s">
        <v>246</v>
      </c>
      <c r="E13" s="6" t="s">
        <v>123</v>
      </c>
      <c r="F13" s="6" t="s">
        <v>247</v>
      </c>
      <c r="G13" s="6" t="s">
        <v>123</v>
      </c>
      <c r="H13" s="6" t="s">
        <v>1881</v>
      </c>
      <c r="I13" s="6"/>
      <c r="J13" s="6" t="s">
        <v>123</v>
      </c>
      <c r="K13" s="6" t="s">
        <v>127</v>
      </c>
      <c r="L13" s="6" t="s">
        <v>1882</v>
      </c>
      <c r="M13" s="6" t="n">
        <v>2130</v>
      </c>
      <c r="N13" s="7" t="n">
        <v>0.216</v>
      </c>
      <c r="O13" s="6" t="s">
        <v>1820</v>
      </c>
      <c r="P13" s="10" t="n">
        <f aca="false">HYPERLINK("https://www.ncbi.nlm.nih.gov/clinvar/variation/1209911", 1209911)</f>
        <v>1209911</v>
      </c>
      <c r="Q13" s="6" t="s">
        <v>283</v>
      </c>
      <c r="R13" s="6" t="s">
        <v>1883</v>
      </c>
      <c r="S13" s="10" t="str">
        <f aca="false">HYPERLINK("https://www.ncbi.nlm.nih.gov/snp/rs34325032", "rs34325032")</f>
        <v>rs34325032</v>
      </c>
      <c r="T13" s="10" t="n">
        <f aca="false">HYPERLINK("https://gnomad.broadinstitute.org/variant/11-108250683-CTT-C?dataset=gnomad_r4", 0.000217951)</f>
        <v>0.000217951</v>
      </c>
      <c r="U13" s="10" t="n">
        <f aca="false">HYPERLINK("https://gnomad.broadinstitute.org/variant/11-108250683-CTT-C?dataset=gnomad_r4", 0.0049805)</f>
        <v>0.0049805</v>
      </c>
      <c r="V13" s="6" t="n">
        <v>0.01</v>
      </c>
      <c r="W13" s="6" t="n">
        <v>0.04</v>
      </c>
      <c r="X13" s="6" t="n">
        <v>0</v>
      </c>
      <c r="Y13" s="6" t="n">
        <v>0</v>
      </c>
      <c r="Z13" s="6" t="n">
        <v>25</v>
      </c>
      <c r="AA13" s="6" t="n">
        <v>18</v>
      </c>
      <c r="AB13" s="6" t="n">
        <v>47</v>
      </c>
      <c r="AC13" s="6" t="n">
        <v>33</v>
      </c>
      <c r="AD13" s="6" t="n">
        <v>0.106</v>
      </c>
      <c r="AE13" s="6" t="s">
        <v>124</v>
      </c>
      <c r="AF13" s="6" t="s">
        <v>123</v>
      </c>
      <c r="AG13" s="6" t="s">
        <v>123</v>
      </c>
      <c r="AH13" s="6" t="s">
        <v>123</v>
      </c>
      <c r="AI13" s="6" t="s">
        <v>123</v>
      </c>
      <c r="AJ13" s="8"/>
      <c r="AK13" s="8"/>
      <c r="AL13" s="8"/>
      <c r="AM13" s="8"/>
      <c r="AN13" s="8"/>
      <c r="AO13" s="8"/>
      <c r="AP13" s="9" t="s">
        <v>1884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76.5" hidden="false" customHeight="true" outlineLevel="0" collapsed="false">
      <c r="A14" s="6" t="s">
        <v>1</v>
      </c>
      <c r="B14" s="6" t="n">
        <v>11</v>
      </c>
      <c r="C14" s="6" t="n">
        <v>108327664</v>
      </c>
      <c r="D14" s="6" t="s">
        <v>246</v>
      </c>
      <c r="E14" s="6" t="s">
        <v>123</v>
      </c>
      <c r="F14" s="6" t="s">
        <v>247</v>
      </c>
      <c r="G14" s="6" t="s">
        <v>1885</v>
      </c>
      <c r="H14" s="6" t="s">
        <v>1886</v>
      </c>
      <c r="I14" s="6" t="s">
        <v>1887</v>
      </c>
      <c r="J14" s="6" t="s">
        <v>1888</v>
      </c>
      <c r="K14" s="6" t="s">
        <v>120</v>
      </c>
      <c r="L14" s="6" t="s">
        <v>1889</v>
      </c>
      <c r="M14" s="6" t="n">
        <v>3002</v>
      </c>
      <c r="N14" s="7" t="n">
        <v>0.0697</v>
      </c>
      <c r="O14" s="6"/>
      <c r="P14" s="10" t="n">
        <f aca="false">HYPERLINK("https://www.ncbi.nlm.nih.gov/clinvar/variation/133631", 133631)</f>
        <v>133631</v>
      </c>
      <c r="Q14" s="6" t="s">
        <v>418</v>
      </c>
      <c r="R14" s="6" t="s">
        <v>1890</v>
      </c>
      <c r="S14" s="10" t="str">
        <f aca="false">HYPERLINK("https://www.ncbi.nlm.nih.gov/snp/rs4988111", "rs4988111")</f>
        <v>rs4988111</v>
      </c>
      <c r="T14" s="10" t="n">
        <f aca="false">HYPERLINK("https://gnomad.broadinstitute.org/variant/11-108327664-T-C?dataset=gnomad_r4", 0.00604166)</f>
        <v>0.00604166</v>
      </c>
      <c r="U14" s="10" t="n">
        <f aca="false">HYPERLINK("https://gnomad.broadinstitute.org/variant/11-108327664-T-C?dataset=gnomad_r4", 0.000597962)</f>
        <v>0.000597962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-19</v>
      </c>
      <c r="AA14" s="6" t="n">
        <v>12</v>
      </c>
      <c r="AB14" s="6" t="n">
        <v>22</v>
      </c>
      <c r="AC14" s="6" t="n">
        <v>36</v>
      </c>
      <c r="AD14" s="6" t="n">
        <v>20.8</v>
      </c>
      <c r="AE14" s="6" t="s">
        <v>124</v>
      </c>
      <c r="AF14" s="6" t="s">
        <v>123</v>
      </c>
      <c r="AG14" s="6" t="s">
        <v>123</v>
      </c>
      <c r="AH14" s="6" t="s">
        <v>123</v>
      </c>
      <c r="AI14" s="6" t="s">
        <v>123</v>
      </c>
      <c r="AJ14" s="8"/>
      <c r="AK14" s="8"/>
      <c r="AL14" s="8"/>
      <c r="AM14" s="8"/>
      <c r="AN14" s="8"/>
      <c r="AO14" s="8"/>
      <c r="AP14" s="9" t="s">
        <v>1891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76.5" hidden="false" customHeight="true" outlineLevel="0" collapsed="false">
      <c r="A15" s="6" t="s">
        <v>1</v>
      </c>
      <c r="B15" s="6" t="n">
        <v>11</v>
      </c>
      <c r="C15" s="6" t="n">
        <v>108321432</v>
      </c>
      <c r="D15" s="6" t="s">
        <v>246</v>
      </c>
      <c r="E15" s="6" t="s">
        <v>123</v>
      </c>
      <c r="F15" s="6" t="s">
        <v>247</v>
      </c>
      <c r="G15" s="6" t="s">
        <v>123</v>
      </c>
      <c r="H15" s="6" t="s">
        <v>1892</v>
      </c>
      <c r="I15" s="6"/>
      <c r="J15" s="6" t="s">
        <v>123</v>
      </c>
      <c r="K15" s="6" t="s">
        <v>141</v>
      </c>
      <c r="L15" s="6" t="s">
        <v>1893</v>
      </c>
      <c r="M15" s="6" t="n">
        <v>2993</v>
      </c>
      <c r="N15" s="7" t="n">
        <v>0.0777</v>
      </c>
      <c r="O15" s="6"/>
      <c r="P15" s="10" t="n">
        <f aca="false">HYPERLINK("https://www.ncbi.nlm.nih.gov/clinvar/variation/140762", 140762)</f>
        <v>140762</v>
      </c>
      <c r="Q15" s="6" t="s">
        <v>418</v>
      </c>
      <c r="R15" s="6" t="s">
        <v>1894</v>
      </c>
      <c r="S15" s="10" t="str">
        <f aca="false">HYPERLINK("https://www.ncbi.nlm.nih.gov/snp/rs3218677", "rs3218677")</f>
        <v>rs3218677</v>
      </c>
      <c r="T15" s="10" t="n">
        <f aca="false">HYPERLINK("https://gnomad.broadinstitute.org/variant/11-108321432-G-T?dataset=gnomad_r4", 0.0123132)</f>
        <v>0.0123132</v>
      </c>
      <c r="U15" s="10" t="n">
        <f aca="false">HYPERLINK("https://gnomad.broadinstitute.org/variant/11-108321432-G-T?dataset=gnomad_r4", 0.00128208)</f>
        <v>0.00128208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22</v>
      </c>
      <c r="AA15" s="6" t="n">
        <v>-12</v>
      </c>
      <c r="AB15" s="6" t="n">
        <v>-12</v>
      </c>
      <c r="AC15" s="6" t="n">
        <v>-1</v>
      </c>
      <c r="AD15" s="6" t="n">
        <v>0.053</v>
      </c>
      <c r="AE15" s="6" t="s">
        <v>124</v>
      </c>
      <c r="AF15" s="6" t="s">
        <v>123</v>
      </c>
      <c r="AG15" s="6" t="s">
        <v>123</v>
      </c>
      <c r="AH15" s="6" t="s">
        <v>123</v>
      </c>
      <c r="AI15" s="6" t="s">
        <v>123</v>
      </c>
      <c r="AJ15" s="8"/>
      <c r="AK15" s="8"/>
      <c r="AL15" s="8"/>
      <c r="AM15" s="8"/>
      <c r="AN15" s="8"/>
      <c r="AO15" s="8"/>
      <c r="AP15" s="9" t="s">
        <v>1895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76.5" hidden="false" customHeight="true" outlineLevel="0" collapsed="false">
      <c r="A16" s="6" t="s">
        <v>1</v>
      </c>
      <c r="B16" s="6" t="n">
        <v>11</v>
      </c>
      <c r="C16" s="6" t="n">
        <v>108317539</v>
      </c>
      <c r="D16" s="6" t="s">
        <v>246</v>
      </c>
      <c r="E16" s="6" t="s">
        <v>123</v>
      </c>
      <c r="F16" s="6" t="s">
        <v>247</v>
      </c>
      <c r="G16" s="6" t="s">
        <v>123</v>
      </c>
      <c r="H16" s="6" t="s">
        <v>1896</v>
      </c>
      <c r="I16" s="6"/>
      <c r="J16" s="6" t="s">
        <v>123</v>
      </c>
      <c r="K16" s="6" t="s">
        <v>141</v>
      </c>
      <c r="L16" s="6" t="s">
        <v>1897</v>
      </c>
      <c r="M16" s="6" t="n">
        <v>2020</v>
      </c>
      <c r="N16" s="7" t="n">
        <v>0.244</v>
      </c>
      <c r="O16" s="6" t="s">
        <v>1859</v>
      </c>
      <c r="P16" s="10" t="n">
        <f aca="false">HYPERLINK("https://www.ncbi.nlm.nih.gov/clinvar/variation/522241", 522241)</f>
        <v>522241</v>
      </c>
      <c r="Q16" s="6" t="s">
        <v>283</v>
      </c>
      <c r="R16" s="6" t="s">
        <v>1898</v>
      </c>
      <c r="S16" s="10" t="str">
        <f aca="false">HYPERLINK("https://www.ncbi.nlm.nih.gov/snp/rs58978479", "rs58978479")</f>
        <v>rs58978479</v>
      </c>
      <c r="T16" s="10" t="n">
        <f aca="false">HYPERLINK("https://gnomad.broadinstitute.org/variant/11-108317539-AT-A?dataset=gnomad_r4", 0.122505)</f>
        <v>0.122505</v>
      </c>
      <c r="U16" s="6" t="s">
        <v>123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-26</v>
      </c>
      <c r="AA16" s="6" t="n">
        <v>-40</v>
      </c>
      <c r="AB16" s="6" t="n">
        <v>-18</v>
      </c>
      <c r="AC16" s="6" t="n">
        <v>-14</v>
      </c>
      <c r="AD16" s="6" t="n">
        <v>0.841</v>
      </c>
      <c r="AE16" s="6" t="s">
        <v>124</v>
      </c>
      <c r="AF16" s="6" t="s">
        <v>123</v>
      </c>
      <c r="AG16" s="6" t="s">
        <v>123</v>
      </c>
      <c r="AH16" s="6" t="s">
        <v>123</v>
      </c>
      <c r="AI16" s="6" t="s">
        <v>123</v>
      </c>
      <c r="AJ16" s="8"/>
      <c r="AK16" s="8"/>
      <c r="AL16" s="8"/>
      <c r="AM16" s="8"/>
      <c r="AN16" s="8"/>
      <c r="AO16" s="8"/>
      <c r="AP16" s="9" t="s">
        <v>1899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76.5" hidden="false" customHeight="true" outlineLevel="0" collapsed="false">
      <c r="A17" s="6" t="s">
        <v>1</v>
      </c>
      <c r="B17" s="6" t="n">
        <v>11</v>
      </c>
      <c r="C17" s="6" t="n">
        <v>108315926</v>
      </c>
      <c r="D17" s="6" t="s">
        <v>246</v>
      </c>
      <c r="E17" s="6" t="s">
        <v>123</v>
      </c>
      <c r="F17" s="6" t="s">
        <v>247</v>
      </c>
      <c r="G17" s="6" t="s">
        <v>123</v>
      </c>
      <c r="H17" s="6" t="s">
        <v>1900</v>
      </c>
      <c r="I17" s="6"/>
      <c r="J17" s="6" t="s">
        <v>123</v>
      </c>
      <c r="K17" s="6" t="s">
        <v>141</v>
      </c>
      <c r="L17" s="6" t="s">
        <v>1901</v>
      </c>
      <c r="M17" s="6" t="n">
        <v>3338</v>
      </c>
      <c r="N17" s="7" t="n">
        <v>0.0732</v>
      </c>
      <c r="O17" s="6"/>
      <c r="P17" s="10" t="n">
        <f aca="false">HYPERLINK("https://www.ncbi.nlm.nih.gov/clinvar/variation/140766", 140766)</f>
        <v>140766</v>
      </c>
      <c r="Q17" s="6" t="s">
        <v>418</v>
      </c>
      <c r="R17" s="6" t="s">
        <v>1894</v>
      </c>
      <c r="S17" s="10" t="str">
        <f aca="false">HYPERLINK("https://www.ncbi.nlm.nih.gov/snp/rs3212321", "rs3212321")</f>
        <v>rs3212321</v>
      </c>
      <c r="T17" s="10" t="n">
        <f aca="false">HYPERLINK("https://gnomad.broadinstitute.org/variant/11-108315926-T-C?dataset=gnomad_r4", 0.0128737)</f>
        <v>0.0128737</v>
      </c>
      <c r="U17" s="10" t="n">
        <f aca="false">HYPERLINK("https://gnomad.broadinstitute.org/variant/11-108315926-T-C?dataset=gnomad_r4", 0.00133004)</f>
        <v>0.00133004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-15</v>
      </c>
      <c r="AA17" s="6" t="n">
        <v>17</v>
      </c>
      <c r="AB17" s="6" t="n">
        <v>10</v>
      </c>
      <c r="AC17" s="6" t="n">
        <v>-15</v>
      </c>
      <c r="AD17" s="6" t="n">
        <v>0.691</v>
      </c>
      <c r="AE17" s="6" t="s">
        <v>124</v>
      </c>
      <c r="AF17" s="6" t="s">
        <v>123</v>
      </c>
      <c r="AG17" s="6" t="s">
        <v>123</v>
      </c>
      <c r="AH17" s="6" t="s">
        <v>123</v>
      </c>
      <c r="AI17" s="6" t="s">
        <v>123</v>
      </c>
      <c r="AJ17" s="8"/>
      <c r="AK17" s="8"/>
      <c r="AL17" s="8"/>
      <c r="AM17" s="8"/>
      <c r="AN17" s="8"/>
      <c r="AO17" s="8"/>
      <c r="AP17" s="9" t="s">
        <v>1902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customFormat="false" ht="76.5" hidden="false" customHeight="true" outlineLevel="0" collapsed="false">
      <c r="A18" s="6" t="s">
        <v>1</v>
      </c>
      <c r="B18" s="6" t="n">
        <v>11</v>
      </c>
      <c r="C18" s="6" t="n">
        <v>108280980</v>
      </c>
      <c r="D18" s="6" t="s">
        <v>246</v>
      </c>
      <c r="E18" s="6" t="s">
        <v>123</v>
      </c>
      <c r="F18" s="6" t="s">
        <v>247</v>
      </c>
      <c r="G18" s="6" t="s">
        <v>123</v>
      </c>
      <c r="H18" s="6" t="s">
        <v>1903</v>
      </c>
      <c r="I18" s="6"/>
      <c r="J18" s="6" t="s">
        <v>123</v>
      </c>
      <c r="K18" s="6" t="s">
        <v>141</v>
      </c>
      <c r="L18" s="6" t="s">
        <v>1904</v>
      </c>
      <c r="M18" s="6" t="n">
        <v>2358</v>
      </c>
      <c r="N18" s="7" t="n">
        <v>0.0415</v>
      </c>
      <c r="O18" s="6" t="s">
        <v>1820</v>
      </c>
      <c r="P18" s="10" t="n">
        <f aca="false">HYPERLINK("https://www.ncbi.nlm.nih.gov/clinvar/variation/136441", 136441)</f>
        <v>136441</v>
      </c>
      <c r="Q18" s="6" t="s">
        <v>283</v>
      </c>
      <c r="R18" s="6" t="s">
        <v>1905</v>
      </c>
      <c r="S18" s="10" t="str">
        <f aca="false">HYPERLINK("https://www.ncbi.nlm.nih.gov/snp/rs79701258", "rs79701258")</f>
        <v>rs79701258</v>
      </c>
      <c r="T18" s="10" t="n">
        <f aca="false">HYPERLINK("https://gnomad.broadinstitute.org/variant/11-108280980-T-A?dataset=gnomad_r4", 0.0279446)</f>
        <v>0.0279446</v>
      </c>
      <c r="U18" s="6" t="s">
        <v>123</v>
      </c>
      <c r="V18" s="6" t="n">
        <v>0</v>
      </c>
      <c r="W18" s="6" t="n">
        <v>0.11</v>
      </c>
      <c r="X18" s="6" t="n">
        <v>0</v>
      </c>
      <c r="Y18" s="6" t="n">
        <v>0</v>
      </c>
      <c r="Z18" s="6" t="n">
        <v>2</v>
      </c>
      <c r="AA18" s="6" t="n">
        <v>15</v>
      </c>
      <c r="AB18" s="6" t="n">
        <v>-3</v>
      </c>
      <c r="AC18" s="6" t="n">
        <v>23</v>
      </c>
      <c r="AD18" s="6" t="n">
        <v>8.427</v>
      </c>
      <c r="AE18" s="6" t="s">
        <v>124</v>
      </c>
      <c r="AF18" s="6" t="s">
        <v>123</v>
      </c>
      <c r="AG18" s="6" t="s">
        <v>123</v>
      </c>
      <c r="AH18" s="6" t="s">
        <v>123</v>
      </c>
      <c r="AI18" s="6" t="s">
        <v>123</v>
      </c>
      <c r="AJ18" s="8"/>
      <c r="AK18" s="8"/>
      <c r="AL18" s="8"/>
      <c r="AM18" s="8"/>
      <c r="AN18" s="8"/>
      <c r="AO18" s="8"/>
      <c r="AP18" s="9" t="s">
        <v>1906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76.5" hidden="false" customHeight="true" outlineLevel="0" collapsed="false">
      <c r="A19" s="6" t="s">
        <v>1</v>
      </c>
      <c r="B19" s="6" t="n">
        <v>11</v>
      </c>
      <c r="C19" s="6" t="n">
        <v>108271228</v>
      </c>
      <c r="D19" s="6" t="s">
        <v>246</v>
      </c>
      <c r="E19" s="6" t="s">
        <v>123</v>
      </c>
      <c r="F19" s="6" t="s">
        <v>247</v>
      </c>
      <c r="G19" s="6" t="s">
        <v>123</v>
      </c>
      <c r="H19" s="6" t="s">
        <v>1907</v>
      </c>
      <c r="I19" s="6"/>
      <c r="J19" s="6" t="s">
        <v>123</v>
      </c>
      <c r="K19" s="6" t="s">
        <v>127</v>
      </c>
      <c r="L19" s="6" t="s">
        <v>1908</v>
      </c>
      <c r="M19" s="6" t="n">
        <v>3510</v>
      </c>
      <c r="N19" s="7" t="n">
        <v>0.142</v>
      </c>
      <c r="O19" s="6" t="s">
        <v>1820</v>
      </c>
      <c r="P19" s="10" t="n">
        <f aca="false">HYPERLINK("https://www.ncbi.nlm.nih.gov/clinvar/variation/490504", 490504)</f>
        <v>490504</v>
      </c>
      <c r="Q19" s="6" t="s">
        <v>283</v>
      </c>
      <c r="R19" s="6" t="s">
        <v>1909</v>
      </c>
      <c r="S19" s="10" t="str">
        <f aca="false">HYPERLINK("https://www.ncbi.nlm.nih.gov/snp/rs373881770", "rs373881770")</f>
        <v>rs373881770</v>
      </c>
      <c r="T19" s="10" t="n">
        <f aca="false">HYPERLINK("https://gnomad.broadinstitute.org/variant/11-108271228-CT-C?dataset=gnomad_r4", 0.00558895)</f>
        <v>0.00558895</v>
      </c>
      <c r="U19" s="6" t="s">
        <v>123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-14</v>
      </c>
      <c r="AA19" s="6" t="n">
        <v>-5</v>
      </c>
      <c r="AB19" s="6" t="n">
        <v>-7</v>
      </c>
      <c r="AC19" s="6" t="n">
        <v>45</v>
      </c>
      <c r="AD19" s="6" t="n">
        <v>1.223</v>
      </c>
      <c r="AE19" s="6" t="s">
        <v>124</v>
      </c>
      <c r="AF19" s="6" t="s">
        <v>123</v>
      </c>
      <c r="AG19" s="6" t="s">
        <v>123</v>
      </c>
      <c r="AH19" s="6" t="s">
        <v>123</v>
      </c>
      <c r="AI19" s="6" t="s">
        <v>123</v>
      </c>
      <c r="AJ19" s="8"/>
      <c r="AK19" s="8"/>
      <c r="AL19" s="8"/>
      <c r="AM19" s="8"/>
      <c r="AN19" s="8"/>
      <c r="AO19" s="8"/>
      <c r="AP19" s="9" t="s">
        <v>1910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76.5" hidden="false" customHeight="true" outlineLevel="0" collapsed="false">
      <c r="A20" s="6" t="s">
        <v>1</v>
      </c>
      <c r="B20" s="6" t="n">
        <v>11</v>
      </c>
      <c r="C20" s="6" t="n">
        <v>108279589</v>
      </c>
      <c r="D20" s="6" t="s">
        <v>246</v>
      </c>
      <c r="E20" s="6" t="s">
        <v>123</v>
      </c>
      <c r="F20" s="6" t="s">
        <v>247</v>
      </c>
      <c r="G20" s="6" t="s">
        <v>286</v>
      </c>
      <c r="H20" s="6" t="s">
        <v>1911</v>
      </c>
      <c r="I20" s="6" t="s">
        <v>1912</v>
      </c>
      <c r="J20" s="6" t="s">
        <v>1913</v>
      </c>
      <c r="K20" s="6" t="s">
        <v>120</v>
      </c>
      <c r="L20" s="6" t="s">
        <v>1914</v>
      </c>
      <c r="M20" s="6" t="n">
        <v>3237</v>
      </c>
      <c r="N20" s="7" t="n">
        <v>0.0754</v>
      </c>
      <c r="O20" s="6"/>
      <c r="P20" s="10" t="n">
        <f aca="false">HYPERLINK("https://www.ncbi.nlm.nih.gov/clinvar/variation/133615", 133615)</f>
        <v>133615</v>
      </c>
      <c r="Q20" s="6" t="s">
        <v>283</v>
      </c>
      <c r="R20" s="6" t="s">
        <v>1915</v>
      </c>
      <c r="S20" s="10" t="str">
        <f aca="false">HYPERLINK("https://www.ncbi.nlm.nih.gov/snp/rs2229020", "rs2229020")</f>
        <v>rs2229020</v>
      </c>
      <c r="T20" s="10" t="n">
        <f aca="false">HYPERLINK("https://gnomad.broadinstitute.org/variant/11-108279589-A-G?dataset=gnomad_r4", 0.00594761)</f>
        <v>0.00594761</v>
      </c>
      <c r="U20" s="10" t="n">
        <f aca="false">HYPERLINK("https://gnomad.broadinstitute.org/variant/11-108279589-A-G?dataset=gnomad_r4", 0.000629875)</f>
        <v>0.000629875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-40</v>
      </c>
      <c r="AA20" s="6" t="n">
        <v>19</v>
      </c>
      <c r="AB20" s="6" t="n">
        <v>19</v>
      </c>
      <c r="AC20" s="6" t="n">
        <v>16</v>
      </c>
      <c r="AD20" s="6" t="n">
        <v>15.08</v>
      </c>
      <c r="AE20" s="6" t="s">
        <v>124</v>
      </c>
      <c r="AF20" s="6" t="s">
        <v>123</v>
      </c>
      <c r="AG20" s="6" t="s">
        <v>123</v>
      </c>
      <c r="AH20" s="6" t="s">
        <v>123</v>
      </c>
      <c r="AI20" s="6" t="s">
        <v>123</v>
      </c>
      <c r="AJ20" s="8"/>
      <c r="AK20" s="8"/>
      <c r="AL20" s="8"/>
      <c r="AM20" s="8"/>
      <c r="AN20" s="8"/>
      <c r="AO20" s="8"/>
      <c r="AP20" s="9" t="s">
        <v>1916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76.5" hidden="false" customHeight="true" outlineLevel="0" collapsed="false">
      <c r="A21" s="6" t="s">
        <v>1</v>
      </c>
      <c r="B21" s="6" t="n">
        <v>11</v>
      </c>
      <c r="C21" s="6" t="n">
        <v>108268456</v>
      </c>
      <c r="D21" s="6" t="s">
        <v>246</v>
      </c>
      <c r="E21" s="6" t="s">
        <v>123</v>
      </c>
      <c r="F21" s="6" t="s">
        <v>247</v>
      </c>
      <c r="G21" s="6" t="s">
        <v>1917</v>
      </c>
      <c r="H21" s="6" t="s">
        <v>1918</v>
      </c>
      <c r="I21" s="6" t="s">
        <v>1919</v>
      </c>
      <c r="J21" s="6" t="s">
        <v>1920</v>
      </c>
      <c r="K21" s="6" t="s">
        <v>1813</v>
      </c>
      <c r="L21" s="6" t="s">
        <v>1921</v>
      </c>
      <c r="M21" s="6" t="n">
        <v>3164</v>
      </c>
      <c r="N21" s="7" t="n">
        <v>0.0723</v>
      </c>
      <c r="O21" s="6"/>
      <c r="P21" s="10" t="n">
        <f aca="false">HYPERLINK("https://www.ncbi.nlm.nih.gov/clinvar/variation/140770", 140770)</f>
        <v>140770</v>
      </c>
      <c r="Q21" s="6" t="s">
        <v>418</v>
      </c>
      <c r="R21" s="6" t="s">
        <v>1894</v>
      </c>
      <c r="S21" s="10" t="str">
        <f aca="false">HYPERLINK("https://www.ncbi.nlm.nih.gov/snp/rs3218687", "rs3218687")</f>
        <v>rs3218687</v>
      </c>
      <c r="T21" s="10" t="n">
        <f aca="false">HYPERLINK("https://gnomad.broadinstitute.org/variant/11-108268456-A-G?dataset=gnomad_r4", 0.0128503)</f>
        <v>0.0128503</v>
      </c>
      <c r="U21" s="10" t="n">
        <f aca="false">HYPERLINK("https://gnomad.broadinstitute.org/variant/11-108268456-A-G?dataset=gnomad_r4", 0.00134567)</f>
        <v>0.00134567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-4</v>
      </c>
      <c r="AA21" s="6" t="n">
        <v>11</v>
      </c>
      <c r="AB21" s="6" t="n">
        <v>-5</v>
      </c>
      <c r="AC21" s="6" t="n">
        <v>32</v>
      </c>
      <c r="AD21" s="6" t="n">
        <v>1.694</v>
      </c>
      <c r="AE21" s="6" t="s">
        <v>611</v>
      </c>
      <c r="AF21" s="6" t="s">
        <v>123</v>
      </c>
      <c r="AG21" s="6" t="s">
        <v>123</v>
      </c>
      <c r="AH21" s="6" t="s">
        <v>123</v>
      </c>
      <c r="AI21" s="6" t="s">
        <v>123</v>
      </c>
      <c r="AJ21" s="8"/>
      <c r="AK21" s="8"/>
      <c r="AL21" s="8"/>
      <c r="AM21" s="8"/>
      <c r="AN21" s="8"/>
      <c r="AO21" s="8"/>
      <c r="AP21" s="9" t="s">
        <v>1922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76.5" hidden="false" customHeight="true" outlineLevel="0" collapsed="false">
      <c r="A22" s="6" t="s">
        <v>1</v>
      </c>
      <c r="B22" s="6" t="n">
        <v>11</v>
      </c>
      <c r="C22" s="6" t="n">
        <v>108256283</v>
      </c>
      <c r="D22" s="6" t="s">
        <v>246</v>
      </c>
      <c r="E22" s="6" t="s">
        <v>123</v>
      </c>
      <c r="F22" s="6" t="s">
        <v>247</v>
      </c>
      <c r="G22" s="6" t="s">
        <v>1923</v>
      </c>
      <c r="H22" s="6" t="s">
        <v>1924</v>
      </c>
      <c r="I22" s="6" t="s">
        <v>1925</v>
      </c>
      <c r="J22" s="6" t="s">
        <v>1926</v>
      </c>
      <c r="K22" s="6" t="s">
        <v>1813</v>
      </c>
      <c r="L22" s="6" t="s">
        <v>1927</v>
      </c>
      <c r="M22" s="6" t="n">
        <v>3070</v>
      </c>
      <c r="N22" s="7" t="n">
        <v>0.0616</v>
      </c>
      <c r="O22" s="6"/>
      <c r="P22" s="10" t="n">
        <f aca="false">HYPERLINK("https://www.ncbi.nlm.nih.gov/clinvar/variation/140761", 140761)</f>
        <v>140761</v>
      </c>
      <c r="Q22" s="6" t="s">
        <v>283</v>
      </c>
      <c r="R22" s="6" t="s">
        <v>1894</v>
      </c>
      <c r="S22" s="10" t="str">
        <f aca="false">HYPERLINK("https://www.ncbi.nlm.nih.gov/snp/rs2229019", "rs2229019")</f>
        <v>rs2229019</v>
      </c>
      <c r="T22" s="10" t="n">
        <f aca="false">HYPERLINK("https://gnomad.broadinstitute.org/variant/11-108256283-C-T?dataset=gnomad_r4", 0.0142288)</f>
        <v>0.0142288</v>
      </c>
      <c r="U22" s="10" t="n">
        <f aca="false">HYPERLINK("https://gnomad.broadinstitute.org/variant/11-108256283-C-T?dataset=gnomad_r4", 0.00151059)</f>
        <v>0.00151059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14</v>
      </c>
      <c r="AA22" s="6" t="n">
        <v>-26</v>
      </c>
      <c r="AB22" s="6" t="n">
        <v>-27</v>
      </c>
      <c r="AC22" s="6" t="n">
        <v>0</v>
      </c>
      <c r="AD22" s="6" t="n">
        <v>0.458</v>
      </c>
      <c r="AE22" s="6" t="s">
        <v>611</v>
      </c>
      <c r="AF22" s="6" t="s">
        <v>123</v>
      </c>
      <c r="AG22" s="6" t="s">
        <v>123</v>
      </c>
      <c r="AH22" s="6" t="s">
        <v>123</v>
      </c>
      <c r="AI22" s="6" t="s">
        <v>123</v>
      </c>
      <c r="AJ22" s="8"/>
      <c r="AK22" s="8"/>
      <c r="AL22" s="8"/>
      <c r="AM22" s="8"/>
      <c r="AN22" s="8"/>
      <c r="AO22" s="8"/>
      <c r="AP22" s="9" t="s">
        <v>1928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76.5" hidden="false" customHeight="true" outlineLevel="0" collapsed="false">
      <c r="A23" s="6" t="s">
        <v>1</v>
      </c>
      <c r="B23" s="6" t="n">
        <v>11</v>
      </c>
      <c r="C23" s="6" t="n">
        <v>108251865</v>
      </c>
      <c r="D23" s="6" t="s">
        <v>246</v>
      </c>
      <c r="E23" s="6" t="s">
        <v>123</v>
      </c>
      <c r="F23" s="6" t="s">
        <v>247</v>
      </c>
      <c r="G23" s="6" t="s">
        <v>1929</v>
      </c>
      <c r="H23" s="6" t="s">
        <v>1930</v>
      </c>
      <c r="I23" s="6" t="s">
        <v>1931</v>
      </c>
      <c r="J23" s="6" t="s">
        <v>1932</v>
      </c>
      <c r="K23" s="6" t="s">
        <v>120</v>
      </c>
      <c r="L23" s="6" t="s">
        <v>1933</v>
      </c>
      <c r="M23" s="6" t="n">
        <v>2957</v>
      </c>
      <c r="N23" s="7" t="n">
        <v>0.0723</v>
      </c>
      <c r="O23" s="6"/>
      <c r="P23" s="10" t="n">
        <f aca="false">HYPERLINK("https://www.ncbi.nlm.nih.gov/clinvar/variation/133604", 133604)</f>
        <v>133604</v>
      </c>
      <c r="Q23" s="6" t="s">
        <v>283</v>
      </c>
      <c r="R23" s="6" t="s">
        <v>1934</v>
      </c>
      <c r="S23" s="10" t="str">
        <f aca="false">HYPERLINK("https://www.ncbi.nlm.nih.gov/snp/rs2227924", "rs2227924")</f>
        <v>rs2227924</v>
      </c>
      <c r="T23" s="10" t="n">
        <f aca="false">HYPERLINK("https://gnomad.broadinstitute.org/variant/11-108251865-C-G?dataset=gnomad_r4", 0.014218)</f>
        <v>0.014218</v>
      </c>
      <c r="U23" s="10" t="n">
        <f aca="false">HYPERLINK("https://gnomad.broadinstitute.org/variant/11-108251865-C-G?dataset=gnomad_r4", 0.00150525)</f>
        <v>0.00150525</v>
      </c>
      <c r="V23" s="6" t="n">
        <v>0</v>
      </c>
      <c r="W23" s="6" t="n">
        <v>0.01</v>
      </c>
      <c r="X23" s="6" t="n">
        <v>0.01</v>
      </c>
      <c r="Y23" s="6" t="n">
        <v>0</v>
      </c>
      <c r="Z23" s="6" t="n">
        <v>1</v>
      </c>
      <c r="AA23" s="6" t="n">
        <v>-28</v>
      </c>
      <c r="AB23" s="6" t="n">
        <v>26</v>
      </c>
      <c r="AC23" s="6" t="n">
        <v>9</v>
      </c>
      <c r="AD23" s="6" t="n">
        <v>11.06</v>
      </c>
      <c r="AE23" s="6" t="s">
        <v>611</v>
      </c>
      <c r="AF23" s="6" t="s">
        <v>123</v>
      </c>
      <c r="AG23" s="6" t="s">
        <v>123</v>
      </c>
      <c r="AH23" s="6" t="s">
        <v>123</v>
      </c>
      <c r="AI23" s="6" t="s">
        <v>123</v>
      </c>
      <c r="AJ23" s="8"/>
      <c r="AK23" s="8"/>
      <c r="AL23" s="8"/>
      <c r="AM23" s="8"/>
      <c r="AN23" s="8"/>
      <c r="AO23" s="8"/>
      <c r="AP23" s="9" t="s">
        <v>1935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76.5" hidden="false" customHeight="true" outlineLevel="0" collapsed="false">
      <c r="A24" s="6" t="s">
        <v>1</v>
      </c>
      <c r="B24" s="6" t="n">
        <v>11</v>
      </c>
      <c r="C24" s="6" t="n">
        <v>108271228</v>
      </c>
      <c r="D24" s="6" t="s">
        <v>246</v>
      </c>
      <c r="E24" s="6" t="s">
        <v>123</v>
      </c>
      <c r="F24" s="6" t="s">
        <v>247</v>
      </c>
      <c r="G24" s="6" t="s">
        <v>123</v>
      </c>
      <c r="H24" s="6" t="s">
        <v>1936</v>
      </c>
      <c r="I24" s="6"/>
      <c r="J24" s="6" t="s">
        <v>123</v>
      </c>
      <c r="K24" s="6" t="s">
        <v>127</v>
      </c>
      <c r="L24" s="6" t="s">
        <v>1937</v>
      </c>
      <c r="M24" s="6" t="n">
        <v>3510</v>
      </c>
      <c r="N24" s="7" t="n">
        <v>0.269</v>
      </c>
      <c r="O24" s="6" t="s">
        <v>1820</v>
      </c>
      <c r="P24" s="10" t="n">
        <f aca="false">HYPERLINK("https://www.ncbi.nlm.nih.gov/clinvar/variation/1802800", 1802800)</f>
        <v>1802800</v>
      </c>
      <c r="Q24" s="6" t="s">
        <v>283</v>
      </c>
      <c r="R24" s="6" t="s">
        <v>1938</v>
      </c>
      <c r="S24" s="10" t="str">
        <f aca="false">HYPERLINK("https://www.ncbi.nlm.nih.gov/snp/rs373881770", "rs373881770")</f>
        <v>rs373881770</v>
      </c>
      <c r="T24" s="10" t="n">
        <f aca="false">HYPERLINK("https://gnomad.broadinstitute.org/variant/11-108271228-CTT-C?dataset=gnomad_r4", 0.000288144)</f>
        <v>0.000288144</v>
      </c>
      <c r="U24" s="10" t="n">
        <f aca="false">HYPERLINK("https://gnomad.broadinstitute.org/variant/11-108271228-CTT-C?dataset=gnomad_r4", 0.00544697)</f>
        <v>0.00544697</v>
      </c>
      <c r="V24" s="6" t="n">
        <v>0.02</v>
      </c>
      <c r="W24" s="6" t="n">
        <v>0</v>
      </c>
      <c r="X24" s="6" t="n">
        <v>0</v>
      </c>
      <c r="Y24" s="6" t="n">
        <v>0</v>
      </c>
      <c r="Z24" s="6" t="n">
        <v>-5</v>
      </c>
      <c r="AA24" s="6" t="n">
        <v>23</v>
      </c>
      <c r="AB24" s="6" t="n">
        <v>37</v>
      </c>
      <c r="AC24" s="6" t="n">
        <v>-7</v>
      </c>
      <c r="AD24" s="6" t="n">
        <v>1.584</v>
      </c>
      <c r="AE24" s="6" t="s">
        <v>124</v>
      </c>
      <c r="AF24" s="6" t="s">
        <v>123</v>
      </c>
      <c r="AG24" s="6" t="s">
        <v>123</v>
      </c>
      <c r="AH24" s="6" t="s">
        <v>123</v>
      </c>
      <c r="AI24" s="6" t="s">
        <v>123</v>
      </c>
      <c r="AJ24" s="8"/>
      <c r="AK24" s="8"/>
      <c r="AL24" s="8"/>
      <c r="AM24" s="8"/>
      <c r="AN24" s="8"/>
      <c r="AO24" s="8"/>
      <c r="AP24" s="9" t="s">
        <v>1939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76.5" hidden="false" customHeight="true" outlineLevel="0" collapsed="false">
      <c r="A25" s="6" t="s">
        <v>1</v>
      </c>
      <c r="B25" s="6" t="n">
        <v>11</v>
      </c>
      <c r="C25" s="6" t="n">
        <v>108267318</v>
      </c>
      <c r="D25" s="6" t="s">
        <v>246</v>
      </c>
      <c r="E25" s="6" t="s">
        <v>123</v>
      </c>
      <c r="F25" s="6" t="s">
        <v>247</v>
      </c>
      <c r="G25" s="6" t="s">
        <v>1940</v>
      </c>
      <c r="H25" s="6" t="s">
        <v>1941</v>
      </c>
      <c r="I25" s="6" t="s">
        <v>1942</v>
      </c>
      <c r="J25" s="6" t="s">
        <v>1943</v>
      </c>
      <c r="K25" s="6" t="s">
        <v>120</v>
      </c>
      <c r="L25" s="6" t="s">
        <v>1944</v>
      </c>
      <c r="M25" s="6" t="n">
        <v>3026</v>
      </c>
      <c r="N25" s="7" t="n">
        <v>0.0705</v>
      </c>
      <c r="O25" s="6"/>
      <c r="P25" s="10" t="n">
        <f aca="false">HYPERLINK("https://www.ncbi.nlm.nih.gov/clinvar/variation/133610", 133610)</f>
        <v>133610</v>
      </c>
      <c r="Q25" s="6" t="s">
        <v>418</v>
      </c>
      <c r="R25" s="6" t="s">
        <v>1890</v>
      </c>
      <c r="S25" s="10" t="str">
        <f aca="false">HYPERLINK("https://www.ncbi.nlm.nih.gov/snp/rs3218673", "rs3218673")</f>
        <v>rs3218673</v>
      </c>
      <c r="T25" s="10" t="n">
        <f aca="false">HYPERLINK("https://gnomad.broadinstitute.org/variant/11-108267318-C-T?dataset=gnomad_r4", 0.012838)</f>
        <v>0.012838</v>
      </c>
      <c r="U25" s="10" t="n">
        <f aca="false">HYPERLINK("https://gnomad.broadinstitute.org/variant/11-108267318-C-T?dataset=gnomad_r4", 0.0013292)</f>
        <v>0.0013292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-13</v>
      </c>
      <c r="AA25" s="6" t="n">
        <v>-22</v>
      </c>
      <c r="AB25" s="6" t="n">
        <v>-19</v>
      </c>
      <c r="AC25" s="6" t="n">
        <v>24</v>
      </c>
      <c r="AD25" s="6" t="n">
        <v>12.48</v>
      </c>
      <c r="AE25" s="6" t="s">
        <v>611</v>
      </c>
      <c r="AF25" s="6" t="s">
        <v>123</v>
      </c>
      <c r="AG25" s="6" t="s">
        <v>123</v>
      </c>
      <c r="AH25" s="6" t="s">
        <v>123</v>
      </c>
      <c r="AI25" s="6" t="s">
        <v>123</v>
      </c>
      <c r="AJ25" s="8"/>
      <c r="AK25" s="8"/>
      <c r="AL25" s="8"/>
      <c r="AM25" s="8"/>
      <c r="AN25" s="8"/>
      <c r="AO25" s="8"/>
      <c r="AP25" s="9" t="s">
        <v>1945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76.5" hidden="false" customHeight="true" outlineLevel="0" collapsed="false">
      <c r="A26" s="6" t="s">
        <v>1</v>
      </c>
      <c r="B26" s="6" t="s">
        <v>145</v>
      </c>
      <c r="C26" s="6" t="n">
        <v>77508510</v>
      </c>
      <c r="D26" s="6" t="s">
        <v>316</v>
      </c>
      <c r="E26" s="6" t="s">
        <v>6</v>
      </c>
      <c r="F26" s="6" t="s">
        <v>317</v>
      </c>
      <c r="G26" s="6" t="s">
        <v>1946</v>
      </c>
      <c r="H26" s="6" t="s">
        <v>1947</v>
      </c>
      <c r="I26" s="6" t="s">
        <v>1948</v>
      </c>
      <c r="J26" s="6" t="s">
        <v>1949</v>
      </c>
      <c r="K26" s="6" t="s">
        <v>1813</v>
      </c>
      <c r="L26" s="6" t="s">
        <v>1950</v>
      </c>
      <c r="M26" s="6" t="n">
        <v>3350</v>
      </c>
      <c r="N26" s="7" t="n">
        <v>0.0732</v>
      </c>
      <c r="O26" s="6" t="s">
        <v>1879</v>
      </c>
      <c r="P26" s="10" t="n">
        <f aca="false">HYPERLINK("https://www.ncbi.nlm.nih.gov/clinvar/variation/1136090", 1136090)</f>
        <v>1136090</v>
      </c>
      <c r="Q26" s="6" t="s">
        <v>215</v>
      </c>
      <c r="R26" s="6" t="s">
        <v>1951</v>
      </c>
      <c r="S26" s="10" t="str">
        <f aca="false">HYPERLINK("https://www.ncbi.nlm.nih.gov/snp/rs149242238", "rs149242238")</f>
        <v>rs149242238</v>
      </c>
      <c r="T26" s="10" t="n">
        <f aca="false">HYPERLINK("https://gnomad.broadinstitute.org/variant/X-77508510-C-T?dataset=gnomad_r4", 0.00000897674)</f>
        <v>8.97674E-006</v>
      </c>
      <c r="U26" s="6" t="s">
        <v>123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-40</v>
      </c>
      <c r="AA26" s="6" t="n">
        <v>-1</v>
      </c>
      <c r="AB26" s="6" t="n">
        <v>20</v>
      </c>
      <c r="AC26" s="6" t="n">
        <v>6</v>
      </c>
      <c r="AD26" s="6" t="n">
        <v>7.981</v>
      </c>
      <c r="AE26" s="6" t="s">
        <v>124</v>
      </c>
      <c r="AF26" s="6" t="s">
        <v>123</v>
      </c>
      <c r="AG26" s="6" t="s">
        <v>123</v>
      </c>
      <c r="AH26" s="6" t="s">
        <v>123</v>
      </c>
      <c r="AI26" s="6" t="s">
        <v>123</v>
      </c>
      <c r="AJ26" s="8"/>
      <c r="AK26" s="8"/>
      <c r="AL26" s="8"/>
      <c r="AM26" s="8"/>
      <c r="AN26" s="8"/>
      <c r="AO26" s="8"/>
      <c r="AP26" s="9" t="s">
        <v>1952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76.5" hidden="false" customHeight="true" outlineLevel="0" collapsed="false">
      <c r="A27" s="6" t="s">
        <v>1</v>
      </c>
      <c r="B27" s="6" t="s">
        <v>145</v>
      </c>
      <c r="C27" s="6" t="n">
        <v>77652291</v>
      </c>
      <c r="D27" s="6" t="s">
        <v>316</v>
      </c>
      <c r="E27" s="6" t="s">
        <v>6</v>
      </c>
      <c r="F27" s="6" t="s">
        <v>317</v>
      </c>
      <c r="G27" s="6" t="s">
        <v>1953</v>
      </c>
      <c r="H27" s="6" t="s">
        <v>1954</v>
      </c>
      <c r="I27" s="6" t="s">
        <v>1955</v>
      </c>
      <c r="J27" s="6" t="s">
        <v>1956</v>
      </c>
      <c r="K27" s="6" t="s">
        <v>326</v>
      </c>
      <c r="L27" s="6" t="s">
        <v>1957</v>
      </c>
      <c r="M27" s="6" t="n">
        <v>3501</v>
      </c>
      <c r="N27" s="7" t="n">
        <v>0.0337</v>
      </c>
      <c r="O27" s="6" t="s">
        <v>1958</v>
      </c>
      <c r="P27" s="10" t="n">
        <f aca="false">HYPERLINK("https://www.ncbi.nlm.nih.gov/clinvar/variation/93137", 93137)</f>
        <v>93137</v>
      </c>
      <c r="Q27" s="6" t="s">
        <v>283</v>
      </c>
      <c r="R27" s="6" t="s">
        <v>1959</v>
      </c>
      <c r="S27" s="10" t="str">
        <f aca="false">HYPERLINK("https://www.ncbi.nlm.nih.gov/snp/rs398123423", "rs398123423")</f>
        <v>rs398123423</v>
      </c>
      <c r="T27" s="10" t="n">
        <f aca="false">HYPERLINK("https://gnomad.broadinstitute.org/variant/X-77652291-TTCC-T?dataset=gnomad_r4", 0.00144477)</f>
        <v>0.00144477</v>
      </c>
      <c r="U27" s="10" t="n">
        <f aca="false">HYPERLINK("https://gnomad.broadinstitute.org/variant/X-77652291-TTCC-T?dataset=gnomad_r4", 0.00233695)</f>
        <v>0.00233695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-47</v>
      </c>
      <c r="AA27" s="6" t="n">
        <v>50</v>
      </c>
      <c r="AB27" s="6" t="n">
        <v>5</v>
      </c>
      <c r="AC27" s="6" t="n">
        <v>2</v>
      </c>
      <c r="AD27" s="6" t="n">
        <v>5.092</v>
      </c>
      <c r="AE27" s="6" t="s">
        <v>124</v>
      </c>
      <c r="AF27" s="6" t="s">
        <v>123</v>
      </c>
      <c r="AG27" s="6" t="s">
        <v>123</v>
      </c>
      <c r="AH27" s="6" t="s">
        <v>123</v>
      </c>
      <c r="AI27" s="6" t="s">
        <v>123</v>
      </c>
      <c r="AJ27" s="8"/>
      <c r="AK27" s="8"/>
      <c r="AL27" s="8"/>
      <c r="AM27" s="8"/>
      <c r="AN27" s="8"/>
      <c r="AO27" s="8"/>
      <c r="AP27" s="9" t="s">
        <v>1960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76.5" hidden="false" customHeight="true" outlineLevel="0" collapsed="false">
      <c r="A28" s="6" t="s">
        <v>1</v>
      </c>
      <c r="B28" s="6" t="s">
        <v>145</v>
      </c>
      <c r="C28" s="6" t="n">
        <v>77682471</v>
      </c>
      <c r="D28" s="6" t="s">
        <v>316</v>
      </c>
      <c r="E28" s="6" t="s">
        <v>6</v>
      </c>
      <c r="F28" s="6" t="s">
        <v>317</v>
      </c>
      <c r="G28" s="6" t="s">
        <v>329</v>
      </c>
      <c r="H28" s="6" t="s">
        <v>1961</v>
      </c>
      <c r="I28" s="6" t="s">
        <v>1962</v>
      </c>
      <c r="J28" s="6" t="s">
        <v>1963</v>
      </c>
      <c r="K28" s="6" t="s">
        <v>120</v>
      </c>
      <c r="L28" s="6" t="s">
        <v>1964</v>
      </c>
      <c r="M28" s="6" t="n">
        <v>2960</v>
      </c>
      <c r="N28" s="7" t="n">
        <v>0.902</v>
      </c>
      <c r="O28" s="6"/>
      <c r="P28" s="10" t="n">
        <f aca="false">HYPERLINK("https://www.ncbi.nlm.nih.gov/clinvar/variation/237852", 237852)</f>
        <v>237852</v>
      </c>
      <c r="Q28" s="6" t="s">
        <v>418</v>
      </c>
      <c r="R28" s="6" t="s">
        <v>1951</v>
      </c>
      <c r="S28" s="10" t="str">
        <f aca="false">HYPERLINK("https://www.ncbi.nlm.nih.gov/snp/rs3088074", "rs3088074")</f>
        <v>rs3088074</v>
      </c>
      <c r="T28" s="10" t="n">
        <f aca="false">HYPERLINK("https://gnomad.broadinstitute.org/variant/X-77682471-C-G?dataset=gnomad_r4", 0.515832)</f>
        <v>0.515832</v>
      </c>
      <c r="U28" s="6" t="s">
        <v>123</v>
      </c>
      <c r="V28" s="6" t="s">
        <v>123</v>
      </c>
      <c r="W28" s="6" t="s">
        <v>123</v>
      </c>
      <c r="X28" s="6" t="s">
        <v>123</v>
      </c>
      <c r="Y28" s="6" t="s">
        <v>123</v>
      </c>
      <c r="Z28" s="6" t="s">
        <v>123</v>
      </c>
      <c r="AA28" s="6" t="s">
        <v>123</v>
      </c>
      <c r="AB28" s="6" t="s">
        <v>123</v>
      </c>
      <c r="AC28" s="6" t="s">
        <v>123</v>
      </c>
      <c r="AD28" s="6" t="n">
        <v>14.53</v>
      </c>
      <c r="AE28" s="6" t="s">
        <v>124</v>
      </c>
      <c r="AF28" s="6" t="s">
        <v>123</v>
      </c>
      <c r="AG28" s="6" t="s">
        <v>123</v>
      </c>
      <c r="AH28" s="6" t="s">
        <v>123</v>
      </c>
      <c r="AI28" s="6" t="s">
        <v>123</v>
      </c>
      <c r="AJ28" s="8"/>
      <c r="AK28" s="8"/>
      <c r="AL28" s="8"/>
      <c r="AM28" s="8"/>
      <c r="AN28" s="8"/>
      <c r="AO28" s="8"/>
      <c r="AP28" s="9" t="s">
        <v>1965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63.75" hidden="false" customHeight="true" outlineLevel="0" collapsed="false">
      <c r="A29" s="6" t="s">
        <v>1</v>
      </c>
      <c r="B29" s="6" t="n">
        <v>18</v>
      </c>
      <c r="C29" s="6" t="n">
        <v>63318661</v>
      </c>
      <c r="D29" s="6" t="s">
        <v>1966</v>
      </c>
      <c r="E29" s="6" t="s">
        <v>1967</v>
      </c>
      <c r="F29" s="6" t="s">
        <v>1968</v>
      </c>
      <c r="G29" s="6" t="s">
        <v>750</v>
      </c>
      <c r="H29" s="6" t="s">
        <v>1969</v>
      </c>
      <c r="I29" s="6" t="s">
        <v>1970</v>
      </c>
      <c r="J29" s="6" t="s">
        <v>1971</v>
      </c>
      <c r="K29" s="6" t="s">
        <v>1813</v>
      </c>
      <c r="L29" s="6" t="s">
        <v>1972</v>
      </c>
      <c r="M29" s="6" t="n">
        <v>4650</v>
      </c>
      <c r="N29" s="7" t="n">
        <v>0.0677</v>
      </c>
      <c r="O29" s="6"/>
      <c r="P29" s="6" t="s">
        <v>123</v>
      </c>
      <c r="Q29" s="6" t="s">
        <v>123</v>
      </c>
      <c r="R29" s="6" t="s">
        <v>123</v>
      </c>
      <c r="S29" s="6" t="s">
        <v>123</v>
      </c>
      <c r="T29" s="6" t="s">
        <v>123</v>
      </c>
      <c r="U29" s="6" t="s">
        <v>123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-2</v>
      </c>
      <c r="AA29" s="6" t="n">
        <v>-17</v>
      </c>
      <c r="AB29" s="6" t="n">
        <v>42</v>
      </c>
      <c r="AC29" s="6" t="n">
        <v>-17</v>
      </c>
      <c r="AD29" s="6" t="n">
        <v>14.57</v>
      </c>
      <c r="AE29" s="6" t="s">
        <v>124</v>
      </c>
      <c r="AF29" s="6" t="s">
        <v>123</v>
      </c>
      <c r="AG29" s="6" t="s">
        <v>123</v>
      </c>
      <c r="AH29" s="6" t="s">
        <v>123</v>
      </c>
      <c r="AI29" s="6" t="s">
        <v>123</v>
      </c>
      <c r="AJ29" s="8"/>
      <c r="AK29" s="8"/>
      <c r="AL29" s="8"/>
      <c r="AM29" s="8"/>
      <c r="AN29" s="8"/>
      <c r="AO29" s="8"/>
      <c r="AP29" s="9" t="s">
        <v>1973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76.5" hidden="false" customHeight="true" outlineLevel="0" collapsed="false">
      <c r="A30" s="6" t="s">
        <v>1</v>
      </c>
      <c r="B30" s="6" t="s">
        <v>145</v>
      </c>
      <c r="C30" s="6" t="n">
        <v>40074086</v>
      </c>
      <c r="D30" s="6" t="s">
        <v>335</v>
      </c>
      <c r="E30" s="6" t="s">
        <v>336</v>
      </c>
      <c r="F30" s="6" t="s">
        <v>337</v>
      </c>
      <c r="G30" s="6" t="s">
        <v>350</v>
      </c>
      <c r="H30" s="6" t="s">
        <v>1974</v>
      </c>
      <c r="I30" s="6" t="s">
        <v>1975</v>
      </c>
      <c r="J30" s="6" t="s">
        <v>1976</v>
      </c>
      <c r="K30" s="6" t="s">
        <v>1813</v>
      </c>
      <c r="L30" s="6" t="s">
        <v>1977</v>
      </c>
      <c r="M30" s="6" t="n">
        <v>2535</v>
      </c>
      <c r="N30" s="7" t="n">
        <v>0.456</v>
      </c>
      <c r="O30" s="6"/>
      <c r="P30" s="10" t="n">
        <f aca="false">HYPERLINK("https://www.ncbi.nlm.nih.gov/clinvar/variation/95764", 95764)</f>
        <v>95764</v>
      </c>
      <c r="Q30" s="6" t="s">
        <v>418</v>
      </c>
      <c r="R30" s="6" t="s">
        <v>1978</v>
      </c>
      <c r="S30" s="10" t="str">
        <f aca="false">HYPERLINK("https://www.ncbi.nlm.nih.gov/snp/rs5917933", "rs5917933")</f>
        <v>rs5917933</v>
      </c>
      <c r="T30" s="6" t="s">
        <v>123</v>
      </c>
      <c r="U30" s="6" t="s">
        <v>123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23</v>
      </c>
      <c r="AA30" s="6" t="n">
        <v>1</v>
      </c>
      <c r="AB30" s="6" t="n">
        <v>-17</v>
      </c>
      <c r="AC30" s="6" t="n">
        <v>-45</v>
      </c>
      <c r="AD30" s="6" t="n">
        <v>2.193</v>
      </c>
      <c r="AE30" s="6" t="s">
        <v>1979</v>
      </c>
      <c r="AF30" s="6" t="s">
        <v>123</v>
      </c>
      <c r="AG30" s="6" t="s">
        <v>123</v>
      </c>
      <c r="AH30" s="6" t="s">
        <v>123</v>
      </c>
      <c r="AI30" s="6" t="s">
        <v>123</v>
      </c>
      <c r="AJ30" s="8"/>
      <c r="AK30" s="8"/>
      <c r="AL30" s="8"/>
      <c r="AM30" s="8"/>
      <c r="AN30" s="8"/>
      <c r="AO30" s="8"/>
      <c r="AP30" s="9" t="s">
        <v>1980</v>
      </c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76.5" hidden="false" customHeight="true" outlineLevel="0" collapsed="false">
      <c r="A31" s="6" t="s">
        <v>1</v>
      </c>
      <c r="B31" s="6" t="s">
        <v>145</v>
      </c>
      <c r="C31" s="6" t="n">
        <v>130016168</v>
      </c>
      <c r="D31" s="6" t="s">
        <v>356</v>
      </c>
      <c r="E31" s="6" t="s">
        <v>6</v>
      </c>
      <c r="F31" s="6" t="s">
        <v>357</v>
      </c>
      <c r="G31" s="6" t="s">
        <v>358</v>
      </c>
      <c r="H31" s="6" t="s">
        <v>1981</v>
      </c>
      <c r="I31" s="6" t="s">
        <v>1982</v>
      </c>
      <c r="J31" s="6" t="s">
        <v>1983</v>
      </c>
      <c r="K31" s="6" t="s">
        <v>1813</v>
      </c>
      <c r="L31" s="6" t="s">
        <v>1984</v>
      </c>
      <c r="M31" s="6" t="n">
        <v>3125</v>
      </c>
      <c r="N31" s="7" t="n">
        <v>0.0945</v>
      </c>
      <c r="O31" s="6" t="s">
        <v>1879</v>
      </c>
      <c r="P31" s="10" t="n">
        <f aca="false">HYPERLINK("https://www.ncbi.nlm.nih.gov/clinvar/variation/1286982", 1286982)</f>
        <v>1286982</v>
      </c>
      <c r="Q31" s="6" t="s">
        <v>418</v>
      </c>
      <c r="R31" s="6" t="s">
        <v>181</v>
      </c>
      <c r="S31" s="10" t="str">
        <f aca="false">HYPERLINK("https://www.ncbi.nlm.nih.gov/snp/rs7062200", "rs7062200")</f>
        <v>rs7062200</v>
      </c>
      <c r="T31" s="10" t="n">
        <f aca="false">HYPERLINK("https://gnomad.broadinstitute.org/variant/X-130016168-C-G?dataset=gnomad_r4", 0.0935038)</f>
        <v>0.0935038</v>
      </c>
      <c r="U31" s="10" t="n">
        <f aca="false">HYPERLINK("https://gnomad.broadinstitute.org/variant/X-130016168-C-G?dataset=gnomad_r4", 0.0103565)</f>
        <v>0.0103565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-44</v>
      </c>
      <c r="AA31" s="6" t="n">
        <v>39</v>
      </c>
      <c r="AB31" s="6" t="n">
        <v>45</v>
      </c>
      <c r="AC31" s="6" t="n">
        <v>49</v>
      </c>
      <c r="AD31" s="6" t="n">
        <v>1.265</v>
      </c>
      <c r="AE31" s="6" t="s">
        <v>1033</v>
      </c>
      <c r="AF31" s="6" t="s">
        <v>123</v>
      </c>
      <c r="AG31" s="6" t="s">
        <v>123</v>
      </c>
      <c r="AH31" s="6" t="s">
        <v>123</v>
      </c>
      <c r="AI31" s="6" t="s">
        <v>123</v>
      </c>
      <c r="AJ31" s="8"/>
      <c r="AK31" s="8"/>
      <c r="AL31" s="8"/>
      <c r="AM31" s="8"/>
      <c r="AN31" s="8"/>
      <c r="AO31" s="8"/>
      <c r="AP31" s="9" t="s">
        <v>1985</v>
      </c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76.5" hidden="false" customHeight="true" outlineLevel="0" collapsed="false">
      <c r="A32" s="6" t="s">
        <v>1</v>
      </c>
      <c r="B32" s="6" t="n">
        <v>11</v>
      </c>
      <c r="C32" s="6" t="n">
        <v>102324770</v>
      </c>
      <c r="D32" s="6" t="s">
        <v>370</v>
      </c>
      <c r="E32" s="6" t="s">
        <v>371</v>
      </c>
      <c r="F32" s="6" t="s">
        <v>372</v>
      </c>
      <c r="G32" s="6" t="s">
        <v>1986</v>
      </c>
      <c r="H32" s="6" t="s">
        <v>1987</v>
      </c>
      <c r="I32" s="6" t="s">
        <v>1988</v>
      </c>
      <c r="J32" s="6" t="s">
        <v>1989</v>
      </c>
      <c r="K32" s="6" t="s">
        <v>1813</v>
      </c>
      <c r="L32" s="6" t="s">
        <v>1990</v>
      </c>
      <c r="M32" s="6" t="n">
        <v>3120</v>
      </c>
      <c r="N32" s="7" t="n">
        <v>0.143</v>
      </c>
      <c r="O32" s="6"/>
      <c r="P32" s="10" t="n">
        <f aca="false">HYPERLINK("https://www.ncbi.nlm.nih.gov/clinvar/variation/776651", 776651)</f>
        <v>776651</v>
      </c>
      <c r="Q32" s="6" t="s">
        <v>418</v>
      </c>
      <c r="R32" s="6" t="s">
        <v>181</v>
      </c>
      <c r="S32" s="10" t="str">
        <f aca="false">HYPERLINK("https://www.ncbi.nlm.nih.gov/snp/rs7930386", "rs7930386")</f>
        <v>rs7930386</v>
      </c>
      <c r="T32" s="10" t="n">
        <f aca="false">HYPERLINK("https://gnomad.broadinstitute.org/variant/11-102324770-A-G?dataset=gnomad_r4", 0.0119202)</f>
        <v>0.0119202</v>
      </c>
      <c r="U32" s="10" t="n">
        <f aca="false">HYPERLINK("https://gnomad.broadinstitute.org/variant/11-102324770-A-G?dataset=gnomad_r4", 0.00115263)</f>
        <v>0.00115263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-27</v>
      </c>
      <c r="AA32" s="6" t="n">
        <v>15</v>
      </c>
      <c r="AB32" s="6" t="n">
        <v>5</v>
      </c>
      <c r="AC32" s="6" t="n">
        <v>2</v>
      </c>
      <c r="AD32" s="6" t="n">
        <v>4.859</v>
      </c>
      <c r="AE32" s="6" t="s">
        <v>1033</v>
      </c>
      <c r="AF32" s="6" t="s">
        <v>123</v>
      </c>
      <c r="AG32" s="6" t="s">
        <v>123</v>
      </c>
      <c r="AH32" s="6" t="s">
        <v>123</v>
      </c>
      <c r="AI32" s="6" t="s">
        <v>123</v>
      </c>
      <c r="AJ32" s="8"/>
      <c r="AK32" s="8"/>
      <c r="AL32" s="8"/>
      <c r="AM32" s="8"/>
      <c r="AN32" s="8"/>
      <c r="AO32" s="8"/>
      <c r="AP32" s="9" t="s">
        <v>1991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63.75" hidden="false" customHeight="true" outlineLevel="0" collapsed="false">
      <c r="A33" s="6" t="s">
        <v>1</v>
      </c>
      <c r="B33" s="6" t="n">
        <v>11</v>
      </c>
      <c r="C33" s="6" t="n">
        <v>102324845</v>
      </c>
      <c r="D33" s="6" t="s">
        <v>370</v>
      </c>
      <c r="E33" s="6" t="s">
        <v>371</v>
      </c>
      <c r="F33" s="6" t="s">
        <v>372</v>
      </c>
      <c r="G33" s="6" t="s">
        <v>1986</v>
      </c>
      <c r="H33" s="6" t="s">
        <v>1992</v>
      </c>
      <c r="I33" s="6" t="s">
        <v>1993</v>
      </c>
      <c r="J33" s="6" t="s">
        <v>1994</v>
      </c>
      <c r="K33" s="6" t="s">
        <v>1813</v>
      </c>
      <c r="L33" s="6" t="s">
        <v>1995</v>
      </c>
      <c r="M33" s="6" t="n">
        <v>3359</v>
      </c>
      <c r="N33" s="7" t="n">
        <v>0.0419</v>
      </c>
      <c r="O33" s="6"/>
      <c r="P33" s="6" t="s">
        <v>123</v>
      </c>
      <c r="Q33" s="6" t="s">
        <v>123</v>
      </c>
      <c r="R33" s="6" t="s">
        <v>123</v>
      </c>
      <c r="S33" s="6" t="s">
        <v>123</v>
      </c>
      <c r="T33" s="6" t="s">
        <v>123</v>
      </c>
      <c r="U33" s="6" t="s">
        <v>123</v>
      </c>
      <c r="V33" s="6" t="n">
        <v>0</v>
      </c>
      <c r="W33" s="6" t="n">
        <v>0</v>
      </c>
      <c r="X33" s="6" t="n">
        <v>0.01</v>
      </c>
      <c r="Y33" s="6" t="n">
        <v>0</v>
      </c>
      <c r="Z33" s="6" t="n">
        <v>50</v>
      </c>
      <c r="AA33" s="6" t="n">
        <v>14</v>
      </c>
      <c r="AB33" s="6" t="n">
        <v>43</v>
      </c>
      <c r="AC33" s="6" t="n">
        <v>8</v>
      </c>
      <c r="AD33" s="6" t="n">
        <v>5.124</v>
      </c>
      <c r="AE33" s="6" t="s">
        <v>124</v>
      </c>
      <c r="AF33" s="6" t="s">
        <v>123</v>
      </c>
      <c r="AG33" s="6" t="s">
        <v>123</v>
      </c>
      <c r="AH33" s="6" t="s">
        <v>123</v>
      </c>
      <c r="AI33" s="6" t="s">
        <v>123</v>
      </c>
      <c r="AJ33" s="8"/>
      <c r="AK33" s="8"/>
      <c r="AL33" s="8"/>
      <c r="AM33" s="8"/>
      <c r="AN33" s="8"/>
      <c r="AO33" s="8"/>
      <c r="AP33" s="9" t="s">
        <v>1996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76.5" hidden="false" customHeight="true" outlineLevel="0" collapsed="false">
      <c r="A34" s="6" t="s">
        <v>1</v>
      </c>
      <c r="B34" s="6" t="n">
        <v>11</v>
      </c>
      <c r="C34" s="6" t="n">
        <v>102328877</v>
      </c>
      <c r="D34" s="6" t="s">
        <v>370</v>
      </c>
      <c r="E34" s="6" t="s">
        <v>371</v>
      </c>
      <c r="F34" s="6" t="s">
        <v>372</v>
      </c>
      <c r="G34" s="6" t="s">
        <v>123</v>
      </c>
      <c r="H34" s="6" t="s">
        <v>1997</v>
      </c>
      <c r="I34" s="6"/>
      <c r="J34" s="6" t="s">
        <v>123</v>
      </c>
      <c r="K34" s="6" t="s">
        <v>141</v>
      </c>
      <c r="L34" s="6" t="s">
        <v>1998</v>
      </c>
      <c r="M34" s="6" t="n">
        <v>1126</v>
      </c>
      <c r="N34" s="7" t="n">
        <v>0.0801</v>
      </c>
      <c r="O34" s="6" t="s">
        <v>1859</v>
      </c>
      <c r="P34" s="6" t="s">
        <v>123</v>
      </c>
      <c r="Q34" s="6" t="s">
        <v>123</v>
      </c>
      <c r="R34" s="6" t="s">
        <v>123</v>
      </c>
      <c r="S34" s="10" t="str">
        <f aca="false">HYPERLINK("https://www.ncbi.nlm.nih.gov/snp/rs760532659", "rs760532659")</f>
        <v>rs760532659</v>
      </c>
      <c r="T34" s="10" t="n">
        <f aca="false">HYPERLINK("https://gnomad.broadinstitute.org/variant/11-102328877-TATA-T?dataset=gnomad_r4", 0.00384173)</f>
        <v>0.00384173</v>
      </c>
      <c r="U34" s="10" t="n">
        <f aca="false">HYPERLINK("https://gnomad.broadinstitute.org/variant/11-102328877-TATA-T?dataset=gnomad_r4", 0.00919136)</f>
        <v>0.00919136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17</v>
      </c>
      <c r="AA34" s="6" t="n">
        <v>36</v>
      </c>
      <c r="AB34" s="6" t="n">
        <v>20</v>
      </c>
      <c r="AC34" s="6" t="n">
        <v>-44</v>
      </c>
      <c r="AD34" s="6" t="n">
        <v>0.229</v>
      </c>
      <c r="AE34" s="6" t="s">
        <v>124</v>
      </c>
      <c r="AF34" s="6" t="s">
        <v>123</v>
      </c>
      <c r="AG34" s="6" t="s">
        <v>123</v>
      </c>
      <c r="AH34" s="6" t="s">
        <v>123</v>
      </c>
      <c r="AI34" s="6" t="s">
        <v>123</v>
      </c>
      <c r="AJ34" s="8"/>
      <c r="AK34" s="8"/>
      <c r="AL34" s="8"/>
      <c r="AM34" s="8"/>
      <c r="AN34" s="8"/>
      <c r="AO34" s="8"/>
      <c r="AP34" s="9" t="s">
        <v>1999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76.5" hidden="false" customHeight="true" outlineLevel="0" collapsed="false">
      <c r="A35" s="6" t="s">
        <v>1</v>
      </c>
      <c r="B35" s="6" t="n">
        <v>11</v>
      </c>
      <c r="C35" s="6" t="n">
        <v>102328880</v>
      </c>
      <c r="D35" s="6" t="s">
        <v>370</v>
      </c>
      <c r="E35" s="6" t="s">
        <v>371</v>
      </c>
      <c r="F35" s="6" t="s">
        <v>372</v>
      </c>
      <c r="G35" s="6" t="s">
        <v>123</v>
      </c>
      <c r="H35" s="6" t="s">
        <v>2000</v>
      </c>
      <c r="I35" s="6"/>
      <c r="J35" s="6" t="s">
        <v>123</v>
      </c>
      <c r="K35" s="6" t="s">
        <v>127</v>
      </c>
      <c r="L35" s="6" t="s">
        <v>2001</v>
      </c>
      <c r="M35" s="6" t="n">
        <v>1170</v>
      </c>
      <c r="N35" s="7" t="n">
        <v>0.152</v>
      </c>
      <c r="O35" s="6" t="s">
        <v>1859</v>
      </c>
      <c r="P35" s="6" t="s">
        <v>123</v>
      </c>
      <c r="Q35" s="6" t="s">
        <v>123</v>
      </c>
      <c r="R35" s="6" t="s">
        <v>123</v>
      </c>
      <c r="S35" s="10" t="str">
        <f aca="false">HYPERLINK("https://www.ncbi.nlm.nih.gov/snp/rs762000514", "rs762000514")</f>
        <v>rs762000514</v>
      </c>
      <c r="T35" s="10" t="n">
        <f aca="false">HYPERLINK("https://gnomad.broadinstitute.org/variant/11-102328880-AT-A?dataset=gnomad_r4", 0.00560982)</f>
        <v>0.00560982</v>
      </c>
      <c r="U35" s="10" t="n">
        <f aca="false">HYPERLINK("https://gnomad.broadinstitute.org/variant/11-102328880-AT-A?dataset=gnomad_r4", 0.00271526)</f>
        <v>0.00271526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14</v>
      </c>
      <c r="AA35" s="6" t="n">
        <v>33</v>
      </c>
      <c r="AB35" s="6" t="n">
        <v>33</v>
      </c>
      <c r="AC35" s="6" t="n">
        <v>-47</v>
      </c>
      <c r="AD35" s="6" t="n">
        <v>0.04</v>
      </c>
      <c r="AE35" s="6" t="s">
        <v>124</v>
      </c>
      <c r="AF35" s="6" t="s">
        <v>123</v>
      </c>
      <c r="AG35" s="6" t="s">
        <v>123</v>
      </c>
      <c r="AH35" s="6" t="s">
        <v>123</v>
      </c>
      <c r="AI35" s="6" t="s">
        <v>123</v>
      </c>
      <c r="AJ35" s="8"/>
      <c r="AK35" s="8"/>
      <c r="AL35" s="8"/>
      <c r="AM35" s="8"/>
      <c r="AN35" s="8"/>
      <c r="AO35" s="8"/>
      <c r="AP35" s="9" t="s">
        <v>2002</v>
      </c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76.5" hidden="false" customHeight="true" outlineLevel="0" collapsed="false">
      <c r="A36" s="6" t="s">
        <v>1</v>
      </c>
      <c r="B36" s="6" t="n">
        <v>11</v>
      </c>
      <c r="C36" s="6" t="n">
        <v>102328882</v>
      </c>
      <c r="D36" s="6" t="s">
        <v>370</v>
      </c>
      <c r="E36" s="6" t="s">
        <v>371</v>
      </c>
      <c r="F36" s="6" t="s">
        <v>372</v>
      </c>
      <c r="G36" s="6" t="s">
        <v>123</v>
      </c>
      <c r="H36" s="6" t="s">
        <v>2003</v>
      </c>
      <c r="I36" s="6"/>
      <c r="J36" s="6" t="s">
        <v>123</v>
      </c>
      <c r="K36" s="6" t="s">
        <v>141</v>
      </c>
      <c r="L36" s="6" t="s">
        <v>2004</v>
      </c>
      <c r="M36" s="6" t="n">
        <v>1170</v>
      </c>
      <c r="N36" s="7" t="n">
        <v>0.0618</v>
      </c>
      <c r="O36" s="6" t="s">
        <v>1879</v>
      </c>
      <c r="P36" s="10" t="n">
        <f aca="false">HYPERLINK("https://www.ncbi.nlm.nih.gov/clinvar/variation/4366857", 4366857)</f>
        <v>4366857</v>
      </c>
      <c r="Q36" s="6" t="s">
        <v>123</v>
      </c>
      <c r="R36" s="6" t="s">
        <v>123</v>
      </c>
      <c r="S36" s="10" t="str">
        <f aca="false">HYPERLINK("https://www.ncbi.nlm.nih.gov/snp/rs201836037", "rs201836037")</f>
        <v>rs201836037</v>
      </c>
      <c r="T36" s="10" t="n">
        <f aca="false">HYPERLINK("https://gnomad.broadinstitute.org/variant/11-102328882-T-A?dataset=gnomad_r4", 0.00756667)</f>
        <v>0.00756667</v>
      </c>
      <c r="U36" s="10" t="n">
        <f aca="false">HYPERLINK("https://gnomad.broadinstitute.org/variant/11-102328882-T-A?dataset=gnomad_r4", 0.00389766)</f>
        <v>0.00389766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31</v>
      </c>
      <c r="AA36" s="6" t="n">
        <v>15</v>
      </c>
      <c r="AB36" s="6" t="n">
        <v>-49</v>
      </c>
      <c r="AC36" s="6" t="n">
        <v>5</v>
      </c>
      <c r="AD36" s="6" t="n">
        <v>1.88</v>
      </c>
      <c r="AE36" s="6" t="s">
        <v>124</v>
      </c>
      <c r="AF36" s="6" t="s">
        <v>123</v>
      </c>
      <c r="AG36" s="6" t="s">
        <v>123</v>
      </c>
      <c r="AH36" s="6" t="s">
        <v>123</v>
      </c>
      <c r="AI36" s="6" t="s">
        <v>123</v>
      </c>
      <c r="AJ36" s="8"/>
      <c r="AK36" s="8"/>
      <c r="AL36" s="8"/>
      <c r="AM36" s="8"/>
      <c r="AN36" s="8"/>
      <c r="AO36" s="8"/>
      <c r="AP36" s="9" t="s">
        <v>2005</v>
      </c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63.75" hidden="false" customHeight="true" outlineLevel="0" collapsed="false">
      <c r="A37" s="6" t="s">
        <v>1</v>
      </c>
      <c r="B37" s="6" t="n">
        <v>7</v>
      </c>
      <c r="C37" s="6" t="n">
        <v>140739941</v>
      </c>
      <c r="D37" s="6" t="s">
        <v>382</v>
      </c>
      <c r="E37" s="6" t="s">
        <v>383</v>
      </c>
      <c r="F37" s="6" t="s">
        <v>384</v>
      </c>
      <c r="G37" s="6" t="s">
        <v>2006</v>
      </c>
      <c r="H37" s="6" t="s">
        <v>2007</v>
      </c>
      <c r="I37" s="6" t="s">
        <v>2008</v>
      </c>
      <c r="J37" s="6" t="s">
        <v>2009</v>
      </c>
      <c r="K37" s="6" t="s">
        <v>1813</v>
      </c>
      <c r="L37" s="6" t="s">
        <v>2010</v>
      </c>
      <c r="M37" s="6" t="n">
        <v>4480</v>
      </c>
      <c r="N37" s="7" t="n">
        <v>0.0638</v>
      </c>
      <c r="O37" s="6"/>
      <c r="P37" s="6" t="s">
        <v>123</v>
      </c>
      <c r="Q37" s="6" t="s">
        <v>123</v>
      </c>
      <c r="R37" s="6" t="s">
        <v>123</v>
      </c>
      <c r="S37" s="6" t="s">
        <v>123</v>
      </c>
      <c r="T37" s="6" t="s">
        <v>123</v>
      </c>
      <c r="U37" s="6" t="s">
        <v>123</v>
      </c>
      <c r="V37" s="6" t="n">
        <v>0</v>
      </c>
      <c r="W37" s="6" t="n">
        <v>0</v>
      </c>
      <c r="X37" s="6" t="n">
        <v>0.03</v>
      </c>
      <c r="Y37" s="6" t="n">
        <v>0</v>
      </c>
      <c r="Z37" s="6" t="n">
        <v>5</v>
      </c>
      <c r="AA37" s="6" t="n">
        <v>-17</v>
      </c>
      <c r="AB37" s="6" t="n">
        <v>-42</v>
      </c>
      <c r="AC37" s="6" t="n">
        <v>39</v>
      </c>
      <c r="AD37" s="6" t="n">
        <v>10.69</v>
      </c>
      <c r="AE37" s="6" t="s">
        <v>124</v>
      </c>
      <c r="AF37" s="6" t="s">
        <v>123</v>
      </c>
      <c r="AG37" s="6" t="s">
        <v>123</v>
      </c>
      <c r="AH37" s="6" t="s">
        <v>123</v>
      </c>
      <c r="AI37" s="6" t="s">
        <v>123</v>
      </c>
      <c r="AJ37" s="8"/>
      <c r="AK37" s="8"/>
      <c r="AL37" s="8"/>
      <c r="AM37" s="8"/>
      <c r="AN37" s="8"/>
      <c r="AO37" s="8"/>
      <c r="AP37" s="9" t="s">
        <v>2011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76.5" hidden="false" customHeight="true" outlineLevel="0" collapsed="false">
      <c r="A38" s="6" t="s">
        <v>1</v>
      </c>
      <c r="B38" s="6" t="n">
        <v>7</v>
      </c>
      <c r="C38" s="6" t="n">
        <v>140734774</v>
      </c>
      <c r="D38" s="6" t="s">
        <v>382</v>
      </c>
      <c r="E38" s="6" t="s">
        <v>383</v>
      </c>
      <c r="F38" s="6" t="s">
        <v>384</v>
      </c>
      <c r="G38" s="6" t="s">
        <v>123</v>
      </c>
      <c r="H38" s="6" t="s">
        <v>2012</v>
      </c>
      <c r="I38" s="6"/>
      <c r="J38" s="6" t="s">
        <v>123</v>
      </c>
      <c r="K38" s="6" t="s">
        <v>127</v>
      </c>
      <c r="L38" s="6" t="s">
        <v>2013</v>
      </c>
      <c r="M38" s="6" t="n">
        <v>1847</v>
      </c>
      <c r="N38" s="7" t="n">
        <v>0.221</v>
      </c>
      <c r="O38" s="6" t="s">
        <v>1859</v>
      </c>
      <c r="P38" s="10" t="n">
        <f aca="false">HYPERLINK("https://www.ncbi.nlm.nih.gov/clinvar/variation/44821", 44821)</f>
        <v>44821</v>
      </c>
      <c r="Q38" s="6" t="s">
        <v>283</v>
      </c>
      <c r="R38" s="6" t="s">
        <v>2014</v>
      </c>
      <c r="S38" s="10" t="str">
        <f aca="false">HYPERLINK("https://www.ncbi.nlm.nih.gov/snp/rs373442098", "rs373442098")</f>
        <v>rs373442098</v>
      </c>
      <c r="T38" s="10" t="n">
        <f aca="false">HYPERLINK("https://gnomad.broadinstitute.org/variant/7-140734774-CA-C?dataset=gnomad_r4", 0.0118059)</f>
        <v>0.0118059</v>
      </c>
      <c r="U38" s="10" t="n">
        <f aca="false">HYPERLINK("https://gnomad.broadinstitute.org/variant/7-140734774-CA-C?dataset=gnomad_r4", 0.0353472)</f>
        <v>0.0353472</v>
      </c>
      <c r="V38" s="6" t="n">
        <v>0</v>
      </c>
      <c r="W38" s="6" t="n">
        <v>0.01</v>
      </c>
      <c r="X38" s="6" t="n">
        <v>0</v>
      </c>
      <c r="Y38" s="6" t="n">
        <v>0</v>
      </c>
      <c r="Z38" s="6" t="n">
        <v>19</v>
      </c>
      <c r="AA38" s="6" t="n">
        <v>-4</v>
      </c>
      <c r="AB38" s="6" t="n">
        <v>-4</v>
      </c>
      <c r="AC38" s="6" t="n">
        <v>27</v>
      </c>
      <c r="AD38" s="6" t="n">
        <v>6.962</v>
      </c>
      <c r="AE38" s="6" t="s">
        <v>2015</v>
      </c>
      <c r="AF38" s="6" t="s">
        <v>123</v>
      </c>
      <c r="AG38" s="6" t="s">
        <v>123</v>
      </c>
      <c r="AH38" s="6" t="s">
        <v>123</v>
      </c>
      <c r="AI38" s="6" t="s">
        <v>123</v>
      </c>
      <c r="AJ38" s="8"/>
      <c r="AK38" s="8"/>
      <c r="AL38" s="8"/>
      <c r="AM38" s="8"/>
      <c r="AN38" s="8"/>
      <c r="AO38" s="8"/>
      <c r="AP38" s="9" t="s">
        <v>2016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63.75" hidden="false" customHeight="true" outlineLevel="0" collapsed="false">
      <c r="A39" s="6" t="s">
        <v>1</v>
      </c>
      <c r="B39" s="6" t="s">
        <v>145</v>
      </c>
      <c r="C39" s="6" t="n">
        <v>101374539</v>
      </c>
      <c r="D39" s="6" t="s">
        <v>2017</v>
      </c>
      <c r="E39" s="6" t="s">
        <v>1291</v>
      </c>
      <c r="F39" s="6" t="s">
        <v>2018</v>
      </c>
      <c r="G39" s="6" t="s">
        <v>2019</v>
      </c>
      <c r="H39" s="6" t="s">
        <v>2020</v>
      </c>
      <c r="I39" s="6" t="s">
        <v>2021</v>
      </c>
      <c r="J39" s="6" t="s">
        <v>2022</v>
      </c>
      <c r="K39" s="6" t="s">
        <v>1813</v>
      </c>
      <c r="L39" s="6" t="s">
        <v>2023</v>
      </c>
      <c r="M39" s="6" t="n">
        <v>2591</v>
      </c>
      <c r="N39" s="7" t="n">
        <v>0.357</v>
      </c>
      <c r="O39" s="6"/>
      <c r="P39" s="6" t="s">
        <v>123</v>
      </c>
      <c r="Q39" s="6" t="s">
        <v>123</v>
      </c>
      <c r="R39" s="6" t="s">
        <v>123</v>
      </c>
      <c r="S39" s="6" t="s">
        <v>123</v>
      </c>
      <c r="T39" s="6" t="s">
        <v>123</v>
      </c>
      <c r="U39" s="6" t="s">
        <v>123</v>
      </c>
      <c r="V39" s="6" t="n">
        <v>0</v>
      </c>
      <c r="W39" s="6" t="n">
        <v>0</v>
      </c>
      <c r="X39" s="6" t="n">
        <v>0</v>
      </c>
      <c r="Y39" s="6" t="n">
        <v>0.01</v>
      </c>
      <c r="Z39" s="6" t="n">
        <v>10</v>
      </c>
      <c r="AA39" s="6" t="n">
        <v>2</v>
      </c>
      <c r="AB39" s="6" t="n">
        <v>0</v>
      </c>
      <c r="AC39" s="6" t="n">
        <v>-3</v>
      </c>
      <c r="AD39" s="6" t="n">
        <v>12.91</v>
      </c>
      <c r="AE39" s="6" t="s">
        <v>124</v>
      </c>
      <c r="AF39" s="6" t="s">
        <v>123</v>
      </c>
      <c r="AG39" s="6" t="s">
        <v>123</v>
      </c>
      <c r="AH39" s="6" t="s">
        <v>123</v>
      </c>
      <c r="AI39" s="6" t="s">
        <v>123</v>
      </c>
      <c r="AJ39" s="8"/>
      <c r="AK39" s="8"/>
      <c r="AL39" s="8"/>
      <c r="AM39" s="8"/>
      <c r="AN39" s="8"/>
      <c r="AO39" s="8"/>
      <c r="AP39" s="9" t="s">
        <v>2024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76.5" hidden="false" customHeight="true" outlineLevel="0" collapsed="false">
      <c r="A40" s="6" t="s">
        <v>1</v>
      </c>
      <c r="B40" s="6" t="n">
        <v>7</v>
      </c>
      <c r="C40" s="6" t="n">
        <v>2926810</v>
      </c>
      <c r="D40" s="6" t="s">
        <v>447</v>
      </c>
      <c r="E40" s="6" t="s">
        <v>448</v>
      </c>
      <c r="F40" s="6" t="s">
        <v>449</v>
      </c>
      <c r="G40" s="6" t="s">
        <v>123</v>
      </c>
      <c r="H40" s="6" t="s">
        <v>2025</v>
      </c>
      <c r="I40" s="6"/>
      <c r="J40" s="6" t="s">
        <v>123</v>
      </c>
      <c r="K40" s="6" t="s">
        <v>141</v>
      </c>
      <c r="L40" s="6" t="s">
        <v>2026</v>
      </c>
      <c r="M40" s="6" t="n">
        <v>4220</v>
      </c>
      <c r="N40" s="7" t="n">
        <v>0.298</v>
      </c>
      <c r="O40" s="6" t="s">
        <v>1879</v>
      </c>
      <c r="P40" s="10" t="n">
        <f aca="false">HYPERLINK("https://www.ncbi.nlm.nih.gov/clinvar/variation/1168345", 1168345)</f>
        <v>1168345</v>
      </c>
      <c r="Q40" s="6" t="s">
        <v>418</v>
      </c>
      <c r="R40" s="6" t="s">
        <v>2027</v>
      </c>
      <c r="S40" s="10" t="str">
        <f aca="false">HYPERLINK("https://www.ncbi.nlm.nih.gov/snp/rs145380018", "rs145380018")</f>
        <v>rs145380018</v>
      </c>
      <c r="T40" s="10" t="n">
        <f aca="false">HYPERLINK("https://gnomad.broadinstitute.org/variant/7-2926810-GT-G?dataset=gnomad_r4", 0.0960439)</f>
        <v>0.0960439</v>
      </c>
      <c r="U40" s="10" t="n">
        <f aca="false">HYPERLINK("https://gnomad.broadinstitute.org/variant/7-2926810-GT-G?dataset=gnomad_r4", 0.0330118)</f>
        <v>0.0330118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-19</v>
      </c>
      <c r="AA40" s="6" t="n">
        <v>-24</v>
      </c>
      <c r="AB40" s="6" t="n">
        <v>-48</v>
      </c>
      <c r="AC40" s="6" t="n">
        <v>-24</v>
      </c>
      <c r="AD40" s="6" t="n">
        <v>0.05</v>
      </c>
      <c r="AE40" s="6" t="s">
        <v>124</v>
      </c>
      <c r="AF40" s="6" t="s">
        <v>123</v>
      </c>
      <c r="AG40" s="6" t="s">
        <v>123</v>
      </c>
      <c r="AH40" s="6" t="s">
        <v>123</v>
      </c>
      <c r="AI40" s="6" t="s">
        <v>123</v>
      </c>
      <c r="AJ40" s="8"/>
      <c r="AK40" s="8"/>
      <c r="AL40" s="8"/>
      <c r="AM40" s="8"/>
      <c r="AN40" s="8"/>
      <c r="AO40" s="8"/>
      <c r="AP40" s="9" t="s">
        <v>2028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76.5" hidden="false" customHeight="true" outlineLevel="0" collapsed="false">
      <c r="A41" s="6" t="s">
        <v>1</v>
      </c>
      <c r="B41" s="6" t="n">
        <v>7</v>
      </c>
      <c r="C41" s="6" t="n">
        <v>2934531</v>
      </c>
      <c r="D41" s="6" t="s">
        <v>447</v>
      </c>
      <c r="E41" s="6" t="s">
        <v>448</v>
      </c>
      <c r="F41" s="6" t="s">
        <v>449</v>
      </c>
      <c r="G41" s="6" t="s">
        <v>2029</v>
      </c>
      <c r="H41" s="6" t="s">
        <v>2030</v>
      </c>
      <c r="I41" s="6" t="s">
        <v>2031</v>
      </c>
      <c r="J41" s="6" t="s">
        <v>2032</v>
      </c>
      <c r="K41" s="6" t="s">
        <v>1813</v>
      </c>
      <c r="L41" s="6" t="s">
        <v>2033</v>
      </c>
      <c r="M41" s="6" t="n">
        <v>5915</v>
      </c>
      <c r="N41" s="7" t="n">
        <v>0.0572</v>
      </c>
      <c r="O41" s="6"/>
      <c r="P41" s="10" t="n">
        <f aca="false">HYPERLINK("https://www.ncbi.nlm.nih.gov/clinvar/variation/473928", 473928)</f>
        <v>473928</v>
      </c>
      <c r="Q41" s="6" t="s">
        <v>418</v>
      </c>
      <c r="R41" s="6" t="s">
        <v>2034</v>
      </c>
      <c r="S41" s="10" t="str">
        <f aca="false">HYPERLINK("https://www.ncbi.nlm.nih.gov/snp/rs41396348", "rs41396348")</f>
        <v>rs41396348</v>
      </c>
      <c r="T41" s="10" t="n">
        <f aca="false">HYPERLINK("https://gnomad.broadinstitute.org/variant/7-2934531-C-T?dataset=gnomad_r4", 0.0640819)</f>
        <v>0.0640819</v>
      </c>
      <c r="U41" s="10" t="n">
        <f aca="false">HYPERLINK("https://gnomad.broadinstitute.org/variant/7-2934531-C-T?dataset=gnomad_r4", 0.00679615)</f>
        <v>0.00679615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-2</v>
      </c>
      <c r="AA41" s="6" t="n">
        <v>-4</v>
      </c>
      <c r="AB41" s="6" t="n">
        <v>29</v>
      </c>
      <c r="AC41" s="6" t="n">
        <v>-23</v>
      </c>
      <c r="AD41" s="6" t="n">
        <v>0.224</v>
      </c>
      <c r="AE41" s="6" t="s">
        <v>1033</v>
      </c>
      <c r="AF41" s="6" t="s">
        <v>123</v>
      </c>
      <c r="AG41" s="6" t="s">
        <v>123</v>
      </c>
      <c r="AH41" s="6" t="s">
        <v>123</v>
      </c>
      <c r="AI41" s="6" t="s">
        <v>123</v>
      </c>
      <c r="AJ41" s="8"/>
      <c r="AK41" s="8"/>
      <c r="AL41" s="8"/>
      <c r="AM41" s="8"/>
      <c r="AN41" s="8"/>
      <c r="AO41" s="8"/>
      <c r="AP41" s="9" t="s">
        <v>2035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76.5" hidden="false" customHeight="true" outlineLevel="0" collapsed="false">
      <c r="A42" s="6" t="s">
        <v>1</v>
      </c>
      <c r="B42" s="6" t="n">
        <v>7</v>
      </c>
      <c r="C42" s="6" t="n">
        <v>2924250</v>
      </c>
      <c r="D42" s="6" t="s">
        <v>447</v>
      </c>
      <c r="E42" s="6" t="s">
        <v>448</v>
      </c>
      <c r="F42" s="6" t="s">
        <v>449</v>
      </c>
      <c r="G42" s="6" t="s">
        <v>2036</v>
      </c>
      <c r="H42" s="6" t="s">
        <v>2037</v>
      </c>
      <c r="I42" s="6" t="s">
        <v>2038</v>
      </c>
      <c r="J42" s="6" t="s">
        <v>2039</v>
      </c>
      <c r="K42" s="6" t="s">
        <v>1813</v>
      </c>
      <c r="L42" s="6" t="s">
        <v>2040</v>
      </c>
      <c r="M42" s="6" t="n">
        <v>4658</v>
      </c>
      <c r="N42" s="7" t="n">
        <v>0.0434</v>
      </c>
      <c r="O42" s="6"/>
      <c r="P42" s="10" t="n">
        <f aca="false">HYPERLINK("https://www.ncbi.nlm.nih.gov/clinvar/variation/791707", 791707)</f>
        <v>791707</v>
      </c>
      <c r="Q42" s="6" t="s">
        <v>283</v>
      </c>
      <c r="R42" s="6" t="s">
        <v>2041</v>
      </c>
      <c r="S42" s="10" t="str">
        <f aca="false">HYPERLINK("https://www.ncbi.nlm.nih.gov/snp/rs41405944", "rs41405944")</f>
        <v>rs41405944</v>
      </c>
      <c r="T42" s="10" t="n">
        <f aca="false">HYPERLINK("https://gnomad.broadinstitute.org/variant/7-2924250-C-T?dataset=gnomad_r4", 0.0072478)</f>
        <v>0.0072478</v>
      </c>
      <c r="U42" s="10" t="n">
        <f aca="false">HYPERLINK("https://gnomad.broadinstitute.org/variant/7-2924250-C-T?dataset=gnomad_r4", 0.000682013)</f>
        <v>0.000682013</v>
      </c>
      <c r="V42" s="6" t="n">
        <v>0</v>
      </c>
      <c r="W42" s="6" t="n">
        <v>0</v>
      </c>
      <c r="X42" s="6" t="n">
        <v>0.12</v>
      </c>
      <c r="Y42" s="6" t="n">
        <v>0</v>
      </c>
      <c r="Z42" s="6" t="n">
        <v>18</v>
      </c>
      <c r="AA42" s="6" t="n">
        <v>44</v>
      </c>
      <c r="AB42" s="6" t="n">
        <v>18</v>
      </c>
      <c r="AC42" s="6" t="n">
        <v>-17</v>
      </c>
      <c r="AD42" s="6" t="n">
        <v>9.919</v>
      </c>
      <c r="AE42" s="6" t="s">
        <v>124</v>
      </c>
      <c r="AF42" s="6" t="s">
        <v>123</v>
      </c>
      <c r="AG42" s="6" t="s">
        <v>123</v>
      </c>
      <c r="AH42" s="6" t="s">
        <v>123</v>
      </c>
      <c r="AI42" s="6" t="s">
        <v>123</v>
      </c>
      <c r="AJ42" s="8"/>
      <c r="AK42" s="8"/>
      <c r="AL42" s="8"/>
      <c r="AM42" s="8"/>
      <c r="AN42" s="8"/>
      <c r="AO42" s="8"/>
      <c r="AP42" s="9" t="s">
        <v>2042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76.5" hidden="false" customHeight="true" outlineLevel="0" collapsed="false">
      <c r="A43" s="6" t="s">
        <v>1</v>
      </c>
      <c r="B43" s="6" t="n">
        <v>11</v>
      </c>
      <c r="C43" s="6" t="n">
        <v>119206522</v>
      </c>
      <c r="D43" s="6" t="s">
        <v>2043</v>
      </c>
      <c r="E43" s="6" t="s">
        <v>6</v>
      </c>
      <c r="F43" s="6" t="s">
        <v>2044</v>
      </c>
      <c r="G43" s="6" t="s">
        <v>1675</v>
      </c>
      <c r="H43" s="6" t="s">
        <v>2045</v>
      </c>
      <c r="I43" s="6" t="s">
        <v>2046</v>
      </c>
      <c r="J43" s="6" t="s">
        <v>2047</v>
      </c>
      <c r="K43" s="6" t="s">
        <v>326</v>
      </c>
      <c r="L43" s="6" t="s">
        <v>2048</v>
      </c>
      <c r="M43" s="6" t="n">
        <v>4415</v>
      </c>
      <c r="N43" s="7" t="n">
        <v>0.0376</v>
      </c>
      <c r="O43" s="6" t="s">
        <v>1958</v>
      </c>
      <c r="P43" s="10" t="n">
        <f aca="false">HYPERLINK("https://www.ncbi.nlm.nih.gov/clinvar/variation/180808", 180808)</f>
        <v>180808</v>
      </c>
      <c r="Q43" s="6" t="s">
        <v>409</v>
      </c>
      <c r="R43" s="6" t="s">
        <v>2049</v>
      </c>
      <c r="S43" s="10" t="str">
        <f aca="false">HYPERLINK("https://www.ncbi.nlm.nih.gov/snp/rs373212940", "rs373212940")</f>
        <v>rs373212940</v>
      </c>
      <c r="T43" s="10" t="n">
        <f aca="false">HYPERLINK("https://gnomad.broadinstitute.org/variant/11-119206522-GCAC-G?dataset=gnomad_r4", 0.00000658597)</f>
        <v>6.58597E-006</v>
      </c>
      <c r="U43" s="10" t="n">
        <f aca="false">HYPERLINK("https://gnomad.broadinstitute.org/variant/11-119206522-GCAC-G?dataset=gnomad_r4", 0.0000995261)</f>
        <v>9.95261E-005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-44</v>
      </c>
      <c r="AA43" s="6" t="n">
        <v>27</v>
      </c>
      <c r="AB43" s="6" t="n">
        <v>-44</v>
      </c>
      <c r="AC43" s="6" t="n">
        <v>-1</v>
      </c>
      <c r="AD43" s="6" t="n">
        <v>16.67</v>
      </c>
      <c r="AE43" s="6" t="s">
        <v>2050</v>
      </c>
      <c r="AF43" s="6" t="s">
        <v>123</v>
      </c>
      <c r="AG43" s="6" t="s">
        <v>123</v>
      </c>
      <c r="AH43" s="6" t="s">
        <v>123</v>
      </c>
      <c r="AI43" s="6" t="s">
        <v>123</v>
      </c>
      <c r="AJ43" s="8"/>
      <c r="AK43" s="8"/>
      <c r="AL43" s="8"/>
      <c r="AM43" s="8"/>
      <c r="AN43" s="8"/>
      <c r="AO43" s="8"/>
      <c r="AP43" s="9" t="s">
        <v>2051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76.5" hidden="false" customHeight="true" outlineLevel="0" collapsed="false">
      <c r="A44" s="6" t="s">
        <v>1</v>
      </c>
      <c r="B44" s="6" t="n">
        <v>11</v>
      </c>
      <c r="C44" s="6" t="n">
        <v>119278645</v>
      </c>
      <c r="D44" s="6" t="s">
        <v>2043</v>
      </c>
      <c r="E44" s="6" t="s">
        <v>6</v>
      </c>
      <c r="F44" s="6" t="s">
        <v>2044</v>
      </c>
      <c r="G44" s="6" t="s">
        <v>149</v>
      </c>
      <c r="H44" s="6" t="s">
        <v>2052</v>
      </c>
      <c r="I44" s="6" t="s">
        <v>2053</v>
      </c>
      <c r="J44" s="6" t="s">
        <v>2054</v>
      </c>
      <c r="K44" s="6" t="s">
        <v>2055</v>
      </c>
      <c r="L44" s="6" t="s">
        <v>2056</v>
      </c>
      <c r="M44" s="6" t="n">
        <v>3895</v>
      </c>
      <c r="N44" s="7" t="n">
        <v>0.031</v>
      </c>
      <c r="O44" s="6" t="s">
        <v>1845</v>
      </c>
      <c r="P44" s="10" t="n">
        <f aca="false">HYPERLINK("https://www.ncbi.nlm.nih.gov/clinvar/variation/570415", 570415)</f>
        <v>570415</v>
      </c>
      <c r="Q44" s="6" t="s">
        <v>253</v>
      </c>
      <c r="R44" s="6" t="s">
        <v>2057</v>
      </c>
      <c r="S44" s="10" t="str">
        <f aca="false">HYPERLINK("https://www.ncbi.nlm.nih.gov/snp/rs397507494", "rs397507494")</f>
        <v>rs397507494</v>
      </c>
      <c r="T44" s="6" t="s">
        <v>123</v>
      </c>
      <c r="U44" s="10" t="n">
        <f aca="false">HYPERLINK("https://gnomad.broadinstitute.org/variant/11-119278645-TATG-T?dataset=gnomad_r4", 0.0000557733)</f>
        <v>5.57733E-005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25</v>
      </c>
      <c r="AA44" s="6" t="n">
        <v>-50</v>
      </c>
      <c r="AB44" s="6" t="n">
        <v>6</v>
      </c>
      <c r="AC44" s="6" t="n">
        <v>-32</v>
      </c>
      <c r="AD44" s="6" t="n">
        <v>20.5</v>
      </c>
      <c r="AE44" s="6" t="s">
        <v>2058</v>
      </c>
      <c r="AF44" s="6" t="s">
        <v>123</v>
      </c>
      <c r="AG44" s="6" t="s">
        <v>123</v>
      </c>
      <c r="AH44" s="6" t="s">
        <v>123</v>
      </c>
      <c r="AI44" s="6" t="s">
        <v>123</v>
      </c>
      <c r="AJ44" s="8"/>
      <c r="AK44" s="8"/>
      <c r="AL44" s="8"/>
      <c r="AM44" s="8"/>
      <c r="AN44" s="8"/>
      <c r="AO44" s="8"/>
      <c r="AP44" s="9" t="s">
        <v>2059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76.5" hidden="false" customHeight="true" outlineLevel="0" collapsed="false">
      <c r="A45" s="6" t="s">
        <v>1</v>
      </c>
      <c r="B45" s="6" t="n">
        <v>19</v>
      </c>
      <c r="C45" s="6" t="n">
        <v>33301848</v>
      </c>
      <c r="D45" s="6" t="s">
        <v>2060</v>
      </c>
      <c r="E45" s="6" t="s">
        <v>6</v>
      </c>
      <c r="F45" s="6" t="s">
        <v>2061</v>
      </c>
      <c r="G45" s="6" t="s">
        <v>2062</v>
      </c>
      <c r="H45" s="6" t="s">
        <v>2063</v>
      </c>
      <c r="I45" s="6" t="s">
        <v>2064</v>
      </c>
      <c r="J45" s="6" t="s">
        <v>2065</v>
      </c>
      <c r="K45" s="6" t="s">
        <v>326</v>
      </c>
      <c r="L45" s="6" t="s">
        <v>2066</v>
      </c>
      <c r="M45" s="6" t="n">
        <v>2037</v>
      </c>
      <c r="N45" s="7" t="n">
        <v>0.0531</v>
      </c>
      <c r="O45" s="6" t="s">
        <v>1845</v>
      </c>
      <c r="P45" s="10" t="n">
        <f aca="false">HYPERLINK("https://www.ncbi.nlm.nih.gov/clinvar/variation/641289", 641289)</f>
        <v>641289</v>
      </c>
      <c r="Q45" s="6" t="s">
        <v>409</v>
      </c>
      <c r="R45" s="6" t="s">
        <v>2067</v>
      </c>
      <c r="S45" s="10" t="str">
        <f aca="false">HYPERLINK("https://www.ncbi.nlm.nih.gov/snp/rs746430067", "rs746430067")</f>
        <v>rs746430067</v>
      </c>
      <c r="T45" s="10" t="n">
        <f aca="false">HYPERLINK("https://gnomad.broadinstitute.org/variant/19-33301848-GGGC-G?dataset=gnomad_r4", 0.0000270168)</f>
        <v>2.70168E-005</v>
      </c>
      <c r="U45" s="10" t="n">
        <f aca="false">HYPERLINK("https://gnomad.broadinstitute.org/variant/19-33301848-GGGC-G?dataset=gnomad_r4", 0.00203479)</f>
        <v>0.00203479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20</v>
      </c>
      <c r="AA45" s="6" t="n">
        <v>37</v>
      </c>
      <c r="AB45" s="6" t="n">
        <v>-44</v>
      </c>
      <c r="AC45" s="6" t="n">
        <v>-14</v>
      </c>
      <c r="AD45" s="6" t="n">
        <v>16.09</v>
      </c>
      <c r="AE45" s="6" t="s">
        <v>2068</v>
      </c>
      <c r="AF45" s="6" t="s">
        <v>123</v>
      </c>
      <c r="AG45" s="6" t="s">
        <v>123</v>
      </c>
      <c r="AH45" s="6" t="s">
        <v>123</v>
      </c>
      <c r="AI45" s="6" t="s">
        <v>123</v>
      </c>
      <c r="AJ45" s="8"/>
      <c r="AK45" s="8"/>
      <c r="AL45" s="8"/>
      <c r="AM45" s="8"/>
      <c r="AN45" s="8"/>
      <c r="AO45" s="8"/>
      <c r="AP45" s="9" t="s">
        <v>2069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76.5" hidden="false" customHeight="true" outlineLevel="0" collapsed="false">
      <c r="A46" s="6" t="s">
        <v>1</v>
      </c>
      <c r="B46" s="6" t="n">
        <v>16</v>
      </c>
      <c r="C46" s="6" t="n">
        <v>3850825</v>
      </c>
      <c r="D46" s="6" t="s">
        <v>460</v>
      </c>
      <c r="E46" s="6" t="s">
        <v>461</v>
      </c>
      <c r="F46" s="6" t="s">
        <v>462</v>
      </c>
      <c r="G46" s="6" t="s">
        <v>2070</v>
      </c>
      <c r="H46" s="6" t="s">
        <v>2071</v>
      </c>
      <c r="I46" s="6" t="s">
        <v>2072</v>
      </c>
      <c r="J46" s="6" t="s">
        <v>2073</v>
      </c>
      <c r="K46" s="6" t="s">
        <v>1813</v>
      </c>
      <c r="L46" s="6" t="s">
        <v>2074</v>
      </c>
      <c r="M46" s="6" t="n">
        <v>4274</v>
      </c>
      <c r="N46" s="7" t="n">
        <v>0.102</v>
      </c>
      <c r="O46" s="6" t="s">
        <v>1879</v>
      </c>
      <c r="P46" s="10" t="n">
        <f aca="false">HYPERLINK("https://www.ncbi.nlm.nih.gov/clinvar/variation/1946552", 1946552)</f>
        <v>1946552</v>
      </c>
      <c r="Q46" s="6" t="s">
        <v>418</v>
      </c>
      <c r="R46" s="6" t="s">
        <v>2075</v>
      </c>
      <c r="S46" s="10" t="str">
        <f aca="false">HYPERLINK("https://www.ncbi.nlm.nih.gov/snp/rs748030826", "rs748030826")</f>
        <v>rs748030826</v>
      </c>
      <c r="T46" s="10" t="n">
        <f aca="false">HYPERLINK("https://gnomad.broadinstitute.org/variant/16-3850825-G-A?dataset=gnomad_r4", 0.00000657333)</f>
        <v>6.57333E-006</v>
      </c>
      <c r="U46" s="10" t="n">
        <f aca="false">HYPERLINK("https://gnomad.broadinstitute.org/variant/16-3850825-G-A?dataset=gnomad_r4", 0.00000615665)</f>
        <v>6.15665E-006</v>
      </c>
      <c r="V46" s="6" t="n">
        <v>0</v>
      </c>
      <c r="W46" s="6" t="n">
        <v>0</v>
      </c>
      <c r="X46" s="6" t="n">
        <v>0.4</v>
      </c>
      <c r="Y46" s="6" t="n">
        <v>0</v>
      </c>
      <c r="Z46" s="6" t="n">
        <v>43</v>
      </c>
      <c r="AA46" s="6" t="n">
        <v>6</v>
      </c>
      <c r="AB46" s="6" t="n">
        <v>6</v>
      </c>
      <c r="AC46" s="6" t="n">
        <v>29</v>
      </c>
      <c r="AD46" s="6" t="n">
        <v>9.442</v>
      </c>
      <c r="AE46" s="6" t="s">
        <v>124</v>
      </c>
      <c r="AF46" s="6" t="s">
        <v>123</v>
      </c>
      <c r="AG46" s="6" t="s">
        <v>123</v>
      </c>
      <c r="AH46" s="6" t="s">
        <v>123</v>
      </c>
      <c r="AI46" s="6" t="s">
        <v>123</v>
      </c>
      <c r="AJ46" s="8"/>
      <c r="AK46" s="8"/>
      <c r="AL46" s="8"/>
      <c r="AM46" s="8"/>
      <c r="AN46" s="8"/>
      <c r="AO46" s="8"/>
      <c r="AP46" s="9" t="s">
        <v>2076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76.5" hidden="false" customHeight="true" outlineLevel="0" collapsed="false">
      <c r="A47" s="6" t="s">
        <v>1</v>
      </c>
      <c r="B47" s="6" t="n">
        <v>16</v>
      </c>
      <c r="C47" s="6" t="n">
        <v>3731465</v>
      </c>
      <c r="D47" s="6" t="s">
        <v>460</v>
      </c>
      <c r="E47" s="6" t="s">
        <v>461</v>
      </c>
      <c r="F47" s="6" t="s">
        <v>462</v>
      </c>
      <c r="G47" s="6" t="s">
        <v>2077</v>
      </c>
      <c r="H47" s="6" t="s">
        <v>2078</v>
      </c>
      <c r="I47" s="6" t="s">
        <v>2079</v>
      </c>
      <c r="J47" s="6" t="s">
        <v>2080</v>
      </c>
      <c r="K47" s="6" t="s">
        <v>1813</v>
      </c>
      <c r="L47" s="6" t="s">
        <v>2081</v>
      </c>
      <c r="M47" s="6" t="n">
        <v>3179</v>
      </c>
      <c r="N47" s="7" t="n">
        <v>0.0746</v>
      </c>
      <c r="O47" s="6" t="s">
        <v>1879</v>
      </c>
      <c r="P47" s="10" t="n">
        <f aca="false">HYPERLINK("https://www.ncbi.nlm.nih.gov/clinvar/variation/2061618", 2061618)</f>
        <v>2061618</v>
      </c>
      <c r="Q47" s="6" t="s">
        <v>215</v>
      </c>
      <c r="R47" s="6" t="s">
        <v>2082</v>
      </c>
      <c r="S47" s="10" t="str">
        <f aca="false">HYPERLINK("https://www.ncbi.nlm.nih.gov/snp/rs750086197", "rs750086197")</f>
        <v>rs750086197</v>
      </c>
      <c r="T47" s="10" t="n">
        <f aca="false">HYPERLINK("https://gnomad.broadinstitute.org/variant/16-3731465-G-A?dataset=gnomad_r4", 0.0000131401)</f>
        <v>1.31401E-005</v>
      </c>
      <c r="U47" s="10" t="n">
        <f aca="false">HYPERLINK("https://gnomad.broadinstitute.org/variant/16-3731465-G-A?dataset=gnomad_r4", 0.0000132403)</f>
        <v>1.32403E-005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8</v>
      </c>
      <c r="AA47" s="6" t="n">
        <v>4</v>
      </c>
      <c r="AB47" s="6" t="n">
        <v>9</v>
      </c>
      <c r="AC47" s="6" t="n">
        <v>-24</v>
      </c>
      <c r="AD47" s="6" t="n">
        <v>7.128</v>
      </c>
      <c r="AE47" s="6" t="s">
        <v>124</v>
      </c>
      <c r="AF47" s="6" t="s">
        <v>123</v>
      </c>
      <c r="AG47" s="6" t="s">
        <v>123</v>
      </c>
      <c r="AH47" s="6" t="s">
        <v>123</v>
      </c>
      <c r="AI47" s="6" t="s">
        <v>123</v>
      </c>
      <c r="AJ47" s="8"/>
      <c r="AK47" s="8"/>
      <c r="AL47" s="8"/>
      <c r="AM47" s="8"/>
      <c r="AN47" s="8"/>
      <c r="AO47" s="8"/>
      <c r="AP47" s="9" t="s">
        <v>2083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76.5" hidden="false" customHeight="true" outlineLevel="0" collapsed="false">
      <c r="A48" s="6" t="s">
        <v>1</v>
      </c>
      <c r="B48" s="6" t="n">
        <v>16</v>
      </c>
      <c r="C48" s="6" t="n">
        <v>3850762</v>
      </c>
      <c r="D48" s="6" t="s">
        <v>460</v>
      </c>
      <c r="E48" s="6" t="s">
        <v>461</v>
      </c>
      <c r="F48" s="6" t="s">
        <v>462</v>
      </c>
      <c r="G48" s="6" t="s">
        <v>2070</v>
      </c>
      <c r="H48" s="6" t="s">
        <v>2084</v>
      </c>
      <c r="I48" s="6" t="s">
        <v>2085</v>
      </c>
      <c r="J48" s="6" t="s">
        <v>2086</v>
      </c>
      <c r="K48" s="6" t="s">
        <v>1813</v>
      </c>
      <c r="L48" s="6" t="s">
        <v>2087</v>
      </c>
      <c r="M48" s="6" t="n">
        <v>4829</v>
      </c>
      <c r="N48" s="7" t="n">
        <v>0.0703</v>
      </c>
      <c r="O48" s="6" t="s">
        <v>1879</v>
      </c>
      <c r="P48" s="10" t="n">
        <f aca="false">HYPERLINK("https://www.ncbi.nlm.nih.gov/clinvar/variation/95044", 95044)</f>
        <v>95044</v>
      </c>
      <c r="Q48" s="6" t="s">
        <v>283</v>
      </c>
      <c r="R48" s="6" t="s">
        <v>2088</v>
      </c>
      <c r="S48" s="10" t="str">
        <f aca="false">HYPERLINK("https://www.ncbi.nlm.nih.gov/snp/rs150229705", "rs150229705")</f>
        <v>rs150229705</v>
      </c>
      <c r="T48" s="10" t="n">
        <f aca="false">HYPERLINK("https://gnomad.broadinstitute.org/variant/16-3850762-G-A?dataset=gnomad_r4", 0.00290797)</f>
        <v>0.00290797</v>
      </c>
      <c r="U48" s="10" t="n">
        <f aca="false">HYPERLINK("https://gnomad.broadinstitute.org/variant/16-3850762-G-A?dataset=gnomad_r4", 0.000290747)</f>
        <v>0.000290747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-9</v>
      </c>
      <c r="AA48" s="6" t="n">
        <v>-15</v>
      </c>
      <c r="AB48" s="6" t="n">
        <v>8</v>
      </c>
      <c r="AC48" s="6" t="n">
        <v>-22</v>
      </c>
      <c r="AD48" s="6" t="n">
        <v>2.076</v>
      </c>
      <c r="AE48" s="6" t="s">
        <v>611</v>
      </c>
      <c r="AF48" s="6" t="s">
        <v>123</v>
      </c>
      <c r="AG48" s="6" t="s">
        <v>123</v>
      </c>
      <c r="AH48" s="6" t="s">
        <v>123</v>
      </c>
      <c r="AI48" s="6" t="s">
        <v>123</v>
      </c>
      <c r="AJ48" s="8"/>
      <c r="AK48" s="8"/>
      <c r="AL48" s="8"/>
      <c r="AM48" s="8"/>
      <c r="AN48" s="8"/>
      <c r="AO48" s="8"/>
      <c r="AP48" s="9" t="s">
        <v>2089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76.5" hidden="false" customHeight="true" outlineLevel="0" collapsed="false">
      <c r="A49" s="6" t="s">
        <v>1</v>
      </c>
      <c r="B49" s="6" t="n">
        <v>5</v>
      </c>
      <c r="C49" s="6" t="n">
        <v>150060959</v>
      </c>
      <c r="D49" s="6" t="s">
        <v>2090</v>
      </c>
      <c r="E49" s="6" t="s">
        <v>2091</v>
      </c>
      <c r="F49" s="6" t="s">
        <v>2092</v>
      </c>
      <c r="G49" s="6" t="s">
        <v>2093</v>
      </c>
      <c r="H49" s="6" t="s">
        <v>2094</v>
      </c>
      <c r="I49" s="6" t="s">
        <v>2095</v>
      </c>
      <c r="J49" s="6" t="s">
        <v>2096</v>
      </c>
      <c r="K49" s="6" t="s">
        <v>1813</v>
      </c>
      <c r="L49" s="6" t="s">
        <v>2097</v>
      </c>
      <c r="M49" s="6" t="n">
        <v>3594</v>
      </c>
      <c r="N49" s="7" t="n">
        <v>0.0715</v>
      </c>
      <c r="O49" s="6"/>
      <c r="P49" s="10" t="n">
        <f aca="false">HYPERLINK("https://www.ncbi.nlm.nih.gov/clinvar/variation/1169769", 1169769)</f>
        <v>1169769</v>
      </c>
      <c r="Q49" s="6" t="s">
        <v>418</v>
      </c>
      <c r="R49" s="6" t="s">
        <v>181</v>
      </c>
      <c r="S49" s="10" t="str">
        <f aca="false">HYPERLINK("https://www.ncbi.nlm.nih.gov/snp/rs139845496", "rs139845496")</f>
        <v>rs139845496</v>
      </c>
      <c r="T49" s="10" t="n">
        <f aca="false">HYPERLINK("https://gnomad.broadinstitute.org/variant/5-150060959-A-C?dataset=gnomad_r4", 0.000821428)</f>
        <v>0.000821428</v>
      </c>
      <c r="U49" s="10" t="n">
        <f aca="false">HYPERLINK("https://gnomad.broadinstitute.org/variant/5-150060959-A-C?dataset=gnomad_r4", 0.0000827422)</f>
        <v>8.27422E-005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-7</v>
      </c>
      <c r="AA49" s="6" t="n">
        <v>-34</v>
      </c>
      <c r="AB49" s="6" t="n">
        <v>8</v>
      </c>
      <c r="AC49" s="6" t="n">
        <v>7</v>
      </c>
      <c r="AD49" s="6" t="n">
        <v>1.174</v>
      </c>
      <c r="AE49" s="6" t="s">
        <v>124</v>
      </c>
      <c r="AF49" s="6" t="s">
        <v>123</v>
      </c>
      <c r="AG49" s="6" t="s">
        <v>123</v>
      </c>
      <c r="AH49" s="6" t="s">
        <v>123</v>
      </c>
      <c r="AI49" s="6" t="s">
        <v>123</v>
      </c>
      <c r="AJ49" s="8"/>
      <c r="AK49" s="8"/>
      <c r="AL49" s="8"/>
      <c r="AM49" s="8"/>
      <c r="AN49" s="8"/>
      <c r="AO49" s="8"/>
      <c r="AP49" s="9" t="s">
        <v>2098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76.5" hidden="false" customHeight="true" outlineLevel="0" collapsed="false">
      <c r="A50" s="6" t="s">
        <v>1</v>
      </c>
      <c r="B50" s="6" t="n">
        <v>5</v>
      </c>
      <c r="C50" s="6" t="n">
        <v>150077432</v>
      </c>
      <c r="D50" s="6" t="s">
        <v>2090</v>
      </c>
      <c r="E50" s="6" t="s">
        <v>2091</v>
      </c>
      <c r="F50" s="6" t="s">
        <v>2092</v>
      </c>
      <c r="G50" s="6" t="s">
        <v>205</v>
      </c>
      <c r="H50" s="6" t="s">
        <v>2099</v>
      </c>
      <c r="I50" s="6" t="s">
        <v>2100</v>
      </c>
      <c r="J50" s="6" t="s">
        <v>2101</v>
      </c>
      <c r="K50" s="6" t="s">
        <v>120</v>
      </c>
      <c r="L50" s="6" t="s">
        <v>2102</v>
      </c>
      <c r="M50" s="6" t="n">
        <v>2918</v>
      </c>
      <c r="N50" s="7" t="n">
        <v>0.0744</v>
      </c>
      <c r="O50" s="6"/>
      <c r="P50" s="10" t="n">
        <f aca="false">HYPERLINK("https://www.ncbi.nlm.nih.gov/clinvar/variation/352163", 352163)</f>
        <v>352163</v>
      </c>
      <c r="Q50" s="6" t="s">
        <v>418</v>
      </c>
      <c r="R50" s="6" t="s">
        <v>2103</v>
      </c>
      <c r="S50" s="10" t="str">
        <f aca="false">HYPERLINK("https://www.ncbi.nlm.nih.gov/snp/rs41338945", "rs41338945")</f>
        <v>rs41338945</v>
      </c>
      <c r="T50" s="10" t="n">
        <f aca="false">HYPERLINK("https://gnomad.broadinstitute.org/variant/5-150077432-C-A?dataset=gnomad_r4", 0.0272832)</f>
        <v>0.0272832</v>
      </c>
      <c r="U50" s="10" t="n">
        <f aca="false">HYPERLINK("https://gnomad.broadinstitute.org/variant/5-150077432-C-A?dataset=gnomad_r4", 0.00270024)</f>
        <v>0.00270024</v>
      </c>
      <c r="V50" s="6" t="n">
        <v>0</v>
      </c>
      <c r="W50" s="6" t="n">
        <v>0.09</v>
      </c>
      <c r="X50" s="6" t="n">
        <v>0</v>
      </c>
      <c r="Y50" s="6" t="n">
        <v>0</v>
      </c>
      <c r="Z50" s="6" t="n">
        <v>-46</v>
      </c>
      <c r="AA50" s="6" t="n">
        <v>3</v>
      </c>
      <c r="AB50" s="6" t="n">
        <v>10</v>
      </c>
      <c r="AC50" s="6" t="n">
        <v>3</v>
      </c>
      <c r="AD50" s="6" t="n">
        <v>0.001</v>
      </c>
      <c r="AE50" s="6" t="s">
        <v>124</v>
      </c>
      <c r="AF50" s="6" t="s">
        <v>123</v>
      </c>
      <c r="AG50" s="6" t="s">
        <v>123</v>
      </c>
      <c r="AH50" s="6" t="s">
        <v>123</v>
      </c>
      <c r="AI50" s="6" t="s">
        <v>123</v>
      </c>
      <c r="AJ50" s="8"/>
      <c r="AK50" s="8"/>
      <c r="AL50" s="8"/>
      <c r="AM50" s="8"/>
      <c r="AN50" s="8"/>
      <c r="AO50" s="8"/>
      <c r="AP50" s="9" t="s">
        <v>2104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76.5" hidden="false" customHeight="true" outlineLevel="0" collapsed="false">
      <c r="A51" s="6" t="s">
        <v>1</v>
      </c>
      <c r="B51" s="6" t="n">
        <v>5</v>
      </c>
      <c r="C51" s="6" t="n">
        <v>150068208</v>
      </c>
      <c r="D51" s="6" t="s">
        <v>2090</v>
      </c>
      <c r="E51" s="6" t="s">
        <v>2091</v>
      </c>
      <c r="F51" s="6" t="s">
        <v>2092</v>
      </c>
      <c r="G51" s="6" t="s">
        <v>123</v>
      </c>
      <c r="H51" s="6" t="s">
        <v>2105</v>
      </c>
      <c r="I51" s="6"/>
      <c r="J51" s="6" t="s">
        <v>123</v>
      </c>
      <c r="K51" s="6" t="s">
        <v>127</v>
      </c>
      <c r="L51" s="6" t="s">
        <v>2106</v>
      </c>
      <c r="M51" s="6" t="n">
        <v>3691</v>
      </c>
      <c r="N51" s="7" t="n">
        <v>0.151</v>
      </c>
      <c r="O51" s="6"/>
      <c r="P51" s="10" t="n">
        <f aca="false">HYPERLINK("https://www.ncbi.nlm.nih.gov/clinvar/variation/352147", 352147)</f>
        <v>352147</v>
      </c>
      <c r="Q51" s="6" t="s">
        <v>418</v>
      </c>
      <c r="R51" s="6" t="s">
        <v>2103</v>
      </c>
      <c r="S51" s="10" t="str">
        <f aca="false">HYPERLINK("https://www.ncbi.nlm.nih.gov/snp/rs34928010", "rs34928010")</f>
        <v>rs34928010</v>
      </c>
      <c r="T51" s="10" t="n">
        <f aca="false">HYPERLINK("https://gnomad.broadinstitute.org/variant/5-150068208-G-A?dataset=gnomad_r4", 0.128501)</f>
        <v>0.128501</v>
      </c>
      <c r="U51" s="10" t="n">
        <f aca="false">HYPERLINK("https://gnomad.broadinstitute.org/variant/5-150068208-G-A?dataset=gnomad_r4", 0.0632279)</f>
        <v>0.0632279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33</v>
      </c>
      <c r="AA51" s="6" t="n">
        <v>15</v>
      </c>
      <c r="AB51" s="6" t="n">
        <v>17</v>
      </c>
      <c r="AC51" s="6" t="n">
        <v>-21</v>
      </c>
      <c r="AD51" s="6" t="n">
        <v>2.751</v>
      </c>
      <c r="AE51" s="6" t="s">
        <v>124</v>
      </c>
      <c r="AF51" s="6" t="s">
        <v>123</v>
      </c>
      <c r="AG51" s="6" t="s">
        <v>123</v>
      </c>
      <c r="AH51" s="6" t="s">
        <v>123</v>
      </c>
      <c r="AI51" s="6" t="s">
        <v>123</v>
      </c>
      <c r="AJ51" s="8"/>
      <c r="AK51" s="8"/>
      <c r="AL51" s="8"/>
      <c r="AM51" s="8"/>
      <c r="AN51" s="8"/>
      <c r="AO51" s="8"/>
      <c r="AP51" s="9" t="s">
        <v>2107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76.5" hidden="false" customHeight="true" outlineLevel="0" collapsed="false">
      <c r="A52" s="6" t="s">
        <v>1</v>
      </c>
      <c r="B52" s="6" t="n">
        <v>1</v>
      </c>
      <c r="C52" s="6" t="n">
        <v>36475630</v>
      </c>
      <c r="D52" s="6" t="s">
        <v>509</v>
      </c>
      <c r="E52" s="6" t="s">
        <v>6</v>
      </c>
      <c r="F52" s="6" t="s">
        <v>510</v>
      </c>
      <c r="G52" s="6" t="s">
        <v>2108</v>
      </c>
      <c r="H52" s="6" t="s">
        <v>2109</v>
      </c>
      <c r="I52" s="6" t="s">
        <v>2110</v>
      </c>
      <c r="J52" s="6" t="s">
        <v>2111</v>
      </c>
      <c r="K52" s="6" t="s">
        <v>1813</v>
      </c>
      <c r="L52" s="6" t="s">
        <v>2112</v>
      </c>
      <c r="M52" s="6" t="n">
        <v>3640</v>
      </c>
      <c r="N52" s="7" t="n">
        <v>0.0918</v>
      </c>
      <c r="O52" s="6" t="s">
        <v>1879</v>
      </c>
      <c r="P52" s="10" t="n">
        <f aca="false">HYPERLINK("https://www.ncbi.nlm.nih.gov/clinvar/variation/434838", 434838)</f>
        <v>434838</v>
      </c>
      <c r="Q52" s="6" t="s">
        <v>283</v>
      </c>
      <c r="R52" s="6" t="s">
        <v>2113</v>
      </c>
      <c r="S52" s="10" t="str">
        <f aca="false">HYPERLINK("https://www.ncbi.nlm.nih.gov/snp/rs3918011", "rs3918011")</f>
        <v>rs3918011</v>
      </c>
      <c r="T52" s="10" t="n">
        <f aca="false">HYPERLINK("https://gnomad.broadinstitute.org/variant/1-36475630-G-A?dataset=gnomad_r4", 0.00182599)</f>
        <v>0.00182599</v>
      </c>
      <c r="U52" s="10" t="n">
        <f aca="false">HYPERLINK("https://gnomad.broadinstitute.org/variant/1-36475630-G-A?dataset=gnomad_r4", 0.0026421)</f>
        <v>0.0026421</v>
      </c>
      <c r="V52" s="6" t="n">
        <v>0.05</v>
      </c>
      <c r="W52" s="6" t="n">
        <v>0.04</v>
      </c>
      <c r="X52" s="6" t="n">
        <v>0</v>
      </c>
      <c r="Y52" s="6" t="n">
        <v>0</v>
      </c>
      <c r="Z52" s="6" t="n">
        <v>-23</v>
      </c>
      <c r="AA52" s="6" t="n">
        <v>43</v>
      </c>
      <c r="AB52" s="6" t="n">
        <v>-23</v>
      </c>
      <c r="AC52" s="6" t="n">
        <v>-40</v>
      </c>
      <c r="AD52" s="6" t="n">
        <v>7.178</v>
      </c>
      <c r="AE52" s="6" t="s">
        <v>2114</v>
      </c>
      <c r="AF52" s="6" t="s">
        <v>123</v>
      </c>
      <c r="AG52" s="6" t="s">
        <v>123</v>
      </c>
      <c r="AH52" s="6" t="s">
        <v>123</v>
      </c>
      <c r="AI52" s="6" t="s">
        <v>123</v>
      </c>
      <c r="AJ52" s="8"/>
      <c r="AK52" s="8"/>
      <c r="AL52" s="8"/>
      <c r="AM52" s="8"/>
      <c r="AN52" s="8"/>
      <c r="AO52" s="8"/>
      <c r="AP52" s="9" t="s">
        <v>2115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76.5" hidden="false" customHeight="true" outlineLevel="0" collapsed="false">
      <c r="A53" s="6" t="s">
        <v>1</v>
      </c>
      <c r="B53" s="6" t="n">
        <v>7</v>
      </c>
      <c r="C53" s="6" t="n">
        <v>102248852</v>
      </c>
      <c r="D53" s="6" t="s">
        <v>539</v>
      </c>
      <c r="E53" s="6" t="s">
        <v>6</v>
      </c>
      <c r="F53" s="6" t="s">
        <v>547</v>
      </c>
      <c r="G53" s="6" t="s">
        <v>123</v>
      </c>
      <c r="H53" s="6" t="s">
        <v>2116</v>
      </c>
      <c r="I53" s="6"/>
      <c r="J53" s="6" t="s">
        <v>123</v>
      </c>
      <c r="K53" s="6" t="s">
        <v>141</v>
      </c>
      <c r="L53" s="6" t="s">
        <v>2117</v>
      </c>
      <c r="M53" s="6" t="n">
        <v>4466</v>
      </c>
      <c r="N53" s="7" t="n">
        <v>0.0304</v>
      </c>
      <c r="O53" s="6" t="s">
        <v>1845</v>
      </c>
      <c r="P53" s="6" t="s">
        <v>123</v>
      </c>
      <c r="Q53" s="6" t="s">
        <v>123</v>
      </c>
      <c r="R53" s="6" t="s">
        <v>123</v>
      </c>
      <c r="S53" s="10" t="str">
        <f aca="false">HYPERLINK("https://www.ncbi.nlm.nih.gov/snp/rs782496763", "rs782496763")</f>
        <v>rs782496763</v>
      </c>
      <c r="T53" s="6" t="s">
        <v>123</v>
      </c>
      <c r="U53" s="10" t="n">
        <f aca="false">HYPERLINK("https://gnomad.broadinstitute.org/variant/7-102248852-ACAG-A?dataset=gnomad_r4", 0.00147319)</f>
        <v>0.00147319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28</v>
      </c>
      <c r="AA53" s="6" t="n">
        <v>4</v>
      </c>
      <c r="AB53" s="6" t="n">
        <v>44</v>
      </c>
      <c r="AC53" s="6" t="n">
        <v>-42</v>
      </c>
      <c r="AD53" s="6" t="n">
        <v>15.87</v>
      </c>
      <c r="AE53" s="6" t="s">
        <v>2118</v>
      </c>
      <c r="AF53" s="6" t="s">
        <v>123</v>
      </c>
      <c r="AG53" s="6" t="s">
        <v>123</v>
      </c>
      <c r="AH53" s="6" t="s">
        <v>123</v>
      </c>
      <c r="AI53" s="6" t="s">
        <v>123</v>
      </c>
      <c r="AJ53" s="8"/>
      <c r="AK53" s="8"/>
      <c r="AL53" s="8"/>
      <c r="AM53" s="8"/>
      <c r="AN53" s="8"/>
      <c r="AO53" s="8"/>
      <c r="AP53" s="9" t="s">
        <v>2119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76.5" hidden="false" customHeight="true" outlineLevel="0" collapsed="false">
      <c r="A54" s="6" t="s">
        <v>1</v>
      </c>
      <c r="B54" s="6" t="n">
        <v>7</v>
      </c>
      <c r="C54" s="6" t="n">
        <v>102277938</v>
      </c>
      <c r="D54" s="6" t="s">
        <v>539</v>
      </c>
      <c r="E54" s="6" t="s">
        <v>6</v>
      </c>
      <c r="F54" s="6" t="s">
        <v>547</v>
      </c>
      <c r="G54" s="6" t="s">
        <v>123</v>
      </c>
      <c r="H54" s="6" t="s">
        <v>2120</v>
      </c>
      <c r="I54" s="6"/>
      <c r="J54" s="6" t="s">
        <v>123</v>
      </c>
      <c r="K54" s="6" t="s">
        <v>127</v>
      </c>
      <c r="L54" s="6" t="s">
        <v>2121</v>
      </c>
      <c r="M54" s="6" t="n">
        <v>2282</v>
      </c>
      <c r="N54" s="7" t="n">
        <v>0.183</v>
      </c>
      <c r="O54" s="6" t="s">
        <v>2122</v>
      </c>
      <c r="P54" s="10" t="n">
        <f aca="false">HYPERLINK("https://www.ncbi.nlm.nih.gov/clinvar/variation/3046134", 3046134)</f>
        <v>3046134</v>
      </c>
      <c r="Q54" s="6" t="s">
        <v>215</v>
      </c>
      <c r="R54" s="6" t="s">
        <v>2123</v>
      </c>
      <c r="S54" s="10" t="str">
        <f aca="false">HYPERLINK("https://www.ncbi.nlm.nih.gov/snp/rs563967808", "rs563967808")</f>
        <v>rs563967808</v>
      </c>
      <c r="T54" s="10" t="n">
        <f aca="false">HYPERLINK("https://gnomad.broadinstitute.org/variant/7-102277938-T-TC?dataset=gnomad_r4", 0.000663453)</f>
        <v>0.000663453</v>
      </c>
      <c r="U54" s="10" t="n">
        <f aca="false">HYPERLINK("https://gnomad.broadinstitute.org/variant/7-102277938-T-TC?dataset=gnomad_r4", 0.00263798)</f>
        <v>0.00263798</v>
      </c>
      <c r="V54" s="6" t="s">
        <v>123</v>
      </c>
      <c r="W54" s="6" t="s">
        <v>123</v>
      </c>
      <c r="X54" s="6" t="s">
        <v>123</v>
      </c>
      <c r="Y54" s="6" t="s">
        <v>123</v>
      </c>
      <c r="Z54" s="6" t="s">
        <v>123</v>
      </c>
      <c r="AA54" s="6" t="s">
        <v>123</v>
      </c>
      <c r="AB54" s="6" t="s">
        <v>123</v>
      </c>
      <c r="AC54" s="6" t="s">
        <v>123</v>
      </c>
      <c r="AD54" s="6" t="n">
        <v>0.263</v>
      </c>
      <c r="AE54" s="6" t="s">
        <v>124</v>
      </c>
      <c r="AF54" s="6" t="s">
        <v>123</v>
      </c>
      <c r="AG54" s="6" t="s">
        <v>123</v>
      </c>
      <c r="AH54" s="6" t="s">
        <v>123</v>
      </c>
      <c r="AI54" s="6" t="s">
        <v>123</v>
      </c>
      <c r="AJ54" s="8"/>
      <c r="AK54" s="8"/>
      <c r="AL54" s="8"/>
      <c r="AM54" s="8"/>
      <c r="AN54" s="8"/>
      <c r="AO54" s="8"/>
      <c r="AP54" s="9" t="s">
        <v>2124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76.5" hidden="false" customHeight="true" outlineLevel="0" collapsed="false">
      <c r="A55" s="6" t="s">
        <v>1</v>
      </c>
      <c r="B55" s="6" t="n">
        <v>7</v>
      </c>
      <c r="C55" s="6" t="n">
        <v>102248852</v>
      </c>
      <c r="D55" s="6" t="s">
        <v>539</v>
      </c>
      <c r="E55" s="6" t="s">
        <v>6</v>
      </c>
      <c r="F55" s="6" t="s">
        <v>540</v>
      </c>
      <c r="G55" s="6" t="s">
        <v>581</v>
      </c>
      <c r="H55" s="6" t="s">
        <v>2125</v>
      </c>
      <c r="I55" s="6" t="s">
        <v>2126</v>
      </c>
      <c r="J55" s="6" t="s">
        <v>2127</v>
      </c>
      <c r="K55" s="6" t="s">
        <v>326</v>
      </c>
      <c r="L55" s="6" t="s">
        <v>2128</v>
      </c>
      <c r="M55" s="6" t="n">
        <v>4466</v>
      </c>
      <c r="N55" s="7" t="n">
        <v>0.0304</v>
      </c>
      <c r="O55" s="6" t="s">
        <v>1845</v>
      </c>
      <c r="P55" s="6" t="s">
        <v>123</v>
      </c>
      <c r="Q55" s="6" t="s">
        <v>123</v>
      </c>
      <c r="R55" s="6" t="s">
        <v>123</v>
      </c>
      <c r="S55" s="10" t="str">
        <f aca="false">HYPERLINK("https://www.ncbi.nlm.nih.gov/snp/rs782496763", "rs782496763")</f>
        <v>rs782496763</v>
      </c>
      <c r="T55" s="6" t="s">
        <v>123</v>
      </c>
      <c r="U55" s="10" t="n">
        <f aca="false">HYPERLINK("https://gnomad.broadinstitute.org/variant/7-102248852-ACAG-A?dataset=gnomad_r4", 0.00147319)</f>
        <v>0.00147319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28</v>
      </c>
      <c r="AA55" s="6" t="n">
        <v>4</v>
      </c>
      <c r="AB55" s="6" t="n">
        <v>44</v>
      </c>
      <c r="AC55" s="6" t="n">
        <v>-42</v>
      </c>
      <c r="AD55" s="6" t="n">
        <v>15.87</v>
      </c>
      <c r="AE55" s="6" t="s">
        <v>2118</v>
      </c>
      <c r="AF55" s="6" t="s">
        <v>123</v>
      </c>
      <c r="AG55" s="6" t="s">
        <v>123</v>
      </c>
      <c r="AH55" s="6" t="s">
        <v>123</v>
      </c>
      <c r="AI55" s="6" t="s">
        <v>123</v>
      </c>
      <c r="AJ55" s="8"/>
      <c r="AK55" s="8"/>
      <c r="AL55" s="8"/>
      <c r="AM55" s="8"/>
      <c r="AN55" s="8"/>
      <c r="AO55" s="8"/>
      <c r="AP55" s="9" t="s">
        <v>2129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76.5" hidden="false" customHeight="true" outlineLevel="0" collapsed="false">
      <c r="A56" s="6" t="s">
        <v>1</v>
      </c>
      <c r="B56" s="6" t="n">
        <v>7</v>
      </c>
      <c r="C56" s="6" t="n">
        <v>102158563</v>
      </c>
      <c r="D56" s="6" t="s">
        <v>539</v>
      </c>
      <c r="E56" s="6" t="s">
        <v>6</v>
      </c>
      <c r="F56" s="6" t="s">
        <v>540</v>
      </c>
      <c r="G56" s="6" t="s">
        <v>2130</v>
      </c>
      <c r="H56" s="6" t="s">
        <v>2131</v>
      </c>
      <c r="I56" s="6" t="s">
        <v>2132</v>
      </c>
      <c r="J56" s="6" t="s">
        <v>2133</v>
      </c>
      <c r="K56" s="6" t="s">
        <v>1813</v>
      </c>
      <c r="L56" s="6" t="s">
        <v>2134</v>
      </c>
      <c r="M56" s="6" t="n">
        <v>4658</v>
      </c>
      <c r="N56" s="7" t="n">
        <v>0.0436</v>
      </c>
      <c r="O56" s="6"/>
      <c r="P56" s="6" t="s">
        <v>123</v>
      </c>
      <c r="Q56" s="6" t="s">
        <v>123</v>
      </c>
      <c r="R56" s="6" t="s">
        <v>123</v>
      </c>
      <c r="S56" s="10" t="str">
        <f aca="false">HYPERLINK("https://www.ncbi.nlm.nih.gov/snp/rs782531693", "rs782531693")</f>
        <v>rs782531693</v>
      </c>
      <c r="T56" s="10" t="n">
        <f aca="false">HYPERLINK("https://gnomad.broadinstitute.org/variant/7-102158563-C-T?dataset=gnomad_r4", 0.00000657626)</f>
        <v>6.57626E-006</v>
      </c>
      <c r="U56" s="10" t="n">
        <f aca="false">HYPERLINK("https://gnomad.broadinstitute.org/variant/7-102158563-C-T?dataset=gnomad_r4", 0.00000136814)</f>
        <v>1.36814E-006</v>
      </c>
      <c r="V56" s="6" t="n">
        <v>0</v>
      </c>
      <c r="W56" s="6" t="n">
        <v>0.01</v>
      </c>
      <c r="X56" s="6" t="n">
        <v>0</v>
      </c>
      <c r="Y56" s="6" t="n">
        <v>0</v>
      </c>
      <c r="Z56" s="6" t="n">
        <v>45</v>
      </c>
      <c r="AA56" s="6" t="n">
        <v>-3</v>
      </c>
      <c r="AB56" s="6" t="n">
        <v>-3</v>
      </c>
      <c r="AC56" s="6" t="n">
        <v>45</v>
      </c>
      <c r="AD56" s="6" t="n">
        <v>13.29</v>
      </c>
      <c r="AE56" s="6" t="s">
        <v>124</v>
      </c>
      <c r="AF56" s="6" t="s">
        <v>123</v>
      </c>
      <c r="AG56" s="6" t="s">
        <v>123</v>
      </c>
      <c r="AH56" s="6" t="s">
        <v>123</v>
      </c>
      <c r="AI56" s="6" t="s">
        <v>123</v>
      </c>
      <c r="AJ56" s="8"/>
      <c r="AK56" s="8"/>
      <c r="AL56" s="8"/>
      <c r="AM56" s="8"/>
      <c r="AN56" s="8"/>
      <c r="AO56" s="8"/>
      <c r="AP56" s="9" t="s">
        <v>2135</v>
      </c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76.5" hidden="false" customHeight="true" outlineLevel="0" collapsed="false">
      <c r="A57" s="6" t="s">
        <v>1</v>
      </c>
      <c r="B57" s="6" t="n">
        <v>7</v>
      </c>
      <c r="C57" s="6" t="n">
        <v>102158563</v>
      </c>
      <c r="D57" s="6" t="s">
        <v>539</v>
      </c>
      <c r="E57" s="6" t="s">
        <v>6</v>
      </c>
      <c r="F57" s="6" t="s">
        <v>547</v>
      </c>
      <c r="G57" s="6" t="s">
        <v>2136</v>
      </c>
      <c r="H57" s="6" t="s">
        <v>2137</v>
      </c>
      <c r="I57" s="6" t="s">
        <v>2138</v>
      </c>
      <c r="J57" s="6" t="s">
        <v>2139</v>
      </c>
      <c r="K57" s="6" t="s">
        <v>1813</v>
      </c>
      <c r="L57" s="6" t="s">
        <v>2140</v>
      </c>
      <c r="M57" s="6" t="n">
        <v>4658</v>
      </c>
      <c r="N57" s="7" t="n">
        <v>0.0436</v>
      </c>
      <c r="O57" s="6"/>
      <c r="P57" s="6" t="s">
        <v>123</v>
      </c>
      <c r="Q57" s="6" t="s">
        <v>123</v>
      </c>
      <c r="R57" s="6" t="s">
        <v>123</v>
      </c>
      <c r="S57" s="10" t="str">
        <f aca="false">HYPERLINK("https://www.ncbi.nlm.nih.gov/snp/rs782531693", "rs782531693")</f>
        <v>rs782531693</v>
      </c>
      <c r="T57" s="10" t="n">
        <f aca="false">HYPERLINK("https://gnomad.broadinstitute.org/variant/7-102158563-C-T?dataset=gnomad_r4", 0.00000657626)</f>
        <v>6.57626E-006</v>
      </c>
      <c r="U57" s="10" t="n">
        <f aca="false">HYPERLINK("https://gnomad.broadinstitute.org/variant/7-102158563-C-T?dataset=gnomad_r4", 0.00000136814)</f>
        <v>1.36814E-006</v>
      </c>
      <c r="V57" s="6" t="n">
        <v>0</v>
      </c>
      <c r="W57" s="6" t="n">
        <v>0.01</v>
      </c>
      <c r="X57" s="6" t="n">
        <v>0</v>
      </c>
      <c r="Y57" s="6" t="n">
        <v>0</v>
      </c>
      <c r="Z57" s="6" t="n">
        <v>45</v>
      </c>
      <c r="AA57" s="6" t="n">
        <v>-3</v>
      </c>
      <c r="AB57" s="6" t="n">
        <v>-3</v>
      </c>
      <c r="AC57" s="6" t="n">
        <v>45</v>
      </c>
      <c r="AD57" s="6" t="n">
        <v>13.29</v>
      </c>
      <c r="AE57" s="6" t="s">
        <v>124</v>
      </c>
      <c r="AF57" s="6" t="s">
        <v>123</v>
      </c>
      <c r="AG57" s="6" t="s">
        <v>123</v>
      </c>
      <c r="AH57" s="6" t="s">
        <v>123</v>
      </c>
      <c r="AI57" s="6" t="s">
        <v>123</v>
      </c>
      <c r="AJ57" s="8"/>
      <c r="AK57" s="8"/>
      <c r="AL57" s="8"/>
      <c r="AM57" s="8"/>
      <c r="AN57" s="8"/>
      <c r="AO57" s="8"/>
      <c r="AP57" s="9" t="s">
        <v>2141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76.5" hidden="false" customHeight="true" outlineLevel="0" collapsed="false">
      <c r="A58" s="6" t="s">
        <v>1</v>
      </c>
      <c r="B58" s="6" t="n">
        <v>7</v>
      </c>
      <c r="C58" s="6" t="n">
        <v>102115284</v>
      </c>
      <c r="D58" s="6" t="s">
        <v>539</v>
      </c>
      <c r="E58" s="6" t="s">
        <v>6</v>
      </c>
      <c r="F58" s="6" t="s">
        <v>547</v>
      </c>
      <c r="G58" s="6" t="s">
        <v>123</v>
      </c>
      <c r="H58" s="6" t="s">
        <v>2142</v>
      </c>
      <c r="I58" s="6"/>
      <c r="J58" s="6" t="s">
        <v>123</v>
      </c>
      <c r="K58" s="6" t="s">
        <v>141</v>
      </c>
      <c r="L58" s="6" t="s">
        <v>2143</v>
      </c>
      <c r="M58" s="6" t="n">
        <v>4893</v>
      </c>
      <c r="N58" s="7" t="n">
        <v>0.699</v>
      </c>
      <c r="O58" s="6"/>
      <c r="P58" s="10" t="n">
        <f aca="false">HYPERLINK("https://www.ncbi.nlm.nih.gov/clinvar/variation/1255428", 1255428)</f>
        <v>1255428</v>
      </c>
      <c r="Q58" s="6" t="s">
        <v>418</v>
      </c>
      <c r="R58" s="6" t="s">
        <v>2144</v>
      </c>
      <c r="S58" s="10" t="str">
        <f aca="false">HYPERLINK("https://www.ncbi.nlm.nih.gov/snp/rs78218172", "rs78218172")</f>
        <v>rs78218172</v>
      </c>
      <c r="T58" s="10" t="n">
        <f aca="false">HYPERLINK("https://gnomad.broadinstitute.org/variant/7-102115284-C-T?dataset=gnomad_r4", 0.0301005)</f>
        <v>0.0301005</v>
      </c>
      <c r="U58" s="10" t="n">
        <f aca="false">HYPERLINK("https://gnomad.broadinstitute.org/variant/7-102115284-C-T?dataset=gnomad_r4", 0.039967)</f>
        <v>0.039967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-23</v>
      </c>
      <c r="AA58" s="6" t="n">
        <v>-31</v>
      </c>
      <c r="AB58" s="6" t="n">
        <v>-11</v>
      </c>
      <c r="AC58" s="6" t="n">
        <v>19</v>
      </c>
      <c r="AD58" s="6" t="n">
        <v>5.256</v>
      </c>
      <c r="AE58" s="6" t="s">
        <v>124</v>
      </c>
      <c r="AF58" s="6" t="s">
        <v>123</v>
      </c>
      <c r="AG58" s="6" t="s">
        <v>123</v>
      </c>
      <c r="AH58" s="6" t="s">
        <v>123</v>
      </c>
      <c r="AI58" s="6" t="s">
        <v>123</v>
      </c>
      <c r="AJ58" s="8"/>
      <c r="AK58" s="8"/>
      <c r="AL58" s="8"/>
      <c r="AM58" s="8"/>
      <c r="AN58" s="8"/>
      <c r="AO58" s="8"/>
      <c r="AP58" s="9" t="s">
        <v>2145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76.5" hidden="false" customHeight="true" outlineLevel="0" collapsed="false">
      <c r="A59" s="6" t="s">
        <v>1</v>
      </c>
      <c r="B59" s="6" t="n">
        <v>7</v>
      </c>
      <c r="C59" s="6" t="n">
        <v>102115284</v>
      </c>
      <c r="D59" s="6" t="s">
        <v>539</v>
      </c>
      <c r="E59" s="6" t="s">
        <v>6</v>
      </c>
      <c r="F59" s="6" t="s">
        <v>540</v>
      </c>
      <c r="G59" s="6" t="s">
        <v>123</v>
      </c>
      <c r="H59" s="6" t="s">
        <v>2146</v>
      </c>
      <c r="I59" s="6"/>
      <c r="J59" s="6" t="s">
        <v>123</v>
      </c>
      <c r="K59" s="6" t="s">
        <v>141</v>
      </c>
      <c r="L59" s="6" t="s">
        <v>2147</v>
      </c>
      <c r="M59" s="6" t="n">
        <v>4893</v>
      </c>
      <c r="N59" s="7" t="n">
        <v>0.699</v>
      </c>
      <c r="O59" s="6"/>
      <c r="P59" s="10" t="n">
        <f aca="false">HYPERLINK("https://www.ncbi.nlm.nih.gov/clinvar/variation/1255428", 1255428)</f>
        <v>1255428</v>
      </c>
      <c r="Q59" s="6" t="s">
        <v>418</v>
      </c>
      <c r="R59" s="6" t="s">
        <v>2144</v>
      </c>
      <c r="S59" s="10" t="str">
        <f aca="false">HYPERLINK("https://www.ncbi.nlm.nih.gov/snp/rs78218172", "rs78218172")</f>
        <v>rs78218172</v>
      </c>
      <c r="T59" s="10" t="n">
        <f aca="false">HYPERLINK("https://gnomad.broadinstitute.org/variant/7-102115284-C-T?dataset=gnomad_r4", 0.0301005)</f>
        <v>0.0301005</v>
      </c>
      <c r="U59" s="10" t="n">
        <f aca="false">HYPERLINK("https://gnomad.broadinstitute.org/variant/7-102115284-C-T?dataset=gnomad_r4", 0.039967)</f>
        <v>0.039967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-23</v>
      </c>
      <c r="AA59" s="6" t="n">
        <v>-31</v>
      </c>
      <c r="AB59" s="6" t="n">
        <v>-11</v>
      </c>
      <c r="AC59" s="6" t="n">
        <v>19</v>
      </c>
      <c r="AD59" s="6" t="n">
        <v>5.256</v>
      </c>
      <c r="AE59" s="6" t="s">
        <v>124</v>
      </c>
      <c r="AF59" s="6" t="s">
        <v>123</v>
      </c>
      <c r="AG59" s="6" t="s">
        <v>123</v>
      </c>
      <c r="AH59" s="6" t="s">
        <v>123</v>
      </c>
      <c r="AI59" s="6" t="s">
        <v>123</v>
      </c>
      <c r="AJ59" s="8"/>
      <c r="AK59" s="8"/>
      <c r="AL59" s="8"/>
      <c r="AM59" s="8"/>
      <c r="AN59" s="8"/>
      <c r="AO59" s="8"/>
      <c r="AP59" s="9" t="s">
        <v>2148</v>
      </c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63.75" hidden="false" customHeight="true" outlineLevel="0" collapsed="false">
      <c r="A60" s="6" t="s">
        <v>1</v>
      </c>
      <c r="B60" s="6" t="n">
        <v>2</v>
      </c>
      <c r="C60" s="6" t="n">
        <v>136114938</v>
      </c>
      <c r="D60" s="6" t="s">
        <v>613</v>
      </c>
      <c r="E60" s="6" t="s">
        <v>614</v>
      </c>
      <c r="F60" s="6" t="s">
        <v>615</v>
      </c>
      <c r="G60" s="6" t="s">
        <v>616</v>
      </c>
      <c r="H60" s="6" t="s">
        <v>2149</v>
      </c>
      <c r="I60" s="6" t="s">
        <v>2150</v>
      </c>
      <c r="J60" s="6" t="s">
        <v>2151</v>
      </c>
      <c r="K60" s="6" t="s">
        <v>1813</v>
      </c>
      <c r="L60" s="6" t="s">
        <v>2152</v>
      </c>
      <c r="M60" s="6" t="n">
        <v>3817</v>
      </c>
      <c r="N60" s="7" t="n">
        <v>0.104</v>
      </c>
      <c r="O60" s="6"/>
      <c r="P60" s="6" t="s">
        <v>123</v>
      </c>
      <c r="Q60" s="6" t="s">
        <v>123</v>
      </c>
      <c r="R60" s="6" t="s">
        <v>123</v>
      </c>
      <c r="S60" s="6" t="s">
        <v>123</v>
      </c>
      <c r="T60" s="6" t="s">
        <v>123</v>
      </c>
      <c r="U60" s="6" t="s">
        <v>123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47</v>
      </c>
      <c r="AA60" s="6" t="n">
        <v>-5</v>
      </c>
      <c r="AB60" s="6" t="n">
        <v>33</v>
      </c>
      <c r="AC60" s="6" t="n">
        <v>-13</v>
      </c>
      <c r="AD60" s="6" t="n">
        <v>7.92</v>
      </c>
      <c r="AE60" s="6" t="s">
        <v>124</v>
      </c>
      <c r="AF60" s="6" t="s">
        <v>123</v>
      </c>
      <c r="AG60" s="6" t="s">
        <v>123</v>
      </c>
      <c r="AH60" s="6" t="s">
        <v>123</v>
      </c>
      <c r="AI60" s="6" t="s">
        <v>123</v>
      </c>
      <c r="AJ60" s="8"/>
      <c r="AK60" s="8"/>
      <c r="AL60" s="8"/>
      <c r="AM60" s="8"/>
      <c r="AN60" s="8"/>
      <c r="AO60" s="8"/>
      <c r="AP60" s="9" t="s">
        <v>2153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76.5" hidden="false" customHeight="true" outlineLevel="0" collapsed="false">
      <c r="A61" s="6" t="s">
        <v>1</v>
      </c>
      <c r="B61" s="6" t="n">
        <v>5</v>
      </c>
      <c r="C61" s="6" t="n">
        <v>177513383</v>
      </c>
      <c r="D61" s="6" t="s">
        <v>2154</v>
      </c>
      <c r="E61" s="6" t="s">
        <v>6</v>
      </c>
      <c r="F61" s="6" t="s">
        <v>2155</v>
      </c>
      <c r="G61" s="6" t="s">
        <v>517</v>
      </c>
      <c r="H61" s="6" t="s">
        <v>2156</v>
      </c>
      <c r="I61" s="6" t="s">
        <v>2157</v>
      </c>
      <c r="J61" s="6" t="s">
        <v>2158</v>
      </c>
      <c r="K61" s="6" t="s">
        <v>1813</v>
      </c>
      <c r="L61" s="6" t="s">
        <v>2159</v>
      </c>
      <c r="M61" s="6" t="n">
        <v>3781</v>
      </c>
      <c r="N61" s="7" t="n">
        <v>0.467</v>
      </c>
      <c r="O61" s="6"/>
      <c r="P61" s="10" t="n">
        <f aca="false">HYPERLINK("https://www.ncbi.nlm.nih.gov/clinvar/variation/1278531", 1278531)</f>
        <v>1278531</v>
      </c>
      <c r="Q61" s="6" t="s">
        <v>418</v>
      </c>
      <c r="R61" s="6" t="s">
        <v>2160</v>
      </c>
      <c r="S61" s="10" t="str">
        <f aca="false">HYPERLINK("https://www.ncbi.nlm.nih.gov/snp/rs335438", "rs335438")</f>
        <v>rs335438</v>
      </c>
      <c r="T61" s="10" t="n">
        <f aca="false">HYPERLINK("https://gnomad.broadinstitute.org/variant/5-177513383-G-A?dataset=gnomad_r4", 0.442476)</f>
        <v>0.442476</v>
      </c>
      <c r="U61" s="10" t="n">
        <f aca="false">HYPERLINK("https://gnomad.broadinstitute.org/variant/5-177513383-G-A?dataset=gnomad_r4", 0.446903)</f>
        <v>0.446903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38</v>
      </c>
      <c r="AA61" s="6" t="n">
        <v>23</v>
      </c>
      <c r="AB61" s="6" t="n">
        <v>21</v>
      </c>
      <c r="AC61" s="6" t="n">
        <v>-38</v>
      </c>
      <c r="AD61" s="6" t="n">
        <v>0.779</v>
      </c>
      <c r="AE61" s="6" t="s">
        <v>2161</v>
      </c>
      <c r="AF61" s="6" t="s">
        <v>123</v>
      </c>
      <c r="AG61" s="6" t="s">
        <v>123</v>
      </c>
      <c r="AH61" s="6" t="s">
        <v>123</v>
      </c>
      <c r="AI61" s="6" t="s">
        <v>123</v>
      </c>
      <c r="AJ61" s="8"/>
      <c r="AK61" s="8"/>
      <c r="AL61" s="8"/>
      <c r="AM61" s="8"/>
      <c r="AN61" s="8"/>
      <c r="AO61" s="8"/>
      <c r="AP61" s="9" t="s">
        <v>2162</v>
      </c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76.5" hidden="false" customHeight="true" outlineLevel="0" collapsed="false">
      <c r="A62" s="6" t="s">
        <v>1</v>
      </c>
      <c r="B62" s="6" t="n">
        <v>5</v>
      </c>
      <c r="C62" s="6" t="n">
        <v>177516903</v>
      </c>
      <c r="D62" s="6" t="s">
        <v>2154</v>
      </c>
      <c r="E62" s="6" t="s">
        <v>6</v>
      </c>
      <c r="F62" s="6" t="s">
        <v>2155</v>
      </c>
      <c r="G62" s="6" t="s">
        <v>123</v>
      </c>
      <c r="H62" s="6" t="s">
        <v>2163</v>
      </c>
      <c r="I62" s="6"/>
      <c r="J62" s="6" t="s">
        <v>123</v>
      </c>
      <c r="K62" s="6" t="s">
        <v>141</v>
      </c>
      <c r="L62" s="6" t="s">
        <v>2164</v>
      </c>
      <c r="M62" s="6" t="n">
        <v>4172</v>
      </c>
      <c r="N62" s="7" t="n">
        <v>0.0701</v>
      </c>
      <c r="O62" s="6"/>
      <c r="P62" s="10" t="n">
        <f aca="false">HYPERLINK("https://www.ncbi.nlm.nih.gov/clinvar/variation/1274579", 1274579)</f>
        <v>1274579</v>
      </c>
      <c r="Q62" s="6" t="s">
        <v>418</v>
      </c>
      <c r="R62" s="6" t="s">
        <v>2165</v>
      </c>
      <c r="S62" s="10" t="str">
        <f aca="false">HYPERLINK("https://www.ncbi.nlm.nih.gov/snp/rs112668086", "rs112668086")</f>
        <v>rs112668086</v>
      </c>
      <c r="T62" s="10" t="n">
        <f aca="false">HYPERLINK("https://gnomad.broadinstitute.org/variant/5-177516903-C-G?dataset=gnomad_r4", 0.0296558)</f>
        <v>0.0296558</v>
      </c>
      <c r="U62" s="10" t="n">
        <f aca="false">HYPERLINK("https://gnomad.broadinstitute.org/variant/5-177516903-C-G?dataset=gnomad_r4", 0.00318205)</f>
        <v>0.00318205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11</v>
      </c>
      <c r="AA62" s="6" t="n">
        <v>-40</v>
      </c>
      <c r="AB62" s="6" t="n">
        <v>13</v>
      </c>
      <c r="AC62" s="6" t="n">
        <v>5</v>
      </c>
      <c r="AD62" s="6" t="n">
        <v>7.471</v>
      </c>
      <c r="AE62" s="6" t="s">
        <v>124</v>
      </c>
      <c r="AF62" s="6" t="s">
        <v>123</v>
      </c>
      <c r="AG62" s="6" t="s">
        <v>123</v>
      </c>
      <c r="AH62" s="6" t="s">
        <v>123</v>
      </c>
      <c r="AI62" s="6" t="s">
        <v>123</v>
      </c>
      <c r="AJ62" s="8"/>
      <c r="AK62" s="8"/>
      <c r="AL62" s="8"/>
      <c r="AM62" s="8"/>
      <c r="AN62" s="8"/>
      <c r="AO62" s="8"/>
      <c r="AP62" s="9" t="s">
        <v>2166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76.5" hidden="false" customHeight="true" outlineLevel="0" collapsed="false">
      <c r="A63" s="6" t="s">
        <v>1</v>
      </c>
      <c r="B63" s="6" t="n">
        <v>2</v>
      </c>
      <c r="C63" s="6" t="n">
        <v>25248133</v>
      </c>
      <c r="D63" s="6" t="s">
        <v>2167</v>
      </c>
      <c r="E63" s="6" t="s">
        <v>832</v>
      </c>
      <c r="F63" s="6" t="s">
        <v>2168</v>
      </c>
      <c r="G63" s="6" t="s">
        <v>2169</v>
      </c>
      <c r="H63" s="6" t="s">
        <v>2170</v>
      </c>
      <c r="I63" s="6" t="s">
        <v>2171</v>
      </c>
      <c r="J63" s="6" t="s">
        <v>2172</v>
      </c>
      <c r="K63" s="6" t="s">
        <v>1813</v>
      </c>
      <c r="L63" s="6" t="s">
        <v>2173</v>
      </c>
      <c r="M63" s="6" t="n">
        <v>5097</v>
      </c>
      <c r="N63" s="7" t="n">
        <v>0.0766</v>
      </c>
      <c r="O63" s="6"/>
      <c r="P63" s="10" t="n">
        <f aca="false">HYPERLINK("https://www.ncbi.nlm.nih.gov/clinvar/variation/434955", 434955)</f>
        <v>434955</v>
      </c>
      <c r="Q63" s="6" t="s">
        <v>283</v>
      </c>
      <c r="R63" s="6" t="s">
        <v>2174</v>
      </c>
      <c r="S63" s="10" t="str">
        <f aca="false">HYPERLINK("https://www.ncbi.nlm.nih.gov/snp/rs77558739", "rs77558739")</f>
        <v>rs77558739</v>
      </c>
      <c r="T63" s="10" t="n">
        <f aca="false">HYPERLINK("https://gnomad.broadinstitute.org/variant/2-25248133-G-A?dataset=gnomad_r4", 0.00702468)</f>
        <v>0.00702468</v>
      </c>
      <c r="U63" s="10" t="n">
        <f aca="false">HYPERLINK("https://gnomad.broadinstitute.org/variant/2-25248133-G-A?dataset=gnomad_r4", 0.000691123)</f>
        <v>0.000691123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14</v>
      </c>
      <c r="AA63" s="6" t="n">
        <v>11</v>
      </c>
      <c r="AB63" s="6" t="n">
        <v>-38</v>
      </c>
      <c r="AC63" s="6" t="n">
        <v>45</v>
      </c>
      <c r="AD63" s="6" t="n">
        <v>0.489</v>
      </c>
      <c r="AE63" s="6" t="s">
        <v>124</v>
      </c>
      <c r="AF63" s="6" t="s">
        <v>123</v>
      </c>
      <c r="AG63" s="6" t="s">
        <v>123</v>
      </c>
      <c r="AH63" s="6" t="s">
        <v>123</v>
      </c>
      <c r="AI63" s="6" t="s">
        <v>123</v>
      </c>
      <c r="AJ63" s="8"/>
      <c r="AK63" s="8"/>
      <c r="AL63" s="8"/>
      <c r="AM63" s="8"/>
      <c r="AN63" s="8"/>
      <c r="AO63" s="8"/>
      <c r="AP63" s="9" t="s">
        <v>2175</v>
      </c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76.5" hidden="false" customHeight="true" outlineLevel="0" collapsed="false">
      <c r="A64" s="6" t="s">
        <v>1</v>
      </c>
      <c r="B64" s="6" t="n">
        <v>2</v>
      </c>
      <c r="C64" s="6" t="n">
        <v>25313958</v>
      </c>
      <c r="D64" s="6" t="s">
        <v>2167</v>
      </c>
      <c r="E64" s="6" t="s">
        <v>832</v>
      </c>
      <c r="F64" s="6" t="s">
        <v>2168</v>
      </c>
      <c r="G64" s="6" t="s">
        <v>587</v>
      </c>
      <c r="H64" s="6" t="s">
        <v>2176</v>
      </c>
      <c r="I64" s="6" t="s">
        <v>2177</v>
      </c>
      <c r="J64" s="6" t="s">
        <v>2178</v>
      </c>
      <c r="K64" s="6" t="s">
        <v>1813</v>
      </c>
      <c r="L64" s="6" t="s">
        <v>2179</v>
      </c>
      <c r="M64" s="6" t="n">
        <v>4667</v>
      </c>
      <c r="N64" s="7" t="n">
        <v>0.0752</v>
      </c>
      <c r="O64" s="6" t="s">
        <v>1879</v>
      </c>
      <c r="P64" s="10" t="n">
        <f aca="false">HYPERLINK("https://www.ncbi.nlm.nih.gov/clinvar/variation/1169865", 1169865)</f>
        <v>1169865</v>
      </c>
      <c r="Q64" s="6" t="s">
        <v>418</v>
      </c>
      <c r="R64" s="6" t="s">
        <v>2180</v>
      </c>
      <c r="S64" s="10" t="str">
        <f aca="false">HYPERLINK("https://www.ncbi.nlm.nih.gov/snp/rs41284843", "rs41284843")</f>
        <v>rs41284843</v>
      </c>
      <c r="T64" s="10" t="n">
        <f aca="false">HYPERLINK("https://gnomad.broadinstitute.org/variant/2-25313958-G-A?dataset=gnomad_r4", 0.0853731)</f>
        <v>0.0853731</v>
      </c>
      <c r="U64" s="10" t="n">
        <f aca="false">HYPERLINK("https://gnomad.broadinstitute.org/variant/2-25313958-G-A?dataset=gnomad_r4", 0.0994588)</f>
        <v>0.0994588</v>
      </c>
      <c r="V64" s="6" t="s">
        <v>123</v>
      </c>
      <c r="W64" s="6" t="s">
        <v>123</v>
      </c>
      <c r="X64" s="6" t="s">
        <v>123</v>
      </c>
      <c r="Y64" s="6" t="s">
        <v>123</v>
      </c>
      <c r="Z64" s="6" t="s">
        <v>123</v>
      </c>
      <c r="AA64" s="6" t="s">
        <v>123</v>
      </c>
      <c r="AB64" s="6" t="s">
        <v>123</v>
      </c>
      <c r="AC64" s="6" t="s">
        <v>123</v>
      </c>
      <c r="AD64" s="6" t="n">
        <v>11.56</v>
      </c>
      <c r="AE64" s="6" t="s">
        <v>2181</v>
      </c>
      <c r="AF64" s="6" t="s">
        <v>123</v>
      </c>
      <c r="AG64" s="6" t="s">
        <v>123</v>
      </c>
      <c r="AH64" s="6" t="s">
        <v>123</v>
      </c>
      <c r="AI64" s="6" t="s">
        <v>123</v>
      </c>
      <c r="AJ64" s="8"/>
      <c r="AK64" s="8"/>
      <c r="AL64" s="8"/>
      <c r="AM64" s="8"/>
      <c r="AN64" s="8"/>
      <c r="AO64" s="8"/>
      <c r="AP64" s="9" t="s">
        <v>2182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76.5" hidden="false" customHeight="true" outlineLevel="0" collapsed="false">
      <c r="A65" s="6" t="s">
        <v>1</v>
      </c>
      <c r="B65" s="6" t="n">
        <v>20</v>
      </c>
      <c r="C65" s="6" t="n">
        <v>35284412</v>
      </c>
      <c r="D65" s="6" t="s">
        <v>2183</v>
      </c>
      <c r="E65" s="6" t="s">
        <v>1415</v>
      </c>
      <c r="F65" s="6" t="s">
        <v>2184</v>
      </c>
      <c r="G65" s="6" t="s">
        <v>2185</v>
      </c>
      <c r="H65" s="6" t="s">
        <v>2186</v>
      </c>
      <c r="I65" s="6" t="s">
        <v>2187</v>
      </c>
      <c r="J65" s="6" t="s">
        <v>2188</v>
      </c>
      <c r="K65" s="6" t="s">
        <v>120</v>
      </c>
      <c r="L65" s="6" t="s">
        <v>2189</v>
      </c>
      <c r="M65" s="6" t="n">
        <v>3806</v>
      </c>
      <c r="N65" s="7" t="n">
        <v>0.0941</v>
      </c>
      <c r="O65" s="6"/>
      <c r="P65" s="6" t="s">
        <v>123</v>
      </c>
      <c r="Q65" s="6" t="s">
        <v>123</v>
      </c>
      <c r="R65" s="6" t="s">
        <v>123</v>
      </c>
      <c r="S65" s="10" t="str">
        <f aca="false">HYPERLINK("https://www.ncbi.nlm.nih.gov/snp/rs1802241", "rs1802241")</f>
        <v>rs1802241</v>
      </c>
      <c r="T65" s="10" t="n">
        <f aca="false">HYPERLINK("https://gnomad.broadinstitute.org/variant/20-35284412-C-A?dataset=gnomad_r4", 0.00786378)</f>
        <v>0.00786378</v>
      </c>
      <c r="U65" s="10" t="n">
        <f aca="false">HYPERLINK("https://gnomad.broadinstitute.org/variant/20-35284412-C-A?dataset=gnomad_r4", 0.0126226)</f>
        <v>0.0126226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-4</v>
      </c>
      <c r="AA65" s="6" t="n">
        <v>1</v>
      </c>
      <c r="AB65" s="6" t="n">
        <v>45</v>
      </c>
      <c r="AC65" s="6" t="n">
        <v>1</v>
      </c>
      <c r="AD65" s="6" t="n">
        <v>23.2</v>
      </c>
      <c r="AE65" s="6" t="s">
        <v>124</v>
      </c>
      <c r="AF65" s="6" t="s">
        <v>123</v>
      </c>
      <c r="AG65" s="6" t="s">
        <v>123</v>
      </c>
      <c r="AH65" s="6" t="s">
        <v>123</v>
      </c>
      <c r="AI65" s="6" t="s">
        <v>123</v>
      </c>
      <c r="AJ65" s="8"/>
      <c r="AK65" s="8"/>
      <c r="AL65" s="8"/>
      <c r="AM65" s="8"/>
      <c r="AN65" s="8"/>
      <c r="AO65" s="8"/>
      <c r="AP65" s="9" t="s">
        <v>2190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76.5" hidden="false" customHeight="true" outlineLevel="0" collapsed="false">
      <c r="A66" s="6" t="s">
        <v>1</v>
      </c>
      <c r="B66" s="6" t="n">
        <v>22</v>
      </c>
      <c r="C66" s="6" t="n">
        <v>41168704</v>
      </c>
      <c r="D66" s="6" t="s">
        <v>633</v>
      </c>
      <c r="E66" s="6" t="s">
        <v>461</v>
      </c>
      <c r="F66" s="6" t="s">
        <v>634</v>
      </c>
      <c r="G66" s="6" t="s">
        <v>123</v>
      </c>
      <c r="H66" s="6" t="s">
        <v>2191</v>
      </c>
      <c r="I66" s="6"/>
      <c r="J66" s="6" t="s">
        <v>123</v>
      </c>
      <c r="K66" s="6" t="s">
        <v>141</v>
      </c>
      <c r="L66" s="6" t="s">
        <v>2192</v>
      </c>
      <c r="M66" s="6" t="n">
        <v>3642</v>
      </c>
      <c r="N66" s="7" t="n">
        <v>0.311</v>
      </c>
      <c r="O66" s="6"/>
      <c r="P66" s="10" t="n">
        <f aca="false">HYPERLINK("https://www.ncbi.nlm.nih.gov/clinvar/variation/93740", 93740)</f>
        <v>93740</v>
      </c>
      <c r="Q66" s="6" t="s">
        <v>418</v>
      </c>
      <c r="R66" s="6" t="s">
        <v>2193</v>
      </c>
      <c r="S66" s="10" t="str">
        <f aca="false">HYPERLINK("https://www.ncbi.nlm.nih.gov/snp/rs2294976", "rs2294976")</f>
        <v>rs2294976</v>
      </c>
      <c r="T66" s="10" t="n">
        <f aca="false">HYPERLINK("https://gnomad.broadinstitute.org/variant/22-41168704-C-A?dataset=gnomad_r4", 0.0735769)</f>
        <v>0.0735769</v>
      </c>
      <c r="U66" s="10" t="n">
        <f aca="false">HYPERLINK("https://gnomad.broadinstitute.org/variant/22-41168704-C-A?dataset=gnomad_r4", 0.0897202)</f>
        <v>0.0897202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29</v>
      </c>
      <c r="AA66" s="6" t="n">
        <v>17</v>
      </c>
      <c r="AB66" s="6" t="n">
        <v>16</v>
      </c>
      <c r="AC66" s="6" t="n">
        <v>29</v>
      </c>
      <c r="AD66" s="6" t="n">
        <v>1.587</v>
      </c>
      <c r="AE66" s="6" t="s">
        <v>124</v>
      </c>
      <c r="AF66" s="6" t="s">
        <v>123</v>
      </c>
      <c r="AG66" s="6" t="s">
        <v>123</v>
      </c>
      <c r="AH66" s="6" t="s">
        <v>123</v>
      </c>
      <c r="AI66" s="6" t="s">
        <v>123</v>
      </c>
      <c r="AJ66" s="8"/>
      <c r="AK66" s="8"/>
      <c r="AL66" s="8"/>
      <c r="AM66" s="8"/>
      <c r="AN66" s="8"/>
      <c r="AO66" s="8"/>
      <c r="AP66" s="9" t="s">
        <v>2194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76.5" hidden="false" customHeight="true" outlineLevel="0" collapsed="false">
      <c r="A67" s="6" t="s">
        <v>1</v>
      </c>
      <c r="B67" s="6" t="n">
        <v>22</v>
      </c>
      <c r="C67" s="6" t="n">
        <v>41168501</v>
      </c>
      <c r="D67" s="6" t="s">
        <v>633</v>
      </c>
      <c r="E67" s="6" t="s">
        <v>461</v>
      </c>
      <c r="F67" s="6" t="s">
        <v>634</v>
      </c>
      <c r="G67" s="6" t="s">
        <v>2195</v>
      </c>
      <c r="H67" s="6" t="s">
        <v>2196</v>
      </c>
      <c r="I67" s="6" t="s">
        <v>2197</v>
      </c>
      <c r="J67" s="6" t="s">
        <v>2198</v>
      </c>
      <c r="K67" s="6" t="s">
        <v>1813</v>
      </c>
      <c r="L67" s="6" t="s">
        <v>2199</v>
      </c>
      <c r="M67" s="6" t="n">
        <v>3716</v>
      </c>
      <c r="N67" s="7" t="n">
        <v>0.0681</v>
      </c>
      <c r="O67" s="6"/>
      <c r="P67" s="6" t="s">
        <v>123</v>
      </c>
      <c r="Q67" s="6" t="s">
        <v>123</v>
      </c>
      <c r="R67" s="6" t="s">
        <v>123</v>
      </c>
      <c r="S67" s="10" t="str">
        <f aca="false">HYPERLINK("https://www.ncbi.nlm.nih.gov/snp/rs753032571", "rs753032571")</f>
        <v>rs753032571</v>
      </c>
      <c r="T67" s="6" t="s">
        <v>123</v>
      </c>
      <c r="U67" s="6" t="s">
        <v>123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-19</v>
      </c>
      <c r="AA67" s="6" t="n">
        <v>13</v>
      </c>
      <c r="AB67" s="6" t="n">
        <v>33</v>
      </c>
      <c r="AC67" s="6" t="n">
        <v>-36</v>
      </c>
      <c r="AD67" s="6" t="n">
        <v>12.32</v>
      </c>
      <c r="AE67" s="6" t="s">
        <v>124</v>
      </c>
      <c r="AF67" s="6" t="s">
        <v>123</v>
      </c>
      <c r="AG67" s="6" t="s">
        <v>123</v>
      </c>
      <c r="AH67" s="6" t="s">
        <v>123</v>
      </c>
      <c r="AI67" s="6" t="s">
        <v>123</v>
      </c>
      <c r="AJ67" s="8"/>
      <c r="AK67" s="8"/>
      <c r="AL67" s="8"/>
      <c r="AM67" s="8"/>
      <c r="AN67" s="8"/>
      <c r="AO67" s="8"/>
      <c r="AP67" s="9" t="s">
        <v>2200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76.5" hidden="false" customHeight="true" outlineLevel="0" collapsed="false">
      <c r="A68" s="6" t="s">
        <v>1</v>
      </c>
      <c r="B68" s="6" t="n">
        <v>22</v>
      </c>
      <c r="C68" s="6" t="n">
        <v>41154980</v>
      </c>
      <c r="D68" s="6" t="s">
        <v>633</v>
      </c>
      <c r="E68" s="6" t="s">
        <v>461</v>
      </c>
      <c r="F68" s="6" t="s">
        <v>634</v>
      </c>
      <c r="G68" s="6" t="s">
        <v>123</v>
      </c>
      <c r="H68" s="6" t="s">
        <v>2201</v>
      </c>
      <c r="I68" s="6"/>
      <c r="J68" s="6" t="s">
        <v>123</v>
      </c>
      <c r="K68" s="6" t="s">
        <v>127</v>
      </c>
      <c r="L68" s="6" t="s">
        <v>2202</v>
      </c>
      <c r="M68" s="6" t="n">
        <v>2370</v>
      </c>
      <c r="N68" s="7" t="n">
        <v>0.0352</v>
      </c>
      <c r="O68" s="6" t="s">
        <v>1859</v>
      </c>
      <c r="P68" s="10" t="n">
        <f aca="false">HYPERLINK("https://www.ncbi.nlm.nih.gov/clinvar/variation/194724", 194724)</f>
        <v>194724</v>
      </c>
      <c r="Q68" s="6" t="s">
        <v>283</v>
      </c>
      <c r="R68" s="6" t="s">
        <v>2193</v>
      </c>
      <c r="S68" s="10" t="str">
        <f aca="false">HYPERLINK("https://www.ncbi.nlm.nih.gov/snp/rs757931697", "rs757931697")</f>
        <v>rs757931697</v>
      </c>
      <c r="T68" s="10" t="n">
        <f aca="false">HYPERLINK("https://gnomad.broadinstitute.org/variant/22-41154980-C-CT?dataset=gnomad_r4", 0.000815195)</f>
        <v>0.000815195</v>
      </c>
      <c r="U68" s="10" t="n">
        <f aca="false">HYPERLINK("https://gnomad.broadinstitute.org/variant/22-41154980-C-CT?dataset=gnomad_r4", 0.0652115)</f>
        <v>0.0652115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15</v>
      </c>
      <c r="AA68" s="6" t="n">
        <v>27</v>
      </c>
      <c r="AB68" s="6" t="n">
        <v>27</v>
      </c>
      <c r="AC68" s="6" t="n">
        <v>-20</v>
      </c>
      <c r="AD68" s="6" t="n">
        <v>1.42</v>
      </c>
      <c r="AE68" s="6" t="s">
        <v>124</v>
      </c>
      <c r="AF68" s="6" t="s">
        <v>123</v>
      </c>
      <c r="AG68" s="6" t="s">
        <v>123</v>
      </c>
      <c r="AH68" s="6" t="s">
        <v>123</v>
      </c>
      <c r="AI68" s="6" t="s">
        <v>123</v>
      </c>
      <c r="AJ68" s="8"/>
      <c r="AK68" s="8"/>
      <c r="AL68" s="8"/>
      <c r="AM68" s="8"/>
      <c r="AN68" s="8"/>
      <c r="AO68" s="8"/>
      <c r="AP68" s="9" t="s">
        <v>2203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76.5" hidden="false" customHeight="true" outlineLevel="0" collapsed="false">
      <c r="A69" s="6" t="s">
        <v>1</v>
      </c>
      <c r="B69" s="6" t="n">
        <v>22</v>
      </c>
      <c r="C69" s="6" t="n">
        <v>41154980</v>
      </c>
      <c r="D69" s="6" t="s">
        <v>633</v>
      </c>
      <c r="E69" s="6" t="s">
        <v>461</v>
      </c>
      <c r="F69" s="6" t="s">
        <v>634</v>
      </c>
      <c r="G69" s="6" t="s">
        <v>123</v>
      </c>
      <c r="H69" s="6" t="s">
        <v>2204</v>
      </c>
      <c r="I69" s="6"/>
      <c r="J69" s="6" t="s">
        <v>123</v>
      </c>
      <c r="K69" s="6" t="s">
        <v>127</v>
      </c>
      <c r="L69" s="6" t="s">
        <v>2205</v>
      </c>
      <c r="M69" s="6" t="n">
        <v>2370</v>
      </c>
      <c r="N69" s="7" t="n">
        <v>0.194</v>
      </c>
      <c r="O69" s="6" t="s">
        <v>1859</v>
      </c>
      <c r="P69" s="10" t="n">
        <f aca="false">HYPERLINK("https://www.ncbi.nlm.nih.gov/clinvar/variation/194725", 194725)</f>
        <v>194725</v>
      </c>
      <c r="Q69" s="6" t="s">
        <v>409</v>
      </c>
      <c r="R69" s="6" t="s">
        <v>2206</v>
      </c>
      <c r="S69" s="10" t="str">
        <f aca="false">HYPERLINK("https://www.ncbi.nlm.nih.gov/snp/rs757931697", "rs757931697")</f>
        <v>rs757931697</v>
      </c>
      <c r="T69" s="10" t="n">
        <f aca="false">HYPERLINK("https://gnomad.broadinstitute.org/variant/22-41154980-CT-C?dataset=gnomad_r4", 0.00105964)</f>
        <v>0.00105964</v>
      </c>
      <c r="U69" s="10" t="n">
        <f aca="false">HYPERLINK("https://gnomad.broadinstitute.org/variant/22-41154980-CT-C?dataset=gnomad_r4", 0.0133391)</f>
        <v>0.0133391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27</v>
      </c>
      <c r="AA69" s="6" t="n">
        <v>14</v>
      </c>
      <c r="AB69" s="6" t="n">
        <v>40</v>
      </c>
      <c r="AC69" s="6" t="n">
        <v>-20</v>
      </c>
      <c r="AD69" s="6" t="n">
        <v>0.454</v>
      </c>
      <c r="AE69" s="6" t="s">
        <v>124</v>
      </c>
      <c r="AF69" s="6" t="s">
        <v>123</v>
      </c>
      <c r="AG69" s="6" t="s">
        <v>123</v>
      </c>
      <c r="AH69" s="6" t="s">
        <v>123</v>
      </c>
      <c r="AI69" s="6" t="s">
        <v>123</v>
      </c>
      <c r="AJ69" s="8"/>
      <c r="AK69" s="8"/>
      <c r="AL69" s="8"/>
      <c r="AM69" s="8"/>
      <c r="AN69" s="8"/>
      <c r="AO69" s="8"/>
      <c r="AP69" s="9" t="s">
        <v>2207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76.5" hidden="false" customHeight="true" outlineLevel="0" collapsed="false">
      <c r="A70" s="6" t="s">
        <v>1</v>
      </c>
      <c r="B70" s="6" t="n">
        <v>22</v>
      </c>
      <c r="C70" s="6" t="n">
        <v>41149020</v>
      </c>
      <c r="D70" s="6" t="s">
        <v>633</v>
      </c>
      <c r="E70" s="6" t="s">
        <v>461</v>
      </c>
      <c r="F70" s="6" t="s">
        <v>634</v>
      </c>
      <c r="G70" s="6" t="s">
        <v>123</v>
      </c>
      <c r="H70" s="6" t="s">
        <v>2208</v>
      </c>
      <c r="I70" s="6"/>
      <c r="J70" s="6" t="s">
        <v>123</v>
      </c>
      <c r="K70" s="6" t="s">
        <v>127</v>
      </c>
      <c r="L70" s="6" t="s">
        <v>2209</v>
      </c>
      <c r="M70" s="6" t="n">
        <v>3669</v>
      </c>
      <c r="N70" s="7" t="n">
        <v>0.0344</v>
      </c>
      <c r="O70" s="6" t="s">
        <v>1820</v>
      </c>
      <c r="P70" s="10" t="n">
        <f aca="false">HYPERLINK("https://www.ncbi.nlm.nih.gov/clinvar/variation/1265214", 1265214)</f>
        <v>1265214</v>
      </c>
      <c r="Q70" s="6" t="s">
        <v>418</v>
      </c>
      <c r="R70" s="6" t="s">
        <v>181</v>
      </c>
      <c r="S70" s="10" t="str">
        <f aca="false">HYPERLINK("https://www.ncbi.nlm.nih.gov/snp/rs747710183", "rs747710183")</f>
        <v>rs747710183</v>
      </c>
      <c r="T70" s="10" t="n">
        <f aca="false">HYPERLINK("https://gnomad.broadinstitute.org/variant/22-41149020-GT-G?dataset=gnomad_r4", 0.0487082)</f>
        <v>0.0487082</v>
      </c>
      <c r="U70" s="10" t="n">
        <f aca="false">HYPERLINK("https://gnomad.broadinstitute.org/variant/22-41149020-GT-G?dataset=gnomad_r4", 0.0844004)</f>
        <v>0.0844004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-13</v>
      </c>
      <c r="AA70" s="6" t="n">
        <v>18</v>
      </c>
      <c r="AB70" s="6" t="n">
        <v>36</v>
      </c>
      <c r="AC70" s="6" t="n">
        <v>31</v>
      </c>
      <c r="AD70" s="6" t="n">
        <v>0.143</v>
      </c>
      <c r="AE70" s="6" t="s">
        <v>124</v>
      </c>
      <c r="AF70" s="6" t="s">
        <v>123</v>
      </c>
      <c r="AG70" s="6" t="s">
        <v>123</v>
      </c>
      <c r="AH70" s="6" t="s">
        <v>123</v>
      </c>
      <c r="AI70" s="6" t="s">
        <v>123</v>
      </c>
      <c r="AJ70" s="8"/>
      <c r="AK70" s="8"/>
      <c r="AL70" s="8"/>
      <c r="AM70" s="8"/>
      <c r="AN70" s="8"/>
      <c r="AO70" s="8"/>
      <c r="AP70" s="9" t="s">
        <v>2210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76.5" hidden="false" customHeight="true" outlineLevel="0" collapsed="false">
      <c r="A71" s="6" t="s">
        <v>1</v>
      </c>
      <c r="B71" s="6" t="n">
        <v>12</v>
      </c>
      <c r="C71" s="6" t="n">
        <v>56101378</v>
      </c>
      <c r="D71" s="6" t="s">
        <v>684</v>
      </c>
      <c r="E71" s="6" t="s">
        <v>147</v>
      </c>
      <c r="F71" s="6" t="s">
        <v>685</v>
      </c>
      <c r="G71" s="6" t="s">
        <v>123</v>
      </c>
      <c r="H71" s="6" t="s">
        <v>2211</v>
      </c>
      <c r="I71" s="6"/>
      <c r="J71" s="6" t="s">
        <v>123</v>
      </c>
      <c r="K71" s="6" t="s">
        <v>141</v>
      </c>
      <c r="L71" s="6" t="s">
        <v>2212</v>
      </c>
      <c r="M71" s="6" t="n">
        <v>3344</v>
      </c>
      <c r="N71" s="7" t="n">
        <v>0.0654</v>
      </c>
      <c r="O71" s="6"/>
      <c r="P71" s="10" t="n">
        <f aca="false">HYPERLINK("https://www.ncbi.nlm.nih.gov/clinvar/variation/1230429", 1230429)</f>
        <v>1230429</v>
      </c>
      <c r="Q71" s="6" t="s">
        <v>418</v>
      </c>
      <c r="R71" s="6" t="s">
        <v>181</v>
      </c>
      <c r="S71" s="10" t="str">
        <f aca="false">HYPERLINK("https://www.ncbi.nlm.nih.gov/snp/rs75064496", "rs75064496")</f>
        <v>rs75064496</v>
      </c>
      <c r="T71" s="10" t="n">
        <f aca="false">HYPERLINK("https://gnomad.broadinstitute.org/variant/12-56101378-A-C?dataset=gnomad_r4", 0.0777493)</f>
        <v>0.0777493</v>
      </c>
      <c r="U71" s="10" t="n">
        <f aca="false">HYPERLINK("https://gnomad.broadinstitute.org/variant/12-56101378-A-C?dataset=gnomad_r4", 0.00805046)</f>
        <v>0.00805046</v>
      </c>
      <c r="V71" s="6" t="n">
        <v>0</v>
      </c>
      <c r="W71" s="6" t="n">
        <v>0</v>
      </c>
      <c r="X71" s="6" t="n">
        <v>0</v>
      </c>
      <c r="Y71" s="6" t="n">
        <v>0.04</v>
      </c>
      <c r="Z71" s="6" t="n">
        <v>-31</v>
      </c>
      <c r="AA71" s="6" t="n">
        <v>-47</v>
      </c>
      <c r="AB71" s="6" t="n">
        <v>-15</v>
      </c>
      <c r="AC71" s="6" t="n">
        <v>-17</v>
      </c>
      <c r="AD71" s="6" t="n">
        <v>9.341</v>
      </c>
      <c r="AE71" s="6" t="s">
        <v>124</v>
      </c>
      <c r="AF71" s="6" t="s">
        <v>123</v>
      </c>
      <c r="AG71" s="6" t="s">
        <v>123</v>
      </c>
      <c r="AH71" s="6" t="s">
        <v>123</v>
      </c>
      <c r="AI71" s="6" t="s">
        <v>123</v>
      </c>
      <c r="AJ71" s="8"/>
      <c r="AK71" s="8"/>
      <c r="AL71" s="8"/>
      <c r="AM71" s="8"/>
      <c r="AN71" s="8"/>
      <c r="AO71" s="8"/>
      <c r="AP71" s="9" t="s">
        <v>2213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76.5" hidden="false" customHeight="true" outlineLevel="0" collapsed="false">
      <c r="A72" s="6" t="s">
        <v>1</v>
      </c>
      <c r="B72" s="6" t="n">
        <v>12</v>
      </c>
      <c r="C72" s="6" t="n">
        <v>11869988</v>
      </c>
      <c r="D72" s="6" t="s">
        <v>2214</v>
      </c>
      <c r="E72" s="6" t="s">
        <v>531</v>
      </c>
      <c r="F72" s="6" t="s">
        <v>2215</v>
      </c>
      <c r="G72" s="6" t="s">
        <v>123</v>
      </c>
      <c r="H72" s="6" t="s">
        <v>2216</v>
      </c>
      <c r="I72" s="6"/>
      <c r="J72" s="6" t="s">
        <v>123</v>
      </c>
      <c r="K72" s="6" t="s">
        <v>141</v>
      </c>
      <c r="L72" s="6" t="s">
        <v>2217</v>
      </c>
      <c r="M72" s="6" t="n">
        <v>4188</v>
      </c>
      <c r="N72" s="7" t="n">
        <v>0.077</v>
      </c>
      <c r="O72" s="6"/>
      <c r="P72" s="10" t="n">
        <f aca="false">HYPERLINK("https://www.ncbi.nlm.nih.gov/clinvar/variation/1186762", 1186762)</f>
        <v>1186762</v>
      </c>
      <c r="Q72" s="6" t="s">
        <v>283</v>
      </c>
      <c r="R72" s="6" t="s">
        <v>181</v>
      </c>
      <c r="S72" s="10" t="str">
        <f aca="false">HYPERLINK("https://www.ncbi.nlm.nih.gov/snp/rs61229425", "rs61229425")</f>
        <v>rs61229425</v>
      </c>
      <c r="T72" s="10" t="n">
        <f aca="false">HYPERLINK("https://gnomad.broadinstitute.org/variant/12-11869988-C-T?dataset=gnomad_r4", 0.00768584)</f>
        <v>0.00768584</v>
      </c>
      <c r="U72" s="10" t="n">
        <f aca="false">HYPERLINK("https://gnomad.broadinstitute.org/variant/12-11869988-C-T?dataset=gnomad_r4", 0.00085898)</f>
        <v>0.00085898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11</v>
      </c>
      <c r="AA72" s="6" t="n">
        <v>-19</v>
      </c>
      <c r="AB72" s="6" t="n">
        <v>-15</v>
      </c>
      <c r="AC72" s="6" t="n">
        <v>-20</v>
      </c>
      <c r="AD72" s="6" t="n">
        <v>0.198</v>
      </c>
      <c r="AE72" s="6" t="s">
        <v>124</v>
      </c>
      <c r="AF72" s="6" t="s">
        <v>123</v>
      </c>
      <c r="AG72" s="6" t="s">
        <v>123</v>
      </c>
      <c r="AH72" s="6" t="s">
        <v>123</v>
      </c>
      <c r="AI72" s="6" t="s">
        <v>123</v>
      </c>
      <c r="AJ72" s="8"/>
      <c r="AK72" s="8"/>
      <c r="AL72" s="8"/>
      <c r="AM72" s="8"/>
      <c r="AN72" s="8"/>
      <c r="AO72" s="8"/>
      <c r="AP72" s="9" t="s">
        <v>2218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76.5" hidden="false" customHeight="true" outlineLevel="0" collapsed="false">
      <c r="A73" s="6" t="s">
        <v>1</v>
      </c>
      <c r="B73" s="6" t="n">
        <v>12</v>
      </c>
      <c r="C73" s="6" t="n">
        <v>11869449</v>
      </c>
      <c r="D73" s="6" t="s">
        <v>2214</v>
      </c>
      <c r="E73" s="6" t="s">
        <v>531</v>
      </c>
      <c r="F73" s="6" t="s">
        <v>2215</v>
      </c>
      <c r="G73" s="6" t="s">
        <v>1424</v>
      </c>
      <c r="H73" s="6" t="s">
        <v>2219</v>
      </c>
      <c r="I73" s="6" t="s">
        <v>2220</v>
      </c>
      <c r="J73" s="6" t="s">
        <v>2221</v>
      </c>
      <c r="K73" s="6" t="s">
        <v>1813</v>
      </c>
      <c r="L73" s="6" t="s">
        <v>2222</v>
      </c>
      <c r="M73" s="6" t="n">
        <v>3115</v>
      </c>
      <c r="N73" s="7" t="n">
        <v>0.316</v>
      </c>
      <c r="O73" s="6"/>
      <c r="P73" s="10" t="n">
        <f aca="false">HYPERLINK("https://www.ncbi.nlm.nih.gov/clinvar/variation/4251438", 4251438)</f>
        <v>4251438</v>
      </c>
      <c r="Q73" s="6" t="s">
        <v>215</v>
      </c>
      <c r="R73" s="6" t="s">
        <v>1057</v>
      </c>
      <c r="S73" s="10" t="str">
        <f aca="false">HYPERLINK("https://www.ncbi.nlm.nih.gov/snp/rs1255318252", "rs1255318252")</f>
        <v>rs1255318252</v>
      </c>
      <c r="T73" s="6" t="s">
        <v>123</v>
      </c>
      <c r="U73" s="10" t="n">
        <f aca="false">HYPERLINK("https://gnomad.broadinstitute.org/variant/12-11869449-G-A?dataset=gnomad_r4", 0.00000205401)</f>
        <v>2.05401E-006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-25</v>
      </c>
      <c r="AA73" s="6" t="n">
        <v>-11</v>
      </c>
      <c r="AB73" s="6" t="n">
        <v>22</v>
      </c>
      <c r="AC73" s="6" t="n">
        <v>-25</v>
      </c>
      <c r="AD73" s="6" t="n">
        <v>10.1</v>
      </c>
      <c r="AE73" s="6" t="s">
        <v>124</v>
      </c>
      <c r="AF73" s="6" t="s">
        <v>123</v>
      </c>
      <c r="AG73" s="6" t="s">
        <v>123</v>
      </c>
      <c r="AH73" s="6" t="s">
        <v>123</v>
      </c>
      <c r="AI73" s="6" t="s">
        <v>123</v>
      </c>
      <c r="AJ73" s="8"/>
      <c r="AK73" s="8"/>
      <c r="AL73" s="8"/>
      <c r="AM73" s="8"/>
      <c r="AN73" s="8"/>
      <c r="AO73" s="8"/>
      <c r="AP73" s="9" t="s">
        <v>2223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76.5" hidden="false" customHeight="true" outlineLevel="0" collapsed="false">
      <c r="A74" s="6" t="s">
        <v>1</v>
      </c>
      <c r="B74" s="6" t="n">
        <v>7</v>
      </c>
      <c r="C74" s="6" t="n">
        <v>148846601</v>
      </c>
      <c r="D74" s="6" t="s">
        <v>692</v>
      </c>
      <c r="E74" s="6" t="s">
        <v>693</v>
      </c>
      <c r="F74" s="6" t="s">
        <v>694</v>
      </c>
      <c r="G74" s="6" t="s">
        <v>123</v>
      </c>
      <c r="H74" s="6" t="s">
        <v>2224</v>
      </c>
      <c r="I74" s="6"/>
      <c r="J74" s="6" t="s">
        <v>123</v>
      </c>
      <c r="K74" s="6" t="s">
        <v>127</v>
      </c>
      <c r="L74" s="6" t="s">
        <v>2225</v>
      </c>
      <c r="M74" s="6" t="n">
        <v>3512</v>
      </c>
      <c r="N74" s="7" t="n">
        <v>0.157</v>
      </c>
      <c r="O74" s="6" t="s">
        <v>1820</v>
      </c>
      <c r="P74" s="10" t="n">
        <f aca="false">HYPERLINK("https://www.ncbi.nlm.nih.gov/clinvar/variation/359288", 359288)</f>
        <v>359288</v>
      </c>
      <c r="Q74" s="6" t="s">
        <v>283</v>
      </c>
      <c r="R74" s="6" t="s">
        <v>2226</v>
      </c>
      <c r="S74" s="10" t="str">
        <f aca="false">HYPERLINK("https://www.ncbi.nlm.nih.gov/snp/rs3214332", "rs3214332")</f>
        <v>rs3214332</v>
      </c>
      <c r="T74" s="10" t="n">
        <f aca="false">HYPERLINK("https://gnomad.broadinstitute.org/variant/7-148846601-TAA-T?dataset=gnomad_r4", 0.000053166)</f>
        <v>5.3166E-005</v>
      </c>
      <c r="U74" s="10" t="n">
        <f aca="false">HYPERLINK("https://gnomad.broadinstitute.org/variant/7-148846601-TAA-T?dataset=gnomad_r4", 0.00133646)</f>
        <v>0.00133646</v>
      </c>
      <c r="V74" s="6" t="n">
        <v>0.02</v>
      </c>
      <c r="W74" s="6" t="n">
        <v>0</v>
      </c>
      <c r="X74" s="6" t="n">
        <v>0</v>
      </c>
      <c r="Y74" s="6" t="n">
        <v>0</v>
      </c>
      <c r="Z74" s="6" t="n">
        <v>-5</v>
      </c>
      <c r="AA74" s="6" t="n">
        <v>-14</v>
      </c>
      <c r="AB74" s="6" t="n">
        <v>-3</v>
      </c>
      <c r="AC74" s="6" t="n">
        <v>3</v>
      </c>
      <c r="AD74" s="6" t="n">
        <v>7.156</v>
      </c>
      <c r="AE74" s="6" t="s">
        <v>2227</v>
      </c>
      <c r="AF74" s="6" t="s">
        <v>123</v>
      </c>
      <c r="AG74" s="6" t="s">
        <v>123</v>
      </c>
      <c r="AH74" s="6" t="s">
        <v>123</v>
      </c>
      <c r="AI74" s="6" t="s">
        <v>123</v>
      </c>
      <c r="AJ74" s="8"/>
      <c r="AK74" s="8"/>
      <c r="AL74" s="8"/>
      <c r="AM74" s="8"/>
      <c r="AN74" s="8"/>
      <c r="AO74" s="8"/>
      <c r="AP74" s="9" t="s">
        <v>2228</v>
      </c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76.5" hidden="false" customHeight="true" outlineLevel="0" collapsed="false">
      <c r="A75" s="6" t="s">
        <v>1</v>
      </c>
      <c r="B75" s="6" t="n">
        <v>7</v>
      </c>
      <c r="C75" s="6" t="n">
        <v>148828887</v>
      </c>
      <c r="D75" s="6" t="s">
        <v>692</v>
      </c>
      <c r="E75" s="6" t="s">
        <v>693</v>
      </c>
      <c r="F75" s="6" t="s">
        <v>694</v>
      </c>
      <c r="G75" s="6" t="s">
        <v>123</v>
      </c>
      <c r="H75" s="6" t="s">
        <v>2229</v>
      </c>
      <c r="I75" s="6"/>
      <c r="J75" s="6" t="s">
        <v>123</v>
      </c>
      <c r="K75" s="6" t="s">
        <v>127</v>
      </c>
      <c r="L75" s="6" t="s">
        <v>2230</v>
      </c>
      <c r="M75" s="6" t="n">
        <v>3758</v>
      </c>
      <c r="N75" s="7" t="n">
        <v>0.0937</v>
      </c>
      <c r="O75" s="6" t="s">
        <v>1879</v>
      </c>
      <c r="P75" s="10" t="n">
        <f aca="false">HYPERLINK("https://www.ncbi.nlm.nih.gov/clinvar/variation/198172", 198172)</f>
        <v>198172</v>
      </c>
      <c r="Q75" s="6" t="s">
        <v>418</v>
      </c>
      <c r="R75" s="6" t="s">
        <v>2231</v>
      </c>
      <c r="S75" s="10" t="str">
        <f aca="false">HYPERLINK("https://www.ncbi.nlm.nih.gov/snp/rs112932272", "rs112932272")</f>
        <v>rs112932272</v>
      </c>
      <c r="T75" s="10" t="n">
        <f aca="false">HYPERLINK("https://gnomad.broadinstitute.org/variant/7-148828887-C-T?dataset=gnomad_r4", 0.00934795)</f>
        <v>0.00934795</v>
      </c>
      <c r="U75" s="10" t="n">
        <f aca="false">HYPERLINK("https://gnomad.broadinstitute.org/variant/7-148828887-C-T?dataset=gnomad_r4", 0.00114765)</f>
        <v>0.00114765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-7</v>
      </c>
      <c r="AA75" s="6" t="n">
        <v>-42</v>
      </c>
      <c r="AB75" s="6" t="n">
        <v>23</v>
      </c>
      <c r="AC75" s="6" t="n">
        <v>-7</v>
      </c>
      <c r="AD75" s="6" t="n">
        <v>2.81</v>
      </c>
      <c r="AE75" s="6" t="s">
        <v>124</v>
      </c>
      <c r="AF75" s="6" t="s">
        <v>123</v>
      </c>
      <c r="AG75" s="6" t="s">
        <v>123</v>
      </c>
      <c r="AH75" s="6" t="s">
        <v>123</v>
      </c>
      <c r="AI75" s="6" t="s">
        <v>123</v>
      </c>
      <c r="AJ75" s="8"/>
      <c r="AK75" s="8"/>
      <c r="AL75" s="8"/>
      <c r="AM75" s="8"/>
      <c r="AN75" s="8"/>
      <c r="AO75" s="8"/>
      <c r="AP75" s="9" t="s">
        <v>2232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76.5" hidden="false" customHeight="true" outlineLevel="0" collapsed="false">
      <c r="A76" s="6" t="s">
        <v>1</v>
      </c>
      <c r="B76" s="6" t="n">
        <v>7</v>
      </c>
      <c r="C76" s="6" t="n">
        <v>148828812</v>
      </c>
      <c r="D76" s="6" t="s">
        <v>692</v>
      </c>
      <c r="E76" s="6" t="s">
        <v>693</v>
      </c>
      <c r="F76" s="6" t="s">
        <v>694</v>
      </c>
      <c r="G76" s="6" t="s">
        <v>695</v>
      </c>
      <c r="H76" s="6" t="s">
        <v>2233</v>
      </c>
      <c r="I76" s="6" t="s">
        <v>2234</v>
      </c>
      <c r="J76" s="6" t="s">
        <v>2235</v>
      </c>
      <c r="K76" s="6" t="s">
        <v>120</v>
      </c>
      <c r="L76" s="6" t="s">
        <v>2236</v>
      </c>
      <c r="M76" s="6" t="n">
        <v>5028</v>
      </c>
      <c r="N76" s="7" t="n">
        <v>0.0725</v>
      </c>
      <c r="O76" s="6" t="s">
        <v>1879</v>
      </c>
      <c r="P76" s="10" t="n">
        <f aca="false">HYPERLINK("https://www.ncbi.nlm.nih.gov/clinvar/variation/134224", 134224)</f>
        <v>134224</v>
      </c>
      <c r="Q76" s="6" t="s">
        <v>418</v>
      </c>
      <c r="R76" s="6" t="s">
        <v>2237</v>
      </c>
      <c r="S76" s="10" t="str">
        <f aca="false">HYPERLINK("https://www.ncbi.nlm.nih.gov/snp/rs2302427", "rs2302427")</f>
        <v>rs2302427</v>
      </c>
      <c r="T76" s="10" t="n">
        <f aca="false">HYPERLINK("https://gnomad.broadinstitute.org/variant/7-148828812-C-G?dataset=gnomad_r4", 0.0620856)</f>
        <v>0.0620856</v>
      </c>
      <c r="U76" s="10" t="n">
        <f aca="false">HYPERLINK("https://gnomad.broadinstitute.org/variant/7-148828812-C-G?dataset=gnomad_r4", 0.0748772)</f>
        <v>0.0748772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-19</v>
      </c>
      <c r="AA76" s="6" t="n">
        <v>44</v>
      </c>
      <c r="AB76" s="6" t="n">
        <v>18</v>
      </c>
      <c r="AC76" s="6" t="n">
        <v>-38</v>
      </c>
      <c r="AD76" s="6" t="n">
        <v>24.8</v>
      </c>
      <c r="AE76" s="6" t="s">
        <v>2238</v>
      </c>
      <c r="AF76" s="6" t="s">
        <v>123</v>
      </c>
      <c r="AG76" s="6" t="s">
        <v>123</v>
      </c>
      <c r="AH76" s="6" t="s">
        <v>123</v>
      </c>
      <c r="AI76" s="6" t="s">
        <v>123</v>
      </c>
      <c r="AJ76" s="8"/>
      <c r="AK76" s="8"/>
      <c r="AL76" s="8"/>
      <c r="AM76" s="8"/>
      <c r="AN76" s="8"/>
      <c r="AO76" s="8"/>
      <c r="AP76" s="9" t="s">
        <v>2239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76.5" hidden="false" customHeight="true" outlineLevel="0" collapsed="false">
      <c r="A77" s="6" t="s">
        <v>1</v>
      </c>
      <c r="B77" s="6" t="n">
        <v>4</v>
      </c>
      <c r="C77" s="6" t="n">
        <v>152347075</v>
      </c>
      <c r="D77" s="6" t="s">
        <v>714</v>
      </c>
      <c r="E77" s="6" t="s">
        <v>715</v>
      </c>
      <c r="F77" s="6" t="s">
        <v>716</v>
      </c>
      <c r="G77" s="6" t="s">
        <v>123</v>
      </c>
      <c r="H77" s="6" t="s">
        <v>2240</v>
      </c>
      <c r="I77" s="6"/>
      <c r="J77" s="6" t="s">
        <v>123</v>
      </c>
      <c r="K77" s="6" t="s">
        <v>127</v>
      </c>
      <c r="L77" s="6" t="s">
        <v>2241</v>
      </c>
      <c r="M77" s="6" t="n">
        <v>1980</v>
      </c>
      <c r="N77" s="7" t="n">
        <v>0.38</v>
      </c>
      <c r="O77" s="6" t="s">
        <v>1820</v>
      </c>
      <c r="P77" s="6" t="s">
        <v>123</v>
      </c>
      <c r="Q77" s="6" t="s">
        <v>123</v>
      </c>
      <c r="R77" s="6" t="s">
        <v>123</v>
      </c>
      <c r="S77" s="10" t="str">
        <f aca="false">HYPERLINK("https://www.ncbi.nlm.nih.gov/snp/rs745908066", "rs745908066")</f>
        <v>rs745908066</v>
      </c>
      <c r="T77" s="10" t="n">
        <f aca="false">HYPERLINK("https://gnomad.broadinstitute.org/variant/4-152347075-CAA-C?dataset=gnomad_r4", 0.000406752)</f>
        <v>0.000406752</v>
      </c>
      <c r="U77" s="10" t="n">
        <f aca="false">HYPERLINK("https://gnomad.broadinstitute.org/variant/4-152347075-CAA-C?dataset=gnomad_r4", 0.00980038)</f>
        <v>0.00980038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-4</v>
      </c>
      <c r="AA77" s="6" t="n">
        <v>-30</v>
      </c>
      <c r="AB77" s="6" t="n">
        <v>-12</v>
      </c>
      <c r="AC77" s="6" t="n">
        <v>4</v>
      </c>
      <c r="AD77" s="6" t="n">
        <v>2.631</v>
      </c>
      <c r="AE77" s="6" t="s">
        <v>1822</v>
      </c>
      <c r="AF77" s="6" t="s">
        <v>123</v>
      </c>
      <c r="AG77" s="6" t="s">
        <v>123</v>
      </c>
      <c r="AH77" s="6" t="s">
        <v>123</v>
      </c>
      <c r="AI77" s="6" t="s">
        <v>123</v>
      </c>
      <c r="AJ77" s="8"/>
      <c r="AK77" s="8"/>
      <c r="AL77" s="8"/>
      <c r="AM77" s="8"/>
      <c r="AN77" s="8"/>
      <c r="AO77" s="8"/>
      <c r="AP77" s="9" t="s">
        <v>2242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76.5" hidden="false" customHeight="true" outlineLevel="0" collapsed="false">
      <c r="A78" s="6" t="s">
        <v>1</v>
      </c>
      <c r="B78" s="6" t="n">
        <v>4</v>
      </c>
      <c r="C78" s="6" t="n">
        <v>152347075</v>
      </c>
      <c r="D78" s="6" t="s">
        <v>714</v>
      </c>
      <c r="E78" s="6" t="s">
        <v>715</v>
      </c>
      <c r="F78" s="6" t="s">
        <v>716</v>
      </c>
      <c r="G78" s="6" t="s">
        <v>123</v>
      </c>
      <c r="H78" s="6" t="s">
        <v>2243</v>
      </c>
      <c r="I78" s="6"/>
      <c r="J78" s="6" t="s">
        <v>123</v>
      </c>
      <c r="K78" s="6" t="s">
        <v>127</v>
      </c>
      <c r="L78" s="6" t="s">
        <v>2244</v>
      </c>
      <c r="M78" s="6" t="n">
        <v>1980</v>
      </c>
      <c r="N78" s="7" t="n">
        <v>0.19</v>
      </c>
      <c r="O78" s="6" t="s">
        <v>1820</v>
      </c>
      <c r="P78" s="6" t="s">
        <v>123</v>
      </c>
      <c r="Q78" s="6" t="s">
        <v>123</v>
      </c>
      <c r="R78" s="6" t="s">
        <v>123</v>
      </c>
      <c r="S78" s="10" t="str">
        <f aca="false">HYPERLINK("https://www.ncbi.nlm.nih.gov/snp/rs745908066", "rs745908066")</f>
        <v>rs745908066</v>
      </c>
      <c r="T78" s="6" t="s">
        <v>123</v>
      </c>
      <c r="U78" s="6" t="s">
        <v>123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-4</v>
      </c>
      <c r="AA78" s="6" t="n">
        <v>-30</v>
      </c>
      <c r="AB78" s="6" t="n">
        <v>-13</v>
      </c>
      <c r="AC78" s="6" t="n">
        <v>4</v>
      </c>
      <c r="AD78" s="6" t="n">
        <v>2.034</v>
      </c>
      <c r="AE78" s="6" t="s">
        <v>1822</v>
      </c>
      <c r="AF78" s="6" t="s">
        <v>123</v>
      </c>
      <c r="AG78" s="6" t="s">
        <v>123</v>
      </c>
      <c r="AH78" s="6" t="s">
        <v>123</v>
      </c>
      <c r="AI78" s="6" t="s">
        <v>123</v>
      </c>
      <c r="AJ78" s="8"/>
      <c r="AK78" s="8"/>
      <c r="AL78" s="8"/>
      <c r="AM78" s="8"/>
      <c r="AN78" s="8"/>
      <c r="AO78" s="8"/>
      <c r="AP78" s="9" t="s">
        <v>2245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63.75" hidden="false" customHeight="true" outlineLevel="0" collapsed="false">
      <c r="A79" s="6" t="s">
        <v>1</v>
      </c>
      <c r="B79" s="6" t="n">
        <v>4</v>
      </c>
      <c r="C79" s="6" t="n">
        <v>152411348</v>
      </c>
      <c r="D79" s="6" t="s">
        <v>714</v>
      </c>
      <c r="E79" s="6" t="s">
        <v>715</v>
      </c>
      <c r="F79" s="6" t="s">
        <v>716</v>
      </c>
      <c r="G79" s="6" t="s">
        <v>358</v>
      </c>
      <c r="H79" s="6" t="s">
        <v>2246</v>
      </c>
      <c r="I79" s="6" t="s">
        <v>2247</v>
      </c>
      <c r="J79" s="6" t="s">
        <v>2248</v>
      </c>
      <c r="K79" s="6" t="s">
        <v>1813</v>
      </c>
      <c r="L79" s="6" t="s">
        <v>2249</v>
      </c>
      <c r="M79" s="6" t="n">
        <v>3661</v>
      </c>
      <c r="N79" s="7" t="n">
        <v>0.313</v>
      </c>
      <c r="O79" s="6"/>
      <c r="P79" s="6" t="s">
        <v>123</v>
      </c>
      <c r="Q79" s="6" t="s">
        <v>123</v>
      </c>
      <c r="R79" s="6" t="s">
        <v>123</v>
      </c>
      <c r="S79" s="6" t="s">
        <v>123</v>
      </c>
      <c r="T79" s="6" t="s">
        <v>123</v>
      </c>
      <c r="U79" s="6" t="s">
        <v>123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-47</v>
      </c>
      <c r="AA79" s="6" t="n">
        <v>12</v>
      </c>
      <c r="AB79" s="6" t="n">
        <v>-49</v>
      </c>
      <c r="AC79" s="6" t="n">
        <v>-45</v>
      </c>
      <c r="AD79" s="6" t="n">
        <v>8.107</v>
      </c>
      <c r="AE79" s="6" t="s">
        <v>124</v>
      </c>
      <c r="AF79" s="6" t="s">
        <v>123</v>
      </c>
      <c r="AG79" s="6" t="s">
        <v>123</v>
      </c>
      <c r="AH79" s="6" t="s">
        <v>123</v>
      </c>
      <c r="AI79" s="6" t="s">
        <v>123</v>
      </c>
      <c r="AJ79" s="8"/>
      <c r="AK79" s="8"/>
      <c r="AL79" s="8"/>
      <c r="AM79" s="8"/>
      <c r="AN79" s="8"/>
      <c r="AO79" s="8"/>
      <c r="AP79" s="9" t="s">
        <v>2250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76.5" hidden="false" customHeight="true" outlineLevel="0" collapsed="false">
      <c r="A80" s="6" t="s">
        <v>1</v>
      </c>
      <c r="B80" s="6" t="n">
        <v>13</v>
      </c>
      <c r="C80" s="6" t="n">
        <v>28035676</v>
      </c>
      <c r="D80" s="6" t="s">
        <v>732</v>
      </c>
      <c r="E80" s="6" t="s">
        <v>531</v>
      </c>
      <c r="F80" s="6" t="s">
        <v>733</v>
      </c>
      <c r="G80" s="6" t="s">
        <v>123</v>
      </c>
      <c r="H80" s="6" t="s">
        <v>2251</v>
      </c>
      <c r="I80" s="6"/>
      <c r="J80" s="6" t="s">
        <v>123</v>
      </c>
      <c r="K80" s="6" t="s">
        <v>127</v>
      </c>
      <c r="L80" s="6" t="s">
        <v>2252</v>
      </c>
      <c r="M80" s="6" t="n">
        <v>2701</v>
      </c>
      <c r="N80" s="7" t="n">
        <v>0.0424</v>
      </c>
      <c r="O80" s="6" t="s">
        <v>1859</v>
      </c>
      <c r="P80" s="6" t="s">
        <v>123</v>
      </c>
      <c r="Q80" s="6" t="s">
        <v>123</v>
      </c>
      <c r="R80" s="6" t="s">
        <v>123</v>
      </c>
      <c r="S80" s="10" t="str">
        <f aca="false">HYPERLINK("https://www.ncbi.nlm.nih.gov/snp/rs552505380", "rs552505380")</f>
        <v>rs552505380</v>
      </c>
      <c r="T80" s="10" t="n">
        <f aca="false">HYPERLINK("https://gnomad.broadinstitute.org/variant/13-28035676-G-GA?dataset=gnomad_r4", 0.000754944)</f>
        <v>0.000754944</v>
      </c>
      <c r="U80" s="10" t="n">
        <f aca="false">HYPERLINK("https://gnomad.broadinstitute.org/variant/13-28035676-G-GA?dataset=gnomad_r4", 0.00265164)</f>
        <v>0.00265164</v>
      </c>
      <c r="V80" s="6" t="n">
        <v>0</v>
      </c>
      <c r="W80" s="6" t="n">
        <v>0.02</v>
      </c>
      <c r="X80" s="6" t="n">
        <v>0</v>
      </c>
      <c r="Y80" s="6" t="n">
        <v>0</v>
      </c>
      <c r="Z80" s="6" t="n">
        <v>-9</v>
      </c>
      <c r="AA80" s="6" t="n">
        <v>-3</v>
      </c>
      <c r="AB80" s="6" t="n">
        <v>-3</v>
      </c>
      <c r="AC80" s="6" t="n">
        <v>-11</v>
      </c>
      <c r="AD80" s="6" t="n">
        <v>12.17</v>
      </c>
      <c r="AE80" s="6" t="s">
        <v>1822</v>
      </c>
      <c r="AF80" s="6" t="s">
        <v>123</v>
      </c>
      <c r="AG80" s="6" t="s">
        <v>123</v>
      </c>
      <c r="AH80" s="6" t="s">
        <v>123</v>
      </c>
      <c r="AI80" s="6" t="s">
        <v>123</v>
      </c>
      <c r="AJ80" s="8"/>
      <c r="AK80" s="8"/>
      <c r="AL80" s="8"/>
      <c r="AM80" s="8"/>
      <c r="AN80" s="8"/>
      <c r="AO80" s="8"/>
      <c r="AP80" s="9" t="s">
        <v>2253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63.75" hidden="false" customHeight="true" outlineLevel="0" collapsed="false">
      <c r="A81" s="6" t="s">
        <v>1</v>
      </c>
      <c r="B81" s="6" t="n">
        <v>13</v>
      </c>
      <c r="C81" s="6" t="n">
        <v>28028230</v>
      </c>
      <c r="D81" s="6" t="s">
        <v>732</v>
      </c>
      <c r="E81" s="6" t="s">
        <v>531</v>
      </c>
      <c r="F81" s="6" t="s">
        <v>733</v>
      </c>
      <c r="G81" s="6" t="s">
        <v>2254</v>
      </c>
      <c r="H81" s="6" t="s">
        <v>2255</v>
      </c>
      <c r="I81" s="6" t="s">
        <v>2256</v>
      </c>
      <c r="J81" s="6" t="s">
        <v>2257</v>
      </c>
      <c r="K81" s="6" t="s">
        <v>1813</v>
      </c>
      <c r="L81" s="6" t="s">
        <v>2258</v>
      </c>
      <c r="M81" s="6" t="n">
        <v>3458</v>
      </c>
      <c r="N81" s="7" t="n">
        <v>0.105</v>
      </c>
      <c r="O81" s="6"/>
      <c r="P81" s="6" t="s">
        <v>123</v>
      </c>
      <c r="Q81" s="6" t="s">
        <v>123</v>
      </c>
      <c r="R81" s="6" t="s">
        <v>123</v>
      </c>
      <c r="S81" s="6" t="s">
        <v>123</v>
      </c>
      <c r="T81" s="6" t="s">
        <v>123</v>
      </c>
      <c r="U81" s="6" t="s">
        <v>123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49</v>
      </c>
      <c r="AA81" s="6" t="n">
        <v>19</v>
      </c>
      <c r="AB81" s="6" t="n">
        <v>-16</v>
      </c>
      <c r="AC81" s="6" t="n">
        <v>-21</v>
      </c>
      <c r="AD81" s="6" t="n">
        <v>1.488</v>
      </c>
      <c r="AE81" s="6" t="s">
        <v>124</v>
      </c>
      <c r="AF81" s="6" t="s">
        <v>123</v>
      </c>
      <c r="AG81" s="6" t="s">
        <v>123</v>
      </c>
      <c r="AH81" s="6" t="s">
        <v>123</v>
      </c>
      <c r="AI81" s="6" t="s">
        <v>123</v>
      </c>
      <c r="AJ81" s="8"/>
      <c r="AK81" s="8"/>
      <c r="AL81" s="8"/>
      <c r="AM81" s="8"/>
      <c r="AN81" s="8"/>
      <c r="AO81" s="8"/>
      <c r="AP81" s="9" t="s">
        <v>2259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76.5" hidden="false" customHeight="true" outlineLevel="0" collapsed="false">
      <c r="A82" s="6" t="s">
        <v>1</v>
      </c>
      <c r="B82" s="6" t="n">
        <v>13</v>
      </c>
      <c r="C82" s="6" t="n">
        <v>28035676</v>
      </c>
      <c r="D82" s="6" t="s">
        <v>732</v>
      </c>
      <c r="E82" s="6" t="s">
        <v>531</v>
      </c>
      <c r="F82" s="6" t="s">
        <v>733</v>
      </c>
      <c r="G82" s="6" t="s">
        <v>123</v>
      </c>
      <c r="H82" s="6" t="s">
        <v>2260</v>
      </c>
      <c r="I82" s="6"/>
      <c r="J82" s="6" t="s">
        <v>123</v>
      </c>
      <c r="K82" s="6" t="s">
        <v>127</v>
      </c>
      <c r="L82" s="6" t="s">
        <v>2261</v>
      </c>
      <c r="M82" s="6" t="n">
        <v>2701</v>
      </c>
      <c r="N82" s="7" t="n">
        <v>0.354</v>
      </c>
      <c r="O82" s="6" t="s">
        <v>1859</v>
      </c>
      <c r="P82" s="6" t="s">
        <v>123</v>
      </c>
      <c r="Q82" s="6" t="s">
        <v>123</v>
      </c>
      <c r="R82" s="6" t="s">
        <v>123</v>
      </c>
      <c r="S82" s="10" t="str">
        <f aca="false">HYPERLINK("https://www.ncbi.nlm.nih.gov/snp/rs552505380", "rs552505380")</f>
        <v>rs552505380</v>
      </c>
      <c r="T82" s="10" t="n">
        <f aca="false">HYPERLINK("https://gnomad.broadinstitute.org/variant/13-28035676-GA-G?dataset=gnomad_r4", 0.000120234)</f>
        <v>0.000120234</v>
      </c>
      <c r="U82" s="10" t="n">
        <f aca="false">HYPERLINK("https://gnomad.broadinstitute.org/variant/13-28035676-GA-G?dataset=gnomad_r4", 0.000634067)</f>
        <v>0.000634067</v>
      </c>
      <c r="V82" s="6" t="n">
        <v>0.02</v>
      </c>
      <c r="W82" s="6" t="n">
        <v>0.01</v>
      </c>
      <c r="X82" s="6" t="n">
        <v>0</v>
      </c>
      <c r="Y82" s="6" t="n">
        <v>0</v>
      </c>
      <c r="Z82" s="6" t="n">
        <v>-11</v>
      </c>
      <c r="AA82" s="6" t="n">
        <v>-3</v>
      </c>
      <c r="AB82" s="6" t="n">
        <v>-42</v>
      </c>
      <c r="AC82" s="6" t="n">
        <v>-11</v>
      </c>
      <c r="AD82" s="6" t="n">
        <v>10.45</v>
      </c>
      <c r="AE82" s="6" t="s">
        <v>2262</v>
      </c>
      <c r="AF82" s="6" t="s">
        <v>123</v>
      </c>
      <c r="AG82" s="6" t="s">
        <v>123</v>
      </c>
      <c r="AH82" s="6" t="s">
        <v>123</v>
      </c>
      <c r="AI82" s="6" t="s">
        <v>123</v>
      </c>
      <c r="AJ82" s="8"/>
      <c r="AK82" s="8"/>
      <c r="AL82" s="8"/>
      <c r="AM82" s="8"/>
      <c r="AN82" s="8"/>
      <c r="AO82" s="8"/>
      <c r="AP82" s="9" t="s">
        <v>2263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76.5" hidden="false" customHeight="true" outlineLevel="0" collapsed="false">
      <c r="A83" s="6" t="s">
        <v>1</v>
      </c>
      <c r="B83" s="6" t="n">
        <v>3</v>
      </c>
      <c r="C83" s="6" t="n">
        <v>128482533</v>
      </c>
      <c r="D83" s="6" t="s">
        <v>764</v>
      </c>
      <c r="E83" s="6" t="s">
        <v>6</v>
      </c>
      <c r="F83" s="6" t="s">
        <v>765</v>
      </c>
      <c r="G83" s="6" t="s">
        <v>123</v>
      </c>
      <c r="H83" s="6" t="s">
        <v>2264</v>
      </c>
      <c r="I83" s="6"/>
      <c r="J83" s="6" t="s">
        <v>123</v>
      </c>
      <c r="K83" s="6" t="s">
        <v>141</v>
      </c>
      <c r="L83" s="6" t="s">
        <v>2265</v>
      </c>
      <c r="M83" s="6" t="n">
        <v>3448</v>
      </c>
      <c r="N83" s="7" t="n">
        <v>0.413</v>
      </c>
      <c r="O83" s="6"/>
      <c r="P83" s="6" t="s">
        <v>123</v>
      </c>
      <c r="Q83" s="6" t="s">
        <v>123</v>
      </c>
      <c r="R83" s="6" t="s">
        <v>123</v>
      </c>
      <c r="S83" s="10" t="str">
        <f aca="false">HYPERLINK("https://www.ncbi.nlm.nih.gov/snp/rs55686439", "rs55686439")</f>
        <v>rs55686439</v>
      </c>
      <c r="T83" s="10" t="n">
        <f aca="false">HYPERLINK("https://gnomad.broadinstitute.org/variant/3-128482533-C-A?dataset=gnomad_r4", 0.174357)</f>
        <v>0.174357</v>
      </c>
      <c r="U83" s="6" t="s">
        <v>123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-43</v>
      </c>
      <c r="AA83" s="6" t="n">
        <v>42</v>
      </c>
      <c r="AB83" s="6" t="n">
        <v>30</v>
      </c>
      <c r="AC83" s="6" t="n">
        <v>-18</v>
      </c>
      <c r="AD83" s="6" t="n">
        <v>4.181</v>
      </c>
      <c r="AE83" s="6" t="s">
        <v>124</v>
      </c>
      <c r="AF83" s="6" t="s">
        <v>123</v>
      </c>
      <c r="AG83" s="6" t="s">
        <v>123</v>
      </c>
      <c r="AH83" s="6" t="s">
        <v>123</v>
      </c>
      <c r="AI83" s="6" t="s">
        <v>123</v>
      </c>
      <c r="AJ83" s="8"/>
      <c r="AK83" s="8"/>
      <c r="AL83" s="8"/>
      <c r="AM83" s="8"/>
      <c r="AN83" s="8"/>
      <c r="AO83" s="8"/>
      <c r="AP83" s="9" t="s">
        <v>2266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76.5" hidden="false" customHeight="true" outlineLevel="0" collapsed="false">
      <c r="A84" s="6" t="s">
        <v>1</v>
      </c>
      <c r="B84" s="6" t="n">
        <v>3</v>
      </c>
      <c r="C84" s="6" t="n">
        <v>128482688</v>
      </c>
      <c r="D84" s="6" t="s">
        <v>764</v>
      </c>
      <c r="E84" s="6" t="s">
        <v>6</v>
      </c>
      <c r="F84" s="6" t="s">
        <v>765</v>
      </c>
      <c r="G84" s="6" t="s">
        <v>123</v>
      </c>
      <c r="H84" s="6" t="s">
        <v>2267</v>
      </c>
      <c r="I84" s="6"/>
      <c r="J84" s="6" t="s">
        <v>123</v>
      </c>
      <c r="K84" s="6" t="s">
        <v>141</v>
      </c>
      <c r="L84" s="6" t="s">
        <v>2268</v>
      </c>
      <c r="M84" s="6" t="n">
        <v>2345</v>
      </c>
      <c r="N84" s="7" t="n">
        <v>0.328</v>
      </c>
      <c r="O84" s="6" t="s">
        <v>1879</v>
      </c>
      <c r="P84" s="6" t="s">
        <v>123</v>
      </c>
      <c r="Q84" s="6" t="s">
        <v>123</v>
      </c>
      <c r="R84" s="6" t="s">
        <v>123</v>
      </c>
      <c r="S84" s="10" t="str">
        <f aca="false">HYPERLINK("https://www.ncbi.nlm.nih.gov/snp/rs77307721", "rs77307721")</f>
        <v>rs77307721</v>
      </c>
      <c r="T84" s="10" t="n">
        <f aca="false">HYPERLINK("https://gnomad.broadinstitute.org/variant/3-128482688-C-T?dataset=gnomad_r4", 0.0317838)</f>
        <v>0.0317838</v>
      </c>
      <c r="U84" s="6" t="s">
        <v>123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-2</v>
      </c>
      <c r="AA84" s="6" t="n">
        <v>16</v>
      </c>
      <c r="AB84" s="6" t="n">
        <v>-2</v>
      </c>
      <c r="AC84" s="6" t="n">
        <v>36</v>
      </c>
      <c r="AD84" s="6" t="n">
        <v>1.787</v>
      </c>
      <c r="AE84" s="6" t="s">
        <v>124</v>
      </c>
      <c r="AF84" s="6" t="s">
        <v>123</v>
      </c>
      <c r="AG84" s="6" t="s">
        <v>123</v>
      </c>
      <c r="AH84" s="6" t="s">
        <v>123</v>
      </c>
      <c r="AI84" s="6" t="s">
        <v>123</v>
      </c>
      <c r="AJ84" s="8"/>
      <c r="AK84" s="8"/>
      <c r="AL84" s="8"/>
      <c r="AM84" s="8"/>
      <c r="AN84" s="8"/>
      <c r="AO84" s="8"/>
      <c r="AP84" s="9" t="s">
        <v>2269</v>
      </c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76.5" hidden="false" customHeight="true" outlineLevel="0" collapsed="false">
      <c r="A85" s="6" t="s">
        <v>1</v>
      </c>
      <c r="B85" s="6" t="n">
        <v>3</v>
      </c>
      <c r="C85" s="6" t="n">
        <v>128482689</v>
      </c>
      <c r="D85" s="6" t="s">
        <v>764</v>
      </c>
      <c r="E85" s="6" t="s">
        <v>6</v>
      </c>
      <c r="F85" s="6" t="s">
        <v>765</v>
      </c>
      <c r="G85" s="6" t="s">
        <v>123</v>
      </c>
      <c r="H85" s="6" t="s">
        <v>2270</v>
      </c>
      <c r="I85" s="6"/>
      <c r="J85" s="6" t="s">
        <v>123</v>
      </c>
      <c r="K85" s="6" t="s">
        <v>141</v>
      </c>
      <c r="L85" s="6" t="s">
        <v>2271</v>
      </c>
      <c r="M85" s="6" t="n">
        <v>2332</v>
      </c>
      <c r="N85" s="7" t="n">
        <v>0.415</v>
      </c>
      <c r="O85" s="6" t="s">
        <v>1879</v>
      </c>
      <c r="P85" s="6" t="s">
        <v>123</v>
      </c>
      <c r="Q85" s="6" t="s">
        <v>123</v>
      </c>
      <c r="R85" s="6" t="s">
        <v>123</v>
      </c>
      <c r="S85" s="10" t="str">
        <f aca="false">HYPERLINK("https://www.ncbi.nlm.nih.gov/snp/rs12488487", "rs12488487")</f>
        <v>rs12488487</v>
      </c>
      <c r="T85" s="10" t="n">
        <f aca="false">HYPERLINK("https://gnomad.broadinstitute.org/variant/3-128482689-G-A?dataset=gnomad_r4", 0.206)</f>
        <v>0.206</v>
      </c>
      <c r="U85" s="6" t="s">
        <v>123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35</v>
      </c>
      <c r="AA85" s="6" t="n">
        <v>-3</v>
      </c>
      <c r="AB85" s="6" t="n">
        <v>35</v>
      </c>
      <c r="AC85" s="6" t="n">
        <v>-3</v>
      </c>
      <c r="AD85" s="6" t="n">
        <v>4.378</v>
      </c>
      <c r="AE85" s="6" t="s">
        <v>124</v>
      </c>
      <c r="AF85" s="6" t="s">
        <v>123</v>
      </c>
      <c r="AG85" s="6" t="s">
        <v>123</v>
      </c>
      <c r="AH85" s="6" t="s">
        <v>123</v>
      </c>
      <c r="AI85" s="6" t="s">
        <v>123</v>
      </c>
      <c r="AJ85" s="8"/>
      <c r="AK85" s="8"/>
      <c r="AL85" s="8"/>
      <c r="AM85" s="8"/>
      <c r="AN85" s="8"/>
      <c r="AO85" s="8"/>
      <c r="AP85" s="9" t="s">
        <v>2272</v>
      </c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76.5" hidden="false" customHeight="true" outlineLevel="0" collapsed="false">
      <c r="A86" s="6" t="s">
        <v>1</v>
      </c>
      <c r="B86" s="6" t="n">
        <v>20</v>
      </c>
      <c r="C86" s="6" t="n">
        <v>58910757</v>
      </c>
      <c r="D86" s="6" t="s">
        <v>773</v>
      </c>
      <c r="E86" s="6" t="s">
        <v>6</v>
      </c>
      <c r="F86" s="6" t="s">
        <v>774</v>
      </c>
      <c r="G86" s="6" t="s">
        <v>217</v>
      </c>
      <c r="H86" s="6" t="s">
        <v>2273</v>
      </c>
      <c r="I86" s="6" t="s">
        <v>2274</v>
      </c>
      <c r="J86" s="6" t="s">
        <v>2275</v>
      </c>
      <c r="K86" s="6" t="s">
        <v>1813</v>
      </c>
      <c r="L86" s="6" t="s">
        <v>2276</v>
      </c>
      <c r="M86" s="6" t="n">
        <v>3800</v>
      </c>
      <c r="N86" s="7" t="n">
        <v>0.063</v>
      </c>
      <c r="O86" s="6"/>
      <c r="P86" s="10" t="n">
        <f aca="false">HYPERLINK("https://www.ncbi.nlm.nih.gov/clinvar/variation/1166174", 1166174)</f>
        <v>1166174</v>
      </c>
      <c r="Q86" s="6" t="s">
        <v>418</v>
      </c>
      <c r="R86" s="6" t="s">
        <v>2277</v>
      </c>
      <c r="S86" s="10" t="str">
        <f aca="false">HYPERLINK("https://www.ncbi.nlm.nih.gov/snp/rs8386", "rs8386")</f>
        <v>rs8386</v>
      </c>
      <c r="T86" s="10" t="n">
        <f aca="false">HYPERLINK("https://gnomad.broadinstitute.org/variant/20-58910757-C-T?dataset=gnomad_r4", 0.0568413)</f>
        <v>0.0568413</v>
      </c>
      <c r="U86" s="10" t="n">
        <f aca="false">HYPERLINK("https://gnomad.broadinstitute.org/variant/20-58910757-C-T?dataset=gnomad_r4", 0.0162137)</f>
        <v>0.0162137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40</v>
      </c>
      <c r="AA86" s="6" t="n">
        <v>3</v>
      </c>
      <c r="AB86" s="6" t="n">
        <v>-2</v>
      </c>
      <c r="AC86" s="6" t="n">
        <v>-49</v>
      </c>
      <c r="AD86" s="6" t="n">
        <v>11.58</v>
      </c>
      <c r="AE86" s="6" t="s">
        <v>2278</v>
      </c>
      <c r="AF86" s="6" t="s">
        <v>123</v>
      </c>
      <c r="AG86" s="6" t="s">
        <v>123</v>
      </c>
      <c r="AH86" s="6" t="s">
        <v>123</v>
      </c>
      <c r="AI86" s="6" t="s">
        <v>123</v>
      </c>
      <c r="AJ86" s="8"/>
      <c r="AK86" s="8"/>
      <c r="AL86" s="8"/>
      <c r="AM86" s="8"/>
      <c r="AN86" s="8"/>
      <c r="AO86" s="8"/>
      <c r="AP86" s="9" t="s">
        <v>2279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76.5" hidden="false" customHeight="true" outlineLevel="0" collapsed="false">
      <c r="A87" s="6" t="s">
        <v>1</v>
      </c>
      <c r="B87" s="6" t="n">
        <v>20</v>
      </c>
      <c r="C87" s="6" t="n">
        <v>58910757</v>
      </c>
      <c r="D87" s="6" t="s">
        <v>773</v>
      </c>
      <c r="E87" s="6" t="s">
        <v>6</v>
      </c>
      <c r="F87" s="6" t="s">
        <v>778</v>
      </c>
      <c r="G87" s="6" t="s">
        <v>217</v>
      </c>
      <c r="H87" s="6" t="s">
        <v>2280</v>
      </c>
      <c r="I87" s="6"/>
      <c r="J87" s="6" t="s">
        <v>123</v>
      </c>
      <c r="K87" s="6" t="s">
        <v>807</v>
      </c>
      <c r="L87" s="6" t="s">
        <v>2281</v>
      </c>
      <c r="M87" s="6" t="n">
        <v>3800</v>
      </c>
      <c r="N87" s="7" t="n">
        <v>0.063</v>
      </c>
      <c r="O87" s="6"/>
      <c r="P87" s="10" t="n">
        <f aca="false">HYPERLINK("https://www.ncbi.nlm.nih.gov/clinvar/variation/1166174", 1166174)</f>
        <v>1166174</v>
      </c>
      <c r="Q87" s="6" t="s">
        <v>418</v>
      </c>
      <c r="R87" s="6" t="s">
        <v>2277</v>
      </c>
      <c r="S87" s="10" t="str">
        <f aca="false">HYPERLINK("https://www.ncbi.nlm.nih.gov/snp/rs8386", "rs8386")</f>
        <v>rs8386</v>
      </c>
      <c r="T87" s="10" t="n">
        <f aca="false">HYPERLINK("https://gnomad.broadinstitute.org/variant/20-58910757-C-T?dataset=gnomad_r4", 0.0568413)</f>
        <v>0.0568413</v>
      </c>
      <c r="U87" s="10" t="n">
        <f aca="false">HYPERLINK("https://gnomad.broadinstitute.org/variant/20-58910757-C-T?dataset=gnomad_r4", 0.0162137)</f>
        <v>0.0162137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40</v>
      </c>
      <c r="AA87" s="6" t="n">
        <v>3</v>
      </c>
      <c r="AB87" s="6" t="n">
        <v>-2</v>
      </c>
      <c r="AC87" s="6" t="n">
        <v>-49</v>
      </c>
      <c r="AD87" s="6" t="n">
        <v>11.58</v>
      </c>
      <c r="AE87" s="6" t="s">
        <v>2278</v>
      </c>
      <c r="AF87" s="6" t="s">
        <v>123</v>
      </c>
      <c r="AG87" s="6" t="s">
        <v>123</v>
      </c>
      <c r="AH87" s="6" t="s">
        <v>123</v>
      </c>
      <c r="AI87" s="6" t="s">
        <v>123</v>
      </c>
      <c r="AJ87" s="8"/>
      <c r="AK87" s="8"/>
      <c r="AL87" s="8"/>
      <c r="AM87" s="8"/>
      <c r="AN87" s="8"/>
      <c r="AO87" s="8"/>
      <c r="AP87" s="9" t="s">
        <v>2282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76.5" hidden="false" customHeight="true" outlineLevel="0" collapsed="false">
      <c r="A88" s="6" t="s">
        <v>1</v>
      </c>
      <c r="B88" s="6" t="n">
        <v>20</v>
      </c>
      <c r="C88" s="6" t="n">
        <v>58909186</v>
      </c>
      <c r="D88" s="6" t="s">
        <v>773</v>
      </c>
      <c r="E88" s="6" t="s">
        <v>6</v>
      </c>
      <c r="F88" s="6" t="s">
        <v>774</v>
      </c>
      <c r="G88" s="6" t="s">
        <v>2283</v>
      </c>
      <c r="H88" s="6" t="s">
        <v>2284</v>
      </c>
      <c r="I88" s="6" t="s">
        <v>2285</v>
      </c>
      <c r="J88" s="6" t="s">
        <v>2286</v>
      </c>
      <c r="K88" s="6" t="s">
        <v>1813</v>
      </c>
      <c r="L88" s="6" t="s">
        <v>2287</v>
      </c>
      <c r="M88" s="6" t="n">
        <v>3940</v>
      </c>
      <c r="N88" s="7" t="n">
        <v>0.197</v>
      </c>
      <c r="O88" s="6"/>
      <c r="P88" s="10" t="n">
        <f aca="false">HYPERLINK("https://www.ncbi.nlm.nih.gov/clinvar/variation/1166173", 1166173)</f>
        <v>1166173</v>
      </c>
      <c r="Q88" s="6" t="s">
        <v>418</v>
      </c>
      <c r="R88" s="6" t="s">
        <v>2277</v>
      </c>
      <c r="S88" s="10" t="str">
        <f aca="false">HYPERLINK("https://www.ncbi.nlm.nih.gov/snp/rs8620", "rs8620")</f>
        <v>rs8620</v>
      </c>
      <c r="T88" s="10" t="n">
        <f aca="false">HYPERLINK("https://gnomad.broadinstitute.org/variant/20-58909186-C-T?dataset=gnomad_r4", 0.0782509)</f>
        <v>0.0782509</v>
      </c>
      <c r="U88" s="10" t="n">
        <f aca="false">HYPERLINK("https://gnomad.broadinstitute.org/variant/20-58909186-C-T?dataset=gnomad_r4", 0.0184541)</f>
        <v>0.0184541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-11</v>
      </c>
      <c r="AA88" s="6" t="n">
        <v>-24</v>
      </c>
      <c r="AB88" s="6" t="n">
        <v>32</v>
      </c>
      <c r="AC88" s="6" t="n">
        <v>30</v>
      </c>
      <c r="AD88" s="6" t="n">
        <v>16.53</v>
      </c>
      <c r="AE88" s="6" t="s">
        <v>2278</v>
      </c>
      <c r="AF88" s="6" t="s">
        <v>123</v>
      </c>
      <c r="AG88" s="6" t="s">
        <v>123</v>
      </c>
      <c r="AH88" s="6" t="s">
        <v>123</v>
      </c>
      <c r="AI88" s="6" t="s">
        <v>123</v>
      </c>
      <c r="AJ88" s="8"/>
      <c r="AK88" s="8"/>
      <c r="AL88" s="8"/>
      <c r="AM88" s="8"/>
      <c r="AN88" s="8"/>
      <c r="AO88" s="8"/>
      <c r="AP88" s="9" t="s">
        <v>2288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76.5" hidden="false" customHeight="true" outlineLevel="0" collapsed="false">
      <c r="A89" s="6" t="s">
        <v>1</v>
      </c>
      <c r="B89" s="6" t="n">
        <v>20</v>
      </c>
      <c r="C89" s="6" t="n">
        <v>58909186</v>
      </c>
      <c r="D89" s="6" t="s">
        <v>773</v>
      </c>
      <c r="E89" s="6" t="s">
        <v>6</v>
      </c>
      <c r="F89" s="6" t="s">
        <v>778</v>
      </c>
      <c r="G89" s="6" t="s">
        <v>2283</v>
      </c>
      <c r="H89" s="6" t="s">
        <v>2289</v>
      </c>
      <c r="I89" s="6"/>
      <c r="J89" s="6" t="s">
        <v>123</v>
      </c>
      <c r="K89" s="6" t="s">
        <v>807</v>
      </c>
      <c r="L89" s="6" t="s">
        <v>2290</v>
      </c>
      <c r="M89" s="6" t="n">
        <v>3940</v>
      </c>
      <c r="N89" s="7" t="n">
        <v>0.197</v>
      </c>
      <c r="O89" s="6"/>
      <c r="P89" s="10" t="n">
        <f aca="false">HYPERLINK("https://www.ncbi.nlm.nih.gov/clinvar/variation/1166173", 1166173)</f>
        <v>1166173</v>
      </c>
      <c r="Q89" s="6" t="s">
        <v>418</v>
      </c>
      <c r="R89" s="6" t="s">
        <v>2277</v>
      </c>
      <c r="S89" s="10" t="str">
        <f aca="false">HYPERLINK("https://www.ncbi.nlm.nih.gov/snp/rs8620", "rs8620")</f>
        <v>rs8620</v>
      </c>
      <c r="T89" s="10" t="n">
        <f aca="false">HYPERLINK("https://gnomad.broadinstitute.org/variant/20-58909186-C-T?dataset=gnomad_r4", 0.0782509)</f>
        <v>0.0782509</v>
      </c>
      <c r="U89" s="10" t="n">
        <f aca="false">HYPERLINK("https://gnomad.broadinstitute.org/variant/20-58909186-C-T?dataset=gnomad_r4", 0.0184541)</f>
        <v>0.0184541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-11</v>
      </c>
      <c r="AA89" s="6" t="n">
        <v>-24</v>
      </c>
      <c r="AB89" s="6" t="n">
        <v>32</v>
      </c>
      <c r="AC89" s="6" t="n">
        <v>30</v>
      </c>
      <c r="AD89" s="6" t="n">
        <v>16.53</v>
      </c>
      <c r="AE89" s="6" t="s">
        <v>2278</v>
      </c>
      <c r="AF89" s="6" t="s">
        <v>123</v>
      </c>
      <c r="AG89" s="6" t="s">
        <v>123</v>
      </c>
      <c r="AH89" s="6" t="s">
        <v>123</v>
      </c>
      <c r="AI89" s="6" t="s">
        <v>123</v>
      </c>
      <c r="AJ89" s="8"/>
      <c r="AK89" s="8"/>
      <c r="AL89" s="8"/>
      <c r="AM89" s="8"/>
      <c r="AN89" s="8"/>
      <c r="AO89" s="8"/>
      <c r="AP89" s="9" t="s">
        <v>2291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76.5" hidden="false" customHeight="true" outlineLevel="0" collapsed="false">
      <c r="A90" s="6" t="s">
        <v>1</v>
      </c>
      <c r="B90" s="6" t="n">
        <v>20</v>
      </c>
      <c r="C90" s="6" t="n">
        <v>58854641</v>
      </c>
      <c r="D90" s="6" t="s">
        <v>773</v>
      </c>
      <c r="E90" s="6" t="s">
        <v>6</v>
      </c>
      <c r="F90" s="6" t="s">
        <v>778</v>
      </c>
      <c r="G90" s="6" t="s">
        <v>123</v>
      </c>
      <c r="H90" s="6" t="s">
        <v>2292</v>
      </c>
      <c r="I90" s="6"/>
      <c r="J90" s="6" t="s">
        <v>123</v>
      </c>
      <c r="K90" s="6" t="s">
        <v>141</v>
      </c>
      <c r="L90" s="6" t="s">
        <v>2293</v>
      </c>
      <c r="M90" s="6" t="n">
        <v>5119</v>
      </c>
      <c r="N90" s="7" t="n">
        <v>0.233</v>
      </c>
      <c r="O90" s="6" t="s">
        <v>1859</v>
      </c>
      <c r="P90" s="10" t="n">
        <f aca="false">HYPERLINK("https://www.ncbi.nlm.nih.gov/clinvar/variation/1206302", 1206302)</f>
        <v>1206302</v>
      </c>
      <c r="Q90" s="6" t="s">
        <v>418</v>
      </c>
      <c r="R90" s="6" t="s">
        <v>2277</v>
      </c>
      <c r="S90" s="10" t="str">
        <f aca="false">HYPERLINK("https://www.ncbi.nlm.nih.gov/snp/rs1196950915", "rs1196950915")</f>
        <v>rs1196950915</v>
      </c>
      <c r="T90" s="10" t="n">
        <f aca="false">HYPERLINK("https://gnomad.broadinstitute.org/variant/20-58854641-C-CTGACGCCCCAGCCGATCCCGACTCCGGGGCGGCCCG?dataset=gnomad_r4", 0.0595174)</f>
        <v>0.0595174</v>
      </c>
      <c r="U90" s="6" t="s">
        <v>123</v>
      </c>
      <c r="V90" s="6" t="s">
        <v>123</v>
      </c>
      <c r="W90" s="6" t="s">
        <v>123</v>
      </c>
      <c r="X90" s="6" t="s">
        <v>123</v>
      </c>
      <c r="Y90" s="6" t="s">
        <v>123</v>
      </c>
      <c r="Z90" s="6" t="s">
        <v>123</v>
      </c>
      <c r="AA90" s="6" t="s">
        <v>123</v>
      </c>
      <c r="AB90" s="6" t="s">
        <v>123</v>
      </c>
      <c r="AC90" s="6" t="s">
        <v>123</v>
      </c>
      <c r="AD90" s="6" t="n">
        <v>8.073</v>
      </c>
      <c r="AE90" s="6" t="s">
        <v>2294</v>
      </c>
      <c r="AF90" s="6" t="s">
        <v>123</v>
      </c>
      <c r="AG90" s="6" t="s">
        <v>123</v>
      </c>
      <c r="AH90" s="6" t="s">
        <v>123</v>
      </c>
      <c r="AI90" s="6" t="s">
        <v>123</v>
      </c>
      <c r="AJ90" s="8"/>
      <c r="AK90" s="8"/>
      <c r="AL90" s="8"/>
      <c r="AM90" s="8"/>
      <c r="AN90" s="8"/>
      <c r="AO90" s="8"/>
      <c r="AP90" s="9" t="s">
        <v>2295</v>
      </c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76.5" hidden="false" customHeight="true" outlineLevel="0" collapsed="false">
      <c r="A91" s="6" t="s">
        <v>1</v>
      </c>
      <c r="B91" s="6" t="n">
        <v>20</v>
      </c>
      <c r="C91" s="6" t="n">
        <v>58840400</v>
      </c>
      <c r="D91" s="6" t="s">
        <v>773</v>
      </c>
      <c r="E91" s="6" t="s">
        <v>6</v>
      </c>
      <c r="F91" s="6" t="s">
        <v>778</v>
      </c>
      <c r="G91" s="6" t="s">
        <v>782</v>
      </c>
      <c r="H91" s="6" t="s">
        <v>2296</v>
      </c>
      <c r="I91" s="6" t="s">
        <v>2297</v>
      </c>
      <c r="J91" s="6" t="s">
        <v>2298</v>
      </c>
      <c r="K91" s="6" t="s">
        <v>1813</v>
      </c>
      <c r="L91" s="6" t="s">
        <v>2299</v>
      </c>
      <c r="M91" s="6" t="n">
        <v>4001</v>
      </c>
      <c r="N91" s="7" t="n">
        <v>0.138</v>
      </c>
      <c r="O91" s="6"/>
      <c r="P91" s="10" t="n">
        <f aca="false">HYPERLINK("https://www.ncbi.nlm.nih.gov/clinvar/variation/1205855", 1205855)</f>
        <v>1205855</v>
      </c>
      <c r="Q91" s="6" t="s">
        <v>418</v>
      </c>
      <c r="R91" s="6" t="s">
        <v>2277</v>
      </c>
      <c r="S91" s="10" t="str">
        <f aca="false">HYPERLINK("https://www.ncbi.nlm.nih.gov/snp/rs1800902", "rs1800902")</f>
        <v>rs1800902</v>
      </c>
      <c r="T91" s="10" t="n">
        <f aca="false">HYPERLINK("https://gnomad.broadinstitute.org/variant/20-58840400-C-T?dataset=gnomad_r4", 0.0480976)</f>
        <v>0.0480976</v>
      </c>
      <c r="U91" s="10" t="n">
        <f aca="false">HYPERLINK("https://gnomad.broadinstitute.org/variant/20-58840400-C-T?dataset=gnomad_r4", 0.031373)</f>
        <v>0.031373</v>
      </c>
      <c r="V91" s="6" t="s">
        <v>123</v>
      </c>
      <c r="W91" s="6" t="s">
        <v>123</v>
      </c>
      <c r="X91" s="6" t="s">
        <v>123</v>
      </c>
      <c r="Y91" s="6" t="s">
        <v>123</v>
      </c>
      <c r="Z91" s="6" t="s">
        <v>123</v>
      </c>
      <c r="AA91" s="6" t="s">
        <v>123</v>
      </c>
      <c r="AB91" s="6" t="s">
        <v>123</v>
      </c>
      <c r="AC91" s="6" t="s">
        <v>123</v>
      </c>
      <c r="AD91" s="6" t="n">
        <v>14.1</v>
      </c>
      <c r="AE91" s="6" t="s">
        <v>2300</v>
      </c>
      <c r="AF91" s="6" t="s">
        <v>123</v>
      </c>
      <c r="AG91" s="6" t="s">
        <v>123</v>
      </c>
      <c r="AH91" s="6" t="s">
        <v>123</v>
      </c>
      <c r="AI91" s="6" t="s">
        <v>123</v>
      </c>
      <c r="AJ91" s="8"/>
      <c r="AK91" s="8"/>
      <c r="AL91" s="8"/>
      <c r="AM91" s="8"/>
      <c r="AN91" s="8"/>
      <c r="AO91" s="8"/>
      <c r="AP91" s="9" t="s">
        <v>2301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63.75" hidden="false" customHeight="true" outlineLevel="0" collapsed="false">
      <c r="A92" s="6" t="s">
        <v>1</v>
      </c>
      <c r="B92" s="6" t="n">
        <v>20</v>
      </c>
      <c r="C92" s="6" t="n">
        <v>58854294</v>
      </c>
      <c r="D92" s="6" t="s">
        <v>773</v>
      </c>
      <c r="E92" s="6" t="s">
        <v>6</v>
      </c>
      <c r="F92" s="6" t="s">
        <v>774</v>
      </c>
      <c r="G92" s="6" t="s">
        <v>782</v>
      </c>
      <c r="H92" s="6" t="s">
        <v>2302</v>
      </c>
      <c r="I92" s="6" t="s">
        <v>2303</v>
      </c>
      <c r="J92" s="6" t="s">
        <v>2304</v>
      </c>
      <c r="K92" s="6" t="s">
        <v>1813</v>
      </c>
      <c r="L92" s="6" t="s">
        <v>2305</v>
      </c>
      <c r="M92" s="6" t="n">
        <v>4476</v>
      </c>
      <c r="N92" s="7" t="n">
        <v>0.143</v>
      </c>
      <c r="O92" s="6"/>
      <c r="P92" s="6" t="s">
        <v>123</v>
      </c>
      <c r="Q92" s="6" t="s">
        <v>123</v>
      </c>
      <c r="R92" s="6" t="s">
        <v>123</v>
      </c>
      <c r="S92" s="6" t="s">
        <v>123</v>
      </c>
      <c r="T92" s="6" t="s">
        <v>123</v>
      </c>
      <c r="U92" s="6" t="s">
        <v>123</v>
      </c>
      <c r="V92" s="6" t="s">
        <v>123</v>
      </c>
      <c r="W92" s="6" t="s">
        <v>123</v>
      </c>
      <c r="X92" s="6" t="s">
        <v>123</v>
      </c>
      <c r="Y92" s="6" t="s">
        <v>123</v>
      </c>
      <c r="Z92" s="6" t="s">
        <v>123</v>
      </c>
      <c r="AA92" s="6" t="s">
        <v>123</v>
      </c>
      <c r="AB92" s="6" t="s">
        <v>123</v>
      </c>
      <c r="AC92" s="6" t="s">
        <v>123</v>
      </c>
      <c r="AD92" s="6" t="n">
        <v>13.89</v>
      </c>
      <c r="AE92" s="6" t="s">
        <v>124</v>
      </c>
      <c r="AF92" s="6" t="s">
        <v>123</v>
      </c>
      <c r="AG92" s="6" t="s">
        <v>123</v>
      </c>
      <c r="AH92" s="6" t="s">
        <v>123</v>
      </c>
      <c r="AI92" s="6" t="s">
        <v>123</v>
      </c>
      <c r="AJ92" s="8"/>
      <c r="AK92" s="8"/>
      <c r="AL92" s="8"/>
      <c r="AM92" s="8"/>
      <c r="AN92" s="8"/>
      <c r="AO92" s="8"/>
      <c r="AP92" s="9" t="s">
        <v>2306</v>
      </c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76.5" hidden="false" customHeight="true" outlineLevel="0" collapsed="false">
      <c r="A93" s="6" t="s">
        <v>1</v>
      </c>
      <c r="B93" s="6" t="n">
        <v>20</v>
      </c>
      <c r="C93" s="6" t="n">
        <v>58854572</v>
      </c>
      <c r="D93" s="6" t="s">
        <v>773</v>
      </c>
      <c r="E93" s="6" t="s">
        <v>6</v>
      </c>
      <c r="F93" s="6" t="s">
        <v>774</v>
      </c>
      <c r="G93" s="6" t="s">
        <v>782</v>
      </c>
      <c r="H93" s="6" t="s">
        <v>2307</v>
      </c>
      <c r="I93" s="6" t="s">
        <v>2308</v>
      </c>
      <c r="J93" s="6" t="s">
        <v>2309</v>
      </c>
      <c r="K93" s="6" t="s">
        <v>120</v>
      </c>
      <c r="L93" s="6" t="s">
        <v>2310</v>
      </c>
      <c r="M93" s="6" t="n">
        <v>6647</v>
      </c>
      <c r="N93" s="7" t="n">
        <v>0.212</v>
      </c>
      <c r="O93" s="6" t="s">
        <v>1859</v>
      </c>
      <c r="P93" s="10" t="n">
        <f aca="false">HYPERLINK("https://www.ncbi.nlm.nih.gov/clinvar/variation/134479", 134479)</f>
        <v>134479</v>
      </c>
      <c r="Q93" s="6" t="s">
        <v>418</v>
      </c>
      <c r="R93" s="6" t="s">
        <v>2311</v>
      </c>
      <c r="S93" s="10" t="str">
        <f aca="false">HYPERLINK("https://www.ncbi.nlm.nih.gov/snp/rs61749698", "rs61749698")</f>
        <v>rs61749698</v>
      </c>
      <c r="T93" s="10" t="n">
        <f aca="false">HYPERLINK("https://gnomad.broadinstitute.org/variant/20-58854572-C-A?dataset=gnomad_r4", 0.0726785)</f>
        <v>0.0726785</v>
      </c>
      <c r="U93" s="10" t="n">
        <f aca="false">HYPERLINK("https://gnomad.broadinstitute.org/variant/20-58854572-C-A?dataset=gnomad_r4", 0.0265191)</f>
        <v>0.0265191</v>
      </c>
      <c r="V93" s="6" t="s">
        <v>123</v>
      </c>
      <c r="W93" s="6" t="s">
        <v>123</v>
      </c>
      <c r="X93" s="6" t="s">
        <v>123</v>
      </c>
      <c r="Y93" s="6" t="s">
        <v>123</v>
      </c>
      <c r="Z93" s="6" t="s">
        <v>123</v>
      </c>
      <c r="AA93" s="6" t="s">
        <v>123</v>
      </c>
      <c r="AB93" s="6" t="s">
        <v>123</v>
      </c>
      <c r="AC93" s="6" t="s">
        <v>123</v>
      </c>
      <c r="AD93" s="6" t="n">
        <v>1.668</v>
      </c>
      <c r="AE93" s="6" t="s">
        <v>2312</v>
      </c>
      <c r="AF93" s="6" t="s">
        <v>123</v>
      </c>
      <c r="AG93" s="6" t="s">
        <v>123</v>
      </c>
      <c r="AH93" s="6" t="s">
        <v>123</v>
      </c>
      <c r="AI93" s="6" t="s">
        <v>123</v>
      </c>
      <c r="AJ93" s="8"/>
      <c r="AK93" s="8"/>
      <c r="AL93" s="8"/>
      <c r="AM93" s="8"/>
      <c r="AN93" s="8"/>
      <c r="AO93" s="8"/>
      <c r="AP93" s="9" t="s">
        <v>2313</v>
      </c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76.5" hidden="false" customHeight="true" outlineLevel="0" collapsed="false">
      <c r="A94" s="6" t="s">
        <v>1</v>
      </c>
      <c r="B94" s="6" t="n">
        <v>20</v>
      </c>
      <c r="C94" s="6" t="n">
        <v>58854572</v>
      </c>
      <c r="D94" s="6" t="s">
        <v>773</v>
      </c>
      <c r="E94" s="6" t="s">
        <v>6</v>
      </c>
      <c r="F94" s="6" t="s">
        <v>778</v>
      </c>
      <c r="G94" s="6" t="s">
        <v>123</v>
      </c>
      <c r="H94" s="6" t="s">
        <v>2314</v>
      </c>
      <c r="I94" s="6"/>
      <c r="J94" s="6" t="s">
        <v>123</v>
      </c>
      <c r="K94" s="6" t="s">
        <v>141</v>
      </c>
      <c r="L94" s="6" t="s">
        <v>2315</v>
      </c>
      <c r="M94" s="6" t="n">
        <v>6647</v>
      </c>
      <c r="N94" s="7" t="n">
        <v>0.212</v>
      </c>
      <c r="O94" s="6" t="s">
        <v>1859</v>
      </c>
      <c r="P94" s="10" t="n">
        <f aca="false">HYPERLINK("https://www.ncbi.nlm.nih.gov/clinvar/variation/134479", 134479)</f>
        <v>134479</v>
      </c>
      <c r="Q94" s="6" t="s">
        <v>418</v>
      </c>
      <c r="R94" s="6" t="s">
        <v>2311</v>
      </c>
      <c r="S94" s="10" t="str">
        <f aca="false">HYPERLINK("https://www.ncbi.nlm.nih.gov/snp/rs61749698", "rs61749698")</f>
        <v>rs61749698</v>
      </c>
      <c r="T94" s="10" t="n">
        <f aca="false">HYPERLINK("https://gnomad.broadinstitute.org/variant/20-58854572-C-A?dataset=gnomad_r4", 0.0726785)</f>
        <v>0.0726785</v>
      </c>
      <c r="U94" s="10" t="n">
        <f aca="false">HYPERLINK("https://gnomad.broadinstitute.org/variant/20-58854572-C-A?dataset=gnomad_r4", 0.0265191)</f>
        <v>0.0265191</v>
      </c>
      <c r="V94" s="6" t="s">
        <v>123</v>
      </c>
      <c r="W94" s="6" t="s">
        <v>123</v>
      </c>
      <c r="X94" s="6" t="s">
        <v>123</v>
      </c>
      <c r="Y94" s="6" t="s">
        <v>123</v>
      </c>
      <c r="Z94" s="6" t="s">
        <v>123</v>
      </c>
      <c r="AA94" s="6" t="s">
        <v>123</v>
      </c>
      <c r="AB94" s="6" t="s">
        <v>123</v>
      </c>
      <c r="AC94" s="6" t="s">
        <v>123</v>
      </c>
      <c r="AD94" s="6" t="n">
        <v>1.668</v>
      </c>
      <c r="AE94" s="6" t="s">
        <v>2312</v>
      </c>
      <c r="AF94" s="6" t="s">
        <v>123</v>
      </c>
      <c r="AG94" s="6" t="s">
        <v>123</v>
      </c>
      <c r="AH94" s="6" t="s">
        <v>123</v>
      </c>
      <c r="AI94" s="6" t="s">
        <v>123</v>
      </c>
      <c r="AJ94" s="8"/>
      <c r="AK94" s="8"/>
      <c r="AL94" s="8"/>
      <c r="AM94" s="8"/>
      <c r="AN94" s="8"/>
      <c r="AO94" s="8"/>
      <c r="AP94" s="9" t="s">
        <v>2316</v>
      </c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76.5" hidden="false" customHeight="true" outlineLevel="0" collapsed="false">
      <c r="A95" s="6" t="s">
        <v>1</v>
      </c>
      <c r="B95" s="6" t="n">
        <v>1</v>
      </c>
      <c r="C95" s="6" t="n">
        <v>1806456</v>
      </c>
      <c r="D95" s="6" t="s">
        <v>2317</v>
      </c>
      <c r="E95" s="6" t="s">
        <v>6</v>
      </c>
      <c r="F95" s="6" t="s">
        <v>2318</v>
      </c>
      <c r="G95" s="6" t="s">
        <v>123</v>
      </c>
      <c r="H95" s="6" t="s">
        <v>2319</v>
      </c>
      <c r="I95" s="6"/>
      <c r="J95" s="6" t="s">
        <v>123</v>
      </c>
      <c r="K95" s="6" t="s">
        <v>141</v>
      </c>
      <c r="L95" s="6" t="s">
        <v>2320</v>
      </c>
      <c r="M95" s="6" t="n">
        <v>2908</v>
      </c>
      <c r="N95" s="7" t="n">
        <v>0.29</v>
      </c>
      <c r="O95" s="6"/>
      <c r="P95" s="10" t="n">
        <f aca="false">HYPERLINK("https://www.ncbi.nlm.nih.gov/clinvar/variation/1165037", 1165037)</f>
        <v>1165037</v>
      </c>
      <c r="Q95" s="6" t="s">
        <v>418</v>
      </c>
      <c r="R95" s="6" t="s">
        <v>181</v>
      </c>
      <c r="S95" s="10" t="str">
        <f aca="false">HYPERLINK("https://www.ncbi.nlm.nih.gov/snp/rs77354509", "rs77354509")</f>
        <v>rs77354509</v>
      </c>
      <c r="T95" s="10" t="n">
        <f aca="false">HYPERLINK("https://gnomad.broadinstitute.org/variant/1-1806456-G-A?dataset=gnomad_r4", 0.0709425)</f>
        <v>0.0709425</v>
      </c>
      <c r="U95" s="10" t="n">
        <f aca="false">HYPERLINK("https://gnomad.broadinstitute.org/variant/1-1806456-G-A?dataset=gnomad_r4", 0.0892617)</f>
        <v>0.0892617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34</v>
      </c>
      <c r="AA95" s="6" t="n">
        <v>19</v>
      </c>
      <c r="AB95" s="6" t="n">
        <v>19</v>
      </c>
      <c r="AC95" s="6" t="n">
        <v>15</v>
      </c>
      <c r="AD95" s="6" t="n">
        <v>7.13</v>
      </c>
      <c r="AE95" s="6" t="s">
        <v>124</v>
      </c>
      <c r="AF95" s="6" t="s">
        <v>123</v>
      </c>
      <c r="AG95" s="6" t="s">
        <v>123</v>
      </c>
      <c r="AH95" s="6" t="s">
        <v>123</v>
      </c>
      <c r="AI95" s="6" t="s">
        <v>123</v>
      </c>
      <c r="AJ95" s="8"/>
      <c r="AK95" s="8"/>
      <c r="AL95" s="8"/>
      <c r="AM95" s="8"/>
      <c r="AN95" s="8"/>
      <c r="AO95" s="8"/>
      <c r="AP95" s="9" t="s">
        <v>2321</v>
      </c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76.5" hidden="false" customHeight="true" outlineLevel="0" collapsed="false">
      <c r="A96" s="6" t="s">
        <v>1</v>
      </c>
      <c r="B96" s="6" t="n">
        <v>1</v>
      </c>
      <c r="C96" s="6" t="n">
        <v>1806461</v>
      </c>
      <c r="D96" s="6" t="s">
        <v>2317</v>
      </c>
      <c r="E96" s="6" t="s">
        <v>6</v>
      </c>
      <c r="F96" s="6" t="s">
        <v>2318</v>
      </c>
      <c r="G96" s="6" t="s">
        <v>123</v>
      </c>
      <c r="H96" s="6" t="s">
        <v>2322</v>
      </c>
      <c r="I96" s="6"/>
      <c r="J96" s="6" t="s">
        <v>123</v>
      </c>
      <c r="K96" s="6" t="s">
        <v>141</v>
      </c>
      <c r="L96" s="6" t="s">
        <v>2323</v>
      </c>
      <c r="M96" s="6" t="n">
        <v>3014</v>
      </c>
      <c r="N96" s="7" t="n">
        <v>0.29</v>
      </c>
      <c r="O96" s="6"/>
      <c r="P96" s="10" t="n">
        <f aca="false">HYPERLINK("https://www.ncbi.nlm.nih.gov/clinvar/variation/1166897", 1166897)</f>
        <v>1166897</v>
      </c>
      <c r="Q96" s="6" t="s">
        <v>418</v>
      </c>
      <c r="R96" s="6" t="s">
        <v>181</v>
      </c>
      <c r="S96" s="10" t="str">
        <f aca="false">HYPERLINK("https://www.ncbi.nlm.nih.gov/snp/rs17363334", "rs17363334")</f>
        <v>rs17363334</v>
      </c>
      <c r="T96" s="10" t="n">
        <f aca="false">HYPERLINK("https://gnomad.broadinstitute.org/variant/1-1806461-C-T?dataset=gnomad_r4", 0.0717438)</f>
        <v>0.0717438</v>
      </c>
      <c r="U96" s="10" t="n">
        <f aca="false">HYPERLINK("https://gnomad.broadinstitute.org/variant/1-1806461-C-T?dataset=gnomad_r4", 0.0922624)</f>
        <v>0.0922624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29</v>
      </c>
      <c r="AA96" s="6" t="n">
        <v>0</v>
      </c>
      <c r="AB96" s="6" t="n">
        <v>14</v>
      </c>
      <c r="AC96" s="6" t="n">
        <v>-35</v>
      </c>
      <c r="AD96" s="6" t="n">
        <v>0.012</v>
      </c>
      <c r="AE96" s="6" t="s">
        <v>124</v>
      </c>
      <c r="AF96" s="6" t="s">
        <v>123</v>
      </c>
      <c r="AG96" s="6" t="s">
        <v>123</v>
      </c>
      <c r="AH96" s="6" t="s">
        <v>123</v>
      </c>
      <c r="AI96" s="6" t="s">
        <v>123</v>
      </c>
      <c r="AJ96" s="8"/>
      <c r="AK96" s="8"/>
      <c r="AL96" s="8"/>
      <c r="AM96" s="8"/>
      <c r="AN96" s="8"/>
      <c r="AO96" s="8"/>
      <c r="AP96" s="9" t="s">
        <v>2324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76.5" hidden="false" customHeight="true" outlineLevel="0" collapsed="false">
      <c r="A97" s="6" t="s">
        <v>1</v>
      </c>
      <c r="B97" s="6" t="n">
        <v>2</v>
      </c>
      <c r="C97" s="6" t="n">
        <v>208240016</v>
      </c>
      <c r="D97" s="6" t="s">
        <v>815</v>
      </c>
      <c r="E97" s="6" t="s">
        <v>6</v>
      </c>
      <c r="F97" s="6" t="s">
        <v>816</v>
      </c>
      <c r="G97" s="6" t="s">
        <v>123</v>
      </c>
      <c r="H97" s="6" t="s">
        <v>2325</v>
      </c>
      <c r="I97" s="6"/>
      <c r="J97" s="6" t="s">
        <v>123</v>
      </c>
      <c r="K97" s="6" t="s">
        <v>141</v>
      </c>
      <c r="L97" s="6" t="s">
        <v>2326</v>
      </c>
      <c r="M97" s="6" t="n">
        <v>3180</v>
      </c>
      <c r="N97" s="7" t="n">
        <v>0.314</v>
      </c>
      <c r="O97" s="6" t="s">
        <v>1859</v>
      </c>
      <c r="P97" s="10" t="n">
        <f aca="false">HYPERLINK("https://www.ncbi.nlm.nih.gov/clinvar/variation/4508702", 4508702)</f>
        <v>4508702</v>
      </c>
      <c r="Q97" s="6" t="s">
        <v>123</v>
      </c>
      <c r="R97" s="6" t="s">
        <v>123</v>
      </c>
      <c r="S97" s="10" t="str">
        <f aca="false">HYPERLINK("https://www.ncbi.nlm.nih.gov/snp/rs16840789", "rs16840789")</f>
        <v>rs16840789</v>
      </c>
      <c r="T97" s="10" t="n">
        <f aca="false">HYPERLINK("https://gnomad.broadinstitute.org/variant/2-208240016-G-C?dataset=gnomad_r4", 0.0198682)</f>
        <v>0.0198682</v>
      </c>
      <c r="U97" s="10" t="n">
        <f aca="false">HYPERLINK("https://gnomad.broadinstitute.org/variant/2-208240016-G-C?dataset=gnomad_r4", 0.0275901)</f>
        <v>0.0275901</v>
      </c>
      <c r="V97" s="6" t="n">
        <v>0.02</v>
      </c>
      <c r="W97" s="6" t="n">
        <v>0.03</v>
      </c>
      <c r="X97" s="6" t="n">
        <v>0</v>
      </c>
      <c r="Y97" s="6" t="n">
        <v>0</v>
      </c>
      <c r="Z97" s="6" t="n">
        <v>21</v>
      </c>
      <c r="AA97" s="6" t="n">
        <v>-13</v>
      </c>
      <c r="AB97" s="6" t="n">
        <v>-13</v>
      </c>
      <c r="AC97" s="6" t="n">
        <v>-11</v>
      </c>
      <c r="AD97" s="6" t="n">
        <v>9.244</v>
      </c>
      <c r="AE97" s="6" t="s">
        <v>124</v>
      </c>
      <c r="AF97" s="6" t="s">
        <v>123</v>
      </c>
      <c r="AG97" s="6" t="s">
        <v>123</v>
      </c>
      <c r="AH97" s="6" t="s">
        <v>123</v>
      </c>
      <c r="AI97" s="6" t="s">
        <v>123</v>
      </c>
      <c r="AJ97" s="8"/>
      <c r="AK97" s="8"/>
      <c r="AL97" s="8"/>
      <c r="AM97" s="8"/>
      <c r="AN97" s="8"/>
      <c r="AO97" s="8"/>
      <c r="AP97" s="9" t="s">
        <v>2327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76.5" hidden="false" customHeight="true" outlineLevel="0" collapsed="false">
      <c r="A98" s="6" t="s">
        <v>1</v>
      </c>
      <c r="B98" s="6" t="n">
        <v>2</v>
      </c>
      <c r="C98" s="6" t="n">
        <v>208239245</v>
      </c>
      <c r="D98" s="6" t="s">
        <v>815</v>
      </c>
      <c r="E98" s="6" t="s">
        <v>6</v>
      </c>
      <c r="F98" s="6" t="s">
        <v>816</v>
      </c>
      <c r="G98" s="6" t="s">
        <v>123</v>
      </c>
      <c r="H98" s="6" t="s">
        <v>2328</v>
      </c>
      <c r="I98" s="6"/>
      <c r="J98" s="6" t="s">
        <v>123</v>
      </c>
      <c r="K98" s="6" t="s">
        <v>141</v>
      </c>
      <c r="L98" s="6" t="s">
        <v>2329</v>
      </c>
      <c r="M98" s="6" t="n">
        <v>2725</v>
      </c>
      <c r="N98" s="7" t="n">
        <v>0.0707</v>
      </c>
      <c r="O98" s="6" t="s">
        <v>1958</v>
      </c>
      <c r="P98" s="6" t="s">
        <v>123</v>
      </c>
      <c r="Q98" s="6" t="s">
        <v>123</v>
      </c>
      <c r="R98" s="6" t="s">
        <v>123</v>
      </c>
      <c r="S98" s="10" t="str">
        <f aca="false">HYPERLINK("https://www.ncbi.nlm.nih.gov/snp/rs139521409", "rs139521409")</f>
        <v>rs139521409</v>
      </c>
      <c r="T98" s="10" t="n">
        <f aca="false">HYPERLINK("https://gnomad.broadinstitute.org/variant/2-208239245-GA-G?dataset=gnomad_r4", 0.00947689)</f>
        <v>0.00947689</v>
      </c>
      <c r="U98" s="10" t="n">
        <f aca="false">HYPERLINK("https://gnomad.broadinstitute.org/variant/2-208239245-GA-G?dataset=gnomad_r4", 0.000982653)</f>
        <v>0.000982653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15</v>
      </c>
      <c r="AA98" s="6" t="n">
        <v>10</v>
      </c>
      <c r="AB98" s="6" t="n">
        <v>-36</v>
      </c>
      <c r="AC98" s="6" t="n">
        <v>-11</v>
      </c>
      <c r="AD98" s="6" t="n">
        <v>0.088</v>
      </c>
      <c r="AE98" s="6" t="s">
        <v>124</v>
      </c>
      <c r="AF98" s="6" t="s">
        <v>123</v>
      </c>
      <c r="AG98" s="6" t="s">
        <v>123</v>
      </c>
      <c r="AH98" s="6" t="s">
        <v>123</v>
      </c>
      <c r="AI98" s="6" t="s">
        <v>123</v>
      </c>
      <c r="AJ98" s="8"/>
      <c r="AK98" s="8"/>
      <c r="AL98" s="8"/>
      <c r="AM98" s="8"/>
      <c r="AN98" s="8"/>
      <c r="AO98" s="8"/>
      <c r="AP98" s="9" t="s">
        <v>2330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76.5" hidden="false" customHeight="true" outlineLevel="0" collapsed="false">
      <c r="A99" s="6" t="s">
        <v>1</v>
      </c>
      <c r="B99" s="6" t="n">
        <v>2</v>
      </c>
      <c r="C99" s="6" t="n">
        <v>208243593</v>
      </c>
      <c r="D99" s="6" t="s">
        <v>815</v>
      </c>
      <c r="E99" s="6" t="s">
        <v>6</v>
      </c>
      <c r="F99" s="6" t="s">
        <v>816</v>
      </c>
      <c r="G99" s="6" t="s">
        <v>2331</v>
      </c>
      <c r="H99" s="6" t="s">
        <v>2332</v>
      </c>
      <c r="I99" s="6" t="s">
        <v>2333</v>
      </c>
      <c r="J99" s="6" t="s">
        <v>2334</v>
      </c>
      <c r="K99" s="6" t="s">
        <v>120</v>
      </c>
      <c r="L99" s="6" t="s">
        <v>2335</v>
      </c>
      <c r="M99" s="6" t="n">
        <v>2974</v>
      </c>
      <c r="N99" s="7" t="n">
        <v>0.07</v>
      </c>
      <c r="O99" s="6"/>
      <c r="P99" s="10" t="n">
        <f aca="false">HYPERLINK("https://www.ncbi.nlm.nih.gov/clinvar/variation/134520", 134520)</f>
        <v>134520</v>
      </c>
      <c r="Q99" s="6" t="s">
        <v>418</v>
      </c>
      <c r="R99" s="6" t="s">
        <v>2277</v>
      </c>
      <c r="S99" s="10" t="str">
        <f aca="false">HYPERLINK("https://www.ncbi.nlm.nih.gov/snp/rs34218846", "rs34218846")</f>
        <v>rs34218846</v>
      </c>
      <c r="T99" s="10" t="n">
        <f aca="false">HYPERLINK("https://gnomad.broadinstitute.org/variant/2-208243593-C-T?dataset=gnomad_r4", 0.0594842)</f>
        <v>0.0594842</v>
      </c>
      <c r="U99" s="10" t="n">
        <f aca="false">HYPERLINK("https://gnomad.broadinstitute.org/variant/2-208243593-C-T?dataset=gnomad_r4", 0.0527969)</f>
        <v>0.0527969</v>
      </c>
      <c r="V99" s="6" t="n">
        <v>0</v>
      </c>
      <c r="W99" s="6" t="n">
        <v>0.04</v>
      </c>
      <c r="X99" s="6" t="n">
        <v>0</v>
      </c>
      <c r="Y99" s="6" t="n">
        <v>0</v>
      </c>
      <c r="Z99" s="6" t="n">
        <v>15</v>
      </c>
      <c r="AA99" s="6" t="n">
        <v>11</v>
      </c>
      <c r="AB99" s="6" t="n">
        <v>9</v>
      </c>
      <c r="AC99" s="6" t="n">
        <v>-24</v>
      </c>
      <c r="AD99" s="6" t="n">
        <v>24</v>
      </c>
      <c r="AE99" s="6" t="s">
        <v>2336</v>
      </c>
      <c r="AF99" s="6" t="s">
        <v>123</v>
      </c>
      <c r="AG99" s="6" t="s">
        <v>123</v>
      </c>
      <c r="AH99" s="6" t="s">
        <v>123</v>
      </c>
      <c r="AI99" s="6" t="s">
        <v>123</v>
      </c>
      <c r="AJ99" s="8"/>
      <c r="AK99" s="8"/>
      <c r="AL99" s="8"/>
      <c r="AM99" s="8"/>
      <c r="AN99" s="8"/>
      <c r="AO99" s="8"/>
      <c r="AP99" s="9" t="s">
        <v>2337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76.5" hidden="false" customHeight="true" outlineLevel="0" collapsed="false">
      <c r="A100" s="6" t="s">
        <v>1</v>
      </c>
      <c r="B100" s="6" t="n">
        <v>2</v>
      </c>
      <c r="C100" s="6" t="n">
        <v>208248468</v>
      </c>
      <c r="D100" s="6" t="s">
        <v>815</v>
      </c>
      <c r="E100" s="6" t="s">
        <v>6</v>
      </c>
      <c r="F100" s="6" t="s">
        <v>816</v>
      </c>
      <c r="G100" s="6" t="s">
        <v>1793</v>
      </c>
      <c r="H100" s="6" t="s">
        <v>2338</v>
      </c>
      <c r="I100" s="6" t="s">
        <v>2339</v>
      </c>
      <c r="J100" s="6" t="s">
        <v>2340</v>
      </c>
      <c r="K100" s="6" t="s">
        <v>1813</v>
      </c>
      <c r="L100" s="6" t="s">
        <v>2341</v>
      </c>
      <c r="M100" s="6" t="n">
        <v>3615</v>
      </c>
      <c r="N100" s="7" t="n">
        <v>0.0667</v>
      </c>
      <c r="O100" s="6"/>
      <c r="P100" s="10" t="n">
        <f aca="false">HYPERLINK("https://www.ncbi.nlm.nih.gov/clinvar/variation/402961", 402961)</f>
        <v>402961</v>
      </c>
      <c r="Q100" s="6" t="s">
        <v>418</v>
      </c>
      <c r="R100" s="6" t="s">
        <v>2277</v>
      </c>
      <c r="S100" s="10" t="str">
        <f aca="false">HYPERLINK("https://www.ncbi.nlm.nih.gov/snp/rs11554137", "rs11554137")</f>
        <v>rs11554137</v>
      </c>
      <c r="T100" s="10" t="n">
        <f aca="false">HYPERLINK("https://gnomad.broadinstitute.org/variant/2-208248468-G-A?dataset=gnomad_r4", 0.0665002)</f>
        <v>0.0665002</v>
      </c>
      <c r="U100" s="10" t="n">
        <f aca="false">HYPERLINK("https://gnomad.broadinstitute.org/variant/2-208248468-G-A?dataset=gnomad_r4", 0.0539712)</f>
        <v>0.0539712</v>
      </c>
      <c r="V100" s="6" t="n">
        <v>0</v>
      </c>
      <c r="W100" s="6" t="n">
        <v>0</v>
      </c>
      <c r="X100" s="6" t="n">
        <v>0.18</v>
      </c>
      <c r="Y100" s="6" t="n">
        <v>0</v>
      </c>
      <c r="Z100" s="6" t="n">
        <v>2</v>
      </c>
      <c r="AA100" s="6" t="n">
        <v>-45</v>
      </c>
      <c r="AB100" s="6" t="n">
        <v>2</v>
      </c>
      <c r="AC100" s="6" t="n">
        <v>-45</v>
      </c>
      <c r="AD100" s="6" t="n">
        <v>12.43</v>
      </c>
      <c r="AE100" s="6" t="s">
        <v>2336</v>
      </c>
      <c r="AF100" s="6" t="s">
        <v>123</v>
      </c>
      <c r="AG100" s="6" t="s">
        <v>123</v>
      </c>
      <c r="AH100" s="6" t="s">
        <v>123</v>
      </c>
      <c r="AI100" s="6" t="s">
        <v>123</v>
      </c>
      <c r="AJ100" s="8"/>
      <c r="AK100" s="8"/>
      <c r="AL100" s="8"/>
      <c r="AM100" s="8"/>
      <c r="AN100" s="8"/>
      <c r="AO100" s="8"/>
      <c r="AP100" s="9" t="s">
        <v>2342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76.5" hidden="false" customHeight="true" outlineLevel="0" collapsed="false">
      <c r="A101" s="6" t="s">
        <v>1</v>
      </c>
      <c r="B101" s="6" t="n">
        <v>15</v>
      </c>
      <c r="C101" s="6" t="n">
        <v>90088593</v>
      </c>
      <c r="D101" s="6" t="s">
        <v>823</v>
      </c>
      <c r="E101" s="6" t="s">
        <v>336</v>
      </c>
      <c r="F101" s="6" t="s">
        <v>824</v>
      </c>
      <c r="G101" s="6" t="s">
        <v>2343</v>
      </c>
      <c r="H101" s="6" t="s">
        <v>2344</v>
      </c>
      <c r="I101" s="6" t="s">
        <v>2345</v>
      </c>
      <c r="J101" s="6" t="s">
        <v>2346</v>
      </c>
      <c r="K101" s="6" t="s">
        <v>1813</v>
      </c>
      <c r="L101" s="6" t="s">
        <v>2347</v>
      </c>
      <c r="M101" s="6" t="n">
        <v>4421</v>
      </c>
      <c r="N101" s="7" t="n">
        <v>0.104</v>
      </c>
      <c r="O101" s="6" t="s">
        <v>1879</v>
      </c>
      <c r="P101" s="6" t="s">
        <v>123</v>
      </c>
      <c r="Q101" s="6" t="s">
        <v>123</v>
      </c>
      <c r="R101" s="6" t="s">
        <v>123</v>
      </c>
      <c r="S101" s="10" t="str">
        <f aca="false">HYPERLINK("https://www.ncbi.nlm.nih.gov/snp/rs764224566", "rs764224566")</f>
        <v>rs764224566</v>
      </c>
      <c r="T101" s="6" t="s">
        <v>123</v>
      </c>
      <c r="U101" s="10" t="n">
        <f aca="false">HYPERLINK("https://gnomad.broadinstitute.org/variant/15-90088593-G-A?dataset=gnomad_r4", 0.00000205214)</f>
        <v>2.05214E-006</v>
      </c>
      <c r="V101" s="6" t="n">
        <v>0</v>
      </c>
      <c r="W101" s="6" t="n">
        <v>0</v>
      </c>
      <c r="X101" s="6" t="n">
        <v>0.02</v>
      </c>
      <c r="Y101" s="6" t="n">
        <v>0</v>
      </c>
      <c r="Z101" s="6" t="n">
        <v>12</v>
      </c>
      <c r="AA101" s="6" t="n">
        <v>46</v>
      </c>
      <c r="AB101" s="6" t="n">
        <v>2</v>
      </c>
      <c r="AC101" s="6" t="n">
        <v>-6</v>
      </c>
      <c r="AD101" s="6" t="n">
        <v>6.336</v>
      </c>
      <c r="AE101" s="6" t="s">
        <v>124</v>
      </c>
      <c r="AF101" s="6" t="s">
        <v>123</v>
      </c>
      <c r="AG101" s="6" t="s">
        <v>123</v>
      </c>
      <c r="AH101" s="6" t="s">
        <v>123</v>
      </c>
      <c r="AI101" s="6" t="s">
        <v>123</v>
      </c>
      <c r="AJ101" s="8"/>
      <c r="AK101" s="8"/>
      <c r="AL101" s="8"/>
      <c r="AM101" s="8"/>
      <c r="AN101" s="8"/>
      <c r="AO101" s="8"/>
      <c r="AP101" s="9" t="s">
        <v>2348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76.5" hidden="false" customHeight="true" outlineLevel="0" collapsed="false">
      <c r="A102" s="6" t="s">
        <v>1</v>
      </c>
      <c r="B102" s="6" t="n">
        <v>15</v>
      </c>
      <c r="C102" s="6" t="n">
        <v>90085305</v>
      </c>
      <c r="D102" s="6" t="s">
        <v>823</v>
      </c>
      <c r="E102" s="6" t="s">
        <v>336</v>
      </c>
      <c r="F102" s="6" t="s">
        <v>824</v>
      </c>
      <c r="G102" s="6" t="s">
        <v>1691</v>
      </c>
      <c r="H102" s="6" t="s">
        <v>2349</v>
      </c>
      <c r="I102" s="6" t="s">
        <v>2350</v>
      </c>
      <c r="J102" s="6" t="s">
        <v>2351</v>
      </c>
      <c r="K102" s="6" t="s">
        <v>1813</v>
      </c>
      <c r="L102" s="6" t="s">
        <v>2352</v>
      </c>
      <c r="M102" s="6" t="n">
        <v>4147</v>
      </c>
      <c r="N102" s="7" t="n">
        <v>0.0739</v>
      </c>
      <c r="O102" s="6"/>
      <c r="P102" s="10" t="n">
        <f aca="false">HYPERLINK("https://www.ncbi.nlm.nih.gov/clinvar/variation/158663", 158663)</f>
        <v>158663</v>
      </c>
      <c r="Q102" s="6" t="s">
        <v>283</v>
      </c>
      <c r="R102" s="6" t="s">
        <v>2353</v>
      </c>
      <c r="S102" s="10" t="str">
        <f aca="false">HYPERLINK("https://www.ncbi.nlm.nih.gov/snp/rs11540478", "rs11540478")</f>
        <v>rs11540478</v>
      </c>
      <c r="T102" s="10" t="n">
        <f aca="false">HYPERLINK("https://gnomad.broadinstitute.org/variant/15-90085305-G-A?dataset=gnomad_r4", 0.0518692)</f>
        <v>0.0518692</v>
      </c>
      <c r="U102" s="10" t="n">
        <f aca="false">HYPERLINK("https://gnomad.broadinstitute.org/variant/15-90085305-G-A?dataset=gnomad_r4", 0.0116125)</f>
        <v>0.0116125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-28</v>
      </c>
      <c r="AA102" s="6" t="n">
        <v>29</v>
      </c>
      <c r="AB102" s="6" t="n">
        <v>48</v>
      </c>
      <c r="AC102" s="6" t="n">
        <v>-30</v>
      </c>
      <c r="AD102" s="6" t="n">
        <v>0.067</v>
      </c>
      <c r="AE102" s="6" t="s">
        <v>2114</v>
      </c>
      <c r="AF102" s="6" t="s">
        <v>123</v>
      </c>
      <c r="AG102" s="6" t="s">
        <v>123</v>
      </c>
      <c r="AH102" s="6" t="s">
        <v>123</v>
      </c>
      <c r="AI102" s="6" t="s">
        <v>123</v>
      </c>
      <c r="AJ102" s="8"/>
      <c r="AK102" s="8"/>
      <c r="AL102" s="8"/>
      <c r="AM102" s="8"/>
      <c r="AN102" s="8"/>
      <c r="AO102" s="8"/>
      <c r="AP102" s="9" t="s">
        <v>2354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76.5" hidden="false" customHeight="true" outlineLevel="0" collapsed="false">
      <c r="A103" s="6" t="s">
        <v>1</v>
      </c>
      <c r="B103" s="6" t="n">
        <v>7</v>
      </c>
      <c r="C103" s="6" t="n">
        <v>50382722</v>
      </c>
      <c r="D103" s="6" t="s">
        <v>831</v>
      </c>
      <c r="E103" s="6" t="s">
        <v>832</v>
      </c>
      <c r="F103" s="6" t="s">
        <v>833</v>
      </c>
      <c r="G103" s="6" t="s">
        <v>123</v>
      </c>
      <c r="H103" s="6" t="s">
        <v>2355</v>
      </c>
      <c r="I103" s="6"/>
      <c r="J103" s="6" t="s">
        <v>123</v>
      </c>
      <c r="K103" s="6" t="s">
        <v>141</v>
      </c>
      <c r="L103" s="6" t="s">
        <v>2356</v>
      </c>
      <c r="M103" s="6" t="n">
        <v>4117</v>
      </c>
      <c r="N103" s="7" t="n">
        <v>0.0572</v>
      </c>
      <c r="O103" s="6" t="s">
        <v>1879</v>
      </c>
      <c r="P103" s="10" t="n">
        <f aca="false">HYPERLINK("https://www.ncbi.nlm.nih.gov/clinvar/variation/1270608", 1270608)</f>
        <v>1270608</v>
      </c>
      <c r="Q103" s="6" t="s">
        <v>418</v>
      </c>
      <c r="R103" s="6" t="s">
        <v>2357</v>
      </c>
      <c r="S103" s="10" t="str">
        <f aca="false">HYPERLINK("https://www.ncbi.nlm.nih.gov/snp/rs7789106", "rs7789106")</f>
        <v>rs7789106</v>
      </c>
      <c r="T103" s="10" t="n">
        <f aca="false">HYPERLINK("https://gnomad.broadinstitute.org/variant/7-50382722-T-C?dataset=gnomad_r4", 0.0383262)</f>
        <v>0.0383262</v>
      </c>
      <c r="U103" s="10" t="n">
        <f aca="false">HYPERLINK("https://gnomad.broadinstitute.org/variant/7-50382722-T-C?dataset=gnomad_r4", 0.0140385)</f>
        <v>0.0140385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-10</v>
      </c>
      <c r="AA103" s="6" t="n">
        <v>-25</v>
      </c>
      <c r="AB103" s="6" t="n">
        <v>-4</v>
      </c>
      <c r="AC103" s="6" t="n">
        <v>-15</v>
      </c>
      <c r="AD103" s="6" t="n">
        <v>2.97</v>
      </c>
      <c r="AE103" s="6" t="s">
        <v>124</v>
      </c>
      <c r="AF103" s="6" t="s">
        <v>123</v>
      </c>
      <c r="AG103" s="6" t="s">
        <v>123</v>
      </c>
      <c r="AH103" s="6" t="s">
        <v>123</v>
      </c>
      <c r="AI103" s="6" t="s">
        <v>123</v>
      </c>
      <c r="AJ103" s="8"/>
      <c r="AK103" s="8"/>
      <c r="AL103" s="8"/>
      <c r="AM103" s="8"/>
      <c r="AN103" s="8"/>
      <c r="AO103" s="8"/>
      <c r="AP103" s="9" t="s">
        <v>2358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63.75" hidden="false" customHeight="true" outlineLevel="0" collapsed="false">
      <c r="A104" s="6" t="s">
        <v>1</v>
      </c>
      <c r="B104" s="6" t="n">
        <v>7</v>
      </c>
      <c r="C104" s="6" t="n">
        <v>50400387</v>
      </c>
      <c r="D104" s="6" t="s">
        <v>831</v>
      </c>
      <c r="E104" s="6" t="s">
        <v>832</v>
      </c>
      <c r="F104" s="6" t="s">
        <v>833</v>
      </c>
      <c r="G104" s="6" t="s">
        <v>2359</v>
      </c>
      <c r="H104" s="6" t="s">
        <v>2360</v>
      </c>
      <c r="I104" s="6" t="s">
        <v>2361</v>
      </c>
      <c r="J104" s="6" t="s">
        <v>2362</v>
      </c>
      <c r="K104" s="6" t="s">
        <v>1813</v>
      </c>
      <c r="L104" s="6" t="s">
        <v>2363</v>
      </c>
      <c r="M104" s="6" t="n">
        <v>5606</v>
      </c>
      <c r="N104" s="7" t="n">
        <v>0.0491</v>
      </c>
      <c r="O104" s="6"/>
      <c r="P104" s="10" t="n">
        <f aca="false">HYPERLINK("https://www.ncbi.nlm.nih.gov/clinvar/variation/2824789", 2824789)</f>
        <v>2824789</v>
      </c>
      <c r="Q104" s="6" t="s">
        <v>253</v>
      </c>
      <c r="R104" s="6" t="s">
        <v>181</v>
      </c>
      <c r="S104" s="6" t="s">
        <v>123</v>
      </c>
      <c r="T104" s="6" t="s">
        <v>123</v>
      </c>
      <c r="U104" s="10" t="n">
        <f aca="false">HYPERLINK("https://gnomad.broadinstitute.org/variant/7-50400387-C-T?dataset=gnomad_r4", 0.0000020535)</f>
        <v>2.0535E-006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19</v>
      </c>
      <c r="AA104" s="6" t="n">
        <v>-32</v>
      </c>
      <c r="AB104" s="6" t="n">
        <v>33</v>
      </c>
      <c r="AC104" s="6" t="n">
        <v>-9</v>
      </c>
      <c r="AD104" s="6" t="n">
        <v>2.652</v>
      </c>
      <c r="AE104" s="6" t="s">
        <v>124</v>
      </c>
      <c r="AF104" s="6" t="s">
        <v>123</v>
      </c>
      <c r="AG104" s="6" t="s">
        <v>123</v>
      </c>
      <c r="AH104" s="6" t="s">
        <v>123</v>
      </c>
      <c r="AI104" s="6" t="s">
        <v>123</v>
      </c>
      <c r="AJ104" s="8"/>
      <c r="AK104" s="8"/>
      <c r="AL104" s="8"/>
      <c r="AM104" s="8"/>
      <c r="AN104" s="8"/>
      <c r="AO104" s="8"/>
      <c r="AP104" s="9" t="s">
        <v>2364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76.5" hidden="false" customHeight="true" outlineLevel="0" collapsed="false">
      <c r="A105" s="6" t="s">
        <v>1</v>
      </c>
      <c r="B105" s="6" t="n">
        <v>1</v>
      </c>
      <c r="C105" s="6" t="n">
        <v>64867013</v>
      </c>
      <c r="D105" s="6" t="s">
        <v>2365</v>
      </c>
      <c r="E105" s="6" t="s">
        <v>531</v>
      </c>
      <c r="F105" s="6" t="s">
        <v>2366</v>
      </c>
      <c r="G105" s="6" t="s">
        <v>2367</v>
      </c>
      <c r="H105" s="6" t="s">
        <v>2368</v>
      </c>
      <c r="I105" s="6" t="s">
        <v>2369</v>
      </c>
      <c r="J105" s="6" t="s">
        <v>2370</v>
      </c>
      <c r="K105" s="6" t="s">
        <v>1813</v>
      </c>
      <c r="L105" s="6" t="s">
        <v>2371</v>
      </c>
      <c r="M105" s="6" t="n">
        <v>4122</v>
      </c>
      <c r="N105" s="7" t="n">
        <v>0.101</v>
      </c>
      <c r="O105" s="6"/>
      <c r="P105" s="6" t="s">
        <v>123</v>
      </c>
      <c r="Q105" s="6" t="s">
        <v>123</v>
      </c>
      <c r="R105" s="6" t="s">
        <v>123</v>
      </c>
      <c r="S105" s="10" t="str">
        <f aca="false">HYPERLINK("https://www.ncbi.nlm.nih.gov/snp/rs759326576", "rs759326576")</f>
        <v>rs759326576</v>
      </c>
      <c r="T105" s="10" t="n">
        <f aca="false">HYPERLINK("https://gnomad.broadinstitute.org/variant/1-64867013-G-A?dataset=gnomad_r4", 0.0000065703)</f>
        <v>6.5703E-006</v>
      </c>
      <c r="U105" s="10" t="n">
        <f aca="false">HYPERLINK("https://gnomad.broadinstitute.org/variant/1-64867013-G-A?dataset=gnomad_r4", 0.0000198376)</f>
        <v>1.98376E-005</v>
      </c>
      <c r="V105" s="6" t="n">
        <v>0</v>
      </c>
      <c r="W105" s="6" t="n">
        <v>0</v>
      </c>
      <c r="X105" s="6" t="n">
        <v>0.02</v>
      </c>
      <c r="Y105" s="6" t="n">
        <v>0</v>
      </c>
      <c r="Z105" s="6" t="n">
        <v>-44</v>
      </c>
      <c r="AA105" s="6" t="n">
        <v>-1</v>
      </c>
      <c r="AB105" s="6" t="n">
        <v>42</v>
      </c>
      <c r="AC105" s="6" t="n">
        <v>-1</v>
      </c>
      <c r="AD105" s="6" t="n">
        <v>2.477</v>
      </c>
      <c r="AE105" s="6" t="s">
        <v>124</v>
      </c>
      <c r="AF105" s="6" t="s">
        <v>123</v>
      </c>
      <c r="AG105" s="6" t="s">
        <v>123</v>
      </c>
      <c r="AH105" s="6" t="s">
        <v>123</v>
      </c>
      <c r="AI105" s="6" t="s">
        <v>123</v>
      </c>
      <c r="AJ105" s="8"/>
      <c r="AK105" s="8"/>
      <c r="AL105" s="8"/>
      <c r="AM105" s="8"/>
      <c r="AN105" s="8"/>
      <c r="AO105" s="8"/>
      <c r="AP105" s="9" t="s">
        <v>2372</v>
      </c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76.5" hidden="false" customHeight="true" outlineLevel="0" collapsed="false">
      <c r="A106" s="6" t="s">
        <v>1</v>
      </c>
      <c r="B106" s="6" t="n">
        <v>1</v>
      </c>
      <c r="C106" s="6" t="n">
        <v>64846659</v>
      </c>
      <c r="D106" s="6" t="s">
        <v>2365</v>
      </c>
      <c r="E106" s="6" t="s">
        <v>531</v>
      </c>
      <c r="F106" s="6" t="s">
        <v>2366</v>
      </c>
      <c r="G106" s="6" t="s">
        <v>2373</v>
      </c>
      <c r="H106" s="6" t="s">
        <v>2374</v>
      </c>
      <c r="I106" s="6" t="s">
        <v>2375</v>
      </c>
      <c r="J106" s="6" t="s">
        <v>2376</v>
      </c>
      <c r="K106" s="6" t="s">
        <v>1813</v>
      </c>
      <c r="L106" s="6" t="s">
        <v>2377</v>
      </c>
      <c r="M106" s="6" t="n">
        <v>3508</v>
      </c>
      <c r="N106" s="7" t="n">
        <v>0.301</v>
      </c>
      <c r="O106" s="6"/>
      <c r="P106" s="10" t="n">
        <f aca="false">HYPERLINK("https://www.ncbi.nlm.nih.gov/clinvar/variation/1169784", 1169784)</f>
        <v>1169784</v>
      </c>
      <c r="Q106" s="6" t="s">
        <v>418</v>
      </c>
      <c r="R106" s="6" t="s">
        <v>2378</v>
      </c>
      <c r="S106" s="10" t="str">
        <f aca="false">HYPERLINK("https://www.ncbi.nlm.nih.gov/snp/rs17127063", "rs17127063")</f>
        <v>rs17127063</v>
      </c>
      <c r="T106" s="10" t="n">
        <f aca="false">HYPERLINK("https://gnomad.broadinstitute.org/variant/1-64846659-G-A?dataset=gnomad_r4", 0.0516856)</f>
        <v>0.0516856</v>
      </c>
      <c r="U106" s="10" t="n">
        <f aca="false">HYPERLINK("https://gnomad.broadinstitute.org/variant/1-64846659-G-A?dataset=gnomad_r4", 0.0300177)</f>
        <v>0.0300177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44</v>
      </c>
      <c r="AA106" s="6" t="n">
        <v>-2</v>
      </c>
      <c r="AB106" s="6" t="n">
        <v>-34</v>
      </c>
      <c r="AC106" s="6" t="n">
        <v>-10</v>
      </c>
      <c r="AD106" s="6" t="n">
        <v>0.131</v>
      </c>
      <c r="AE106" s="6" t="s">
        <v>2379</v>
      </c>
      <c r="AF106" s="6" t="s">
        <v>123</v>
      </c>
      <c r="AG106" s="6" t="s">
        <v>123</v>
      </c>
      <c r="AH106" s="6" t="s">
        <v>123</v>
      </c>
      <c r="AI106" s="6" t="s">
        <v>123</v>
      </c>
      <c r="AJ106" s="8"/>
      <c r="AK106" s="8"/>
      <c r="AL106" s="8"/>
      <c r="AM106" s="8"/>
      <c r="AN106" s="8"/>
      <c r="AO106" s="8"/>
      <c r="AP106" s="9" t="s">
        <v>2380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76.5" hidden="false" customHeight="true" outlineLevel="0" collapsed="false">
      <c r="A107" s="6" t="s">
        <v>1</v>
      </c>
      <c r="B107" s="6" t="n">
        <v>4</v>
      </c>
      <c r="C107" s="6" t="n">
        <v>54695696</v>
      </c>
      <c r="D107" s="6" t="s">
        <v>852</v>
      </c>
      <c r="E107" s="6" t="s">
        <v>6</v>
      </c>
      <c r="F107" s="6" t="s">
        <v>853</v>
      </c>
      <c r="G107" s="6" t="s">
        <v>2381</v>
      </c>
      <c r="H107" s="6" t="s">
        <v>2382</v>
      </c>
      <c r="I107" s="6" t="s">
        <v>2383</v>
      </c>
      <c r="J107" s="6" t="s">
        <v>2384</v>
      </c>
      <c r="K107" s="6" t="s">
        <v>1813</v>
      </c>
      <c r="L107" s="6" t="s">
        <v>2385</v>
      </c>
      <c r="M107" s="6" t="n">
        <v>3724</v>
      </c>
      <c r="N107" s="7" t="n">
        <v>0.0763</v>
      </c>
      <c r="O107" s="6"/>
      <c r="P107" s="10" t="n">
        <f aca="false">HYPERLINK("https://www.ncbi.nlm.nih.gov/clinvar/variation/220764", 220764)</f>
        <v>220764</v>
      </c>
      <c r="Q107" s="6" t="s">
        <v>283</v>
      </c>
      <c r="R107" s="6" t="s">
        <v>2386</v>
      </c>
      <c r="S107" s="10" t="str">
        <f aca="false">HYPERLINK("https://www.ncbi.nlm.nih.gov/snp/rs56411694", "rs56411694")</f>
        <v>rs56411694</v>
      </c>
      <c r="T107" s="10" t="n">
        <f aca="false">HYPERLINK("https://gnomad.broadinstitute.org/variant/4-54695696-G-T?dataset=gnomad_r4", 0.0182603)</f>
        <v>0.0182603</v>
      </c>
      <c r="U107" s="10" t="n">
        <f aca="false">HYPERLINK("https://gnomad.broadinstitute.org/variant/4-54695696-G-T?dataset=gnomad_r4", 0.00210551)</f>
        <v>0.00210551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11</v>
      </c>
      <c r="AA107" s="6" t="n">
        <v>-44</v>
      </c>
      <c r="AB107" s="6" t="n">
        <v>6</v>
      </c>
      <c r="AC107" s="6" t="n">
        <v>35</v>
      </c>
      <c r="AD107" s="6" t="n">
        <v>0.068</v>
      </c>
      <c r="AE107" s="6" t="s">
        <v>611</v>
      </c>
      <c r="AF107" s="6" t="s">
        <v>123</v>
      </c>
      <c r="AG107" s="6" t="s">
        <v>123</v>
      </c>
      <c r="AH107" s="6" t="s">
        <v>123</v>
      </c>
      <c r="AI107" s="6" t="s">
        <v>123</v>
      </c>
      <c r="AJ107" s="8"/>
      <c r="AK107" s="8"/>
      <c r="AL107" s="8"/>
      <c r="AM107" s="8"/>
      <c r="AN107" s="8"/>
      <c r="AO107" s="8"/>
      <c r="AP107" s="9" t="s">
        <v>2387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76.5" hidden="false" customHeight="true" outlineLevel="0" collapsed="false">
      <c r="A108" s="6" t="s">
        <v>1</v>
      </c>
      <c r="B108" s="6" t="n">
        <v>4</v>
      </c>
      <c r="C108" s="6" t="n">
        <v>54709507</v>
      </c>
      <c r="D108" s="6" t="s">
        <v>852</v>
      </c>
      <c r="E108" s="6" t="s">
        <v>6</v>
      </c>
      <c r="F108" s="6" t="s">
        <v>853</v>
      </c>
      <c r="G108" s="6" t="s">
        <v>865</v>
      </c>
      <c r="H108" s="6" t="s">
        <v>2388</v>
      </c>
      <c r="I108" s="6" t="s">
        <v>2389</v>
      </c>
      <c r="J108" s="6" t="s">
        <v>2390</v>
      </c>
      <c r="K108" s="6" t="s">
        <v>120</v>
      </c>
      <c r="L108" s="6" t="s">
        <v>2391</v>
      </c>
      <c r="M108" s="6" t="n">
        <v>3456</v>
      </c>
      <c r="N108" s="7" t="n">
        <v>0.0794</v>
      </c>
      <c r="O108" s="6"/>
      <c r="P108" s="10" t="n">
        <f aca="false">HYPERLINK("https://www.ncbi.nlm.nih.gov/clinvar/variation/41597", 41597)</f>
        <v>41597</v>
      </c>
      <c r="Q108" s="6" t="s">
        <v>283</v>
      </c>
      <c r="R108" s="6" t="s">
        <v>2392</v>
      </c>
      <c r="S108" s="10" t="str">
        <f aca="false">HYPERLINK("https://www.ncbi.nlm.nih.gov/snp/rs72549294", "rs72549294")</f>
        <v>rs72549294</v>
      </c>
      <c r="T108" s="10" t="n">
        <f aca="false">HYPERLINK("https://gnomad.broadinstitute.org/variant/4-54709507-A-G?dataset=gnomad_r4", 0.002002)</f>
        <v>0.002002</v>
      </c>
      <c r="U108" s="10" t="n">
        <f aca="false">HYPERLINK("https://gnomad.broadinstitute.org/variant/4-54709507-A-G?dataset=gnomad_r4", 0.000425629)</f>
        <v>0.000425629</v>
      </c>
      <c r="V108" s="6" t="n">
        <v>0</v>
      </c>
      <c r="W108" s="6" t="n">
        <v>0</v>
      </c>
      <c r="X108" s="6" t="n">
        <v>0.01</v>
      </c>
      <c r="Y108" s="6" t="n">
        <v>0</v>
      </c>
      <c r="Z108" s="6" t="n">
        <v>1</v>
      </c>
      <c r="AA108" s="6" t="n">
        <v>12</v>
      </c>
      <c r="AB108" s="6" t="n">
        <v>-5</v>
      </c>
      <c r="AC108" s="6" t="n">
        <v>32</v>
      </c>
      <c r="AD108" s="6" t="n">
        <v>0.005</v>
      </c>
      <c r="AE108" s="6" t="s">
        <v>124</v>
      </c>
      <c r="AF108" s="6" t="s">
        <v>123</v>
      </c>
      <c r="AG108" s="6" t="s">
        <v>123</v>
      </c>
      <c r="AH108" s="6" t="s">
        <v>123</v>
      </c>
      <c r="AI108" s="6" t="s">
        <v>123</v>
      </c>
      <c r="AJ108" s="8"/>
      <c r="AK108" s="8"/>
      <c r="AL108" s="8"/>
      <c r="AM108" s="8"/>
      <c r="AN108" s="8"/>
      <c r="AO108" s="8"/>
      <c r="AP108" s="9" t="s">
        <v>2393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63.75" hidden="false" customHeight="true" outlineLevel="0" collapsed="false">
      <c r="A109" s="6" t="s">
        <v>1</v>
      </c>
      <c r="B109" s="6" t="n">
        <v>4</v>
      </c>
      <c r="C109" s="6" t="n">
        <v>54738527</v>
      </c>
      <c r="D109" s="6" t="s">
        <v>852</v>
      </c>
      <c r="E109" s="6" t="s">
        <v>6</v>
      </c>
      <c r="F109" s="6" t="s">
        <v>853</v>
      </c>
      <c r="G109" s="6" t="s">
        <v>1251</v>
      </c>
      <c r="H109" s="6" t="s">
        <v>2394</v>
      </c>
      <c r="I109" s="6" t="s">
        <v>2395</v>
      </c>
      <c r="J109" s="6" t="s">
        <v>2396</v>
      </c>
      <c r="K109" s="6" t="s">
        <v>1813</v>
      </c>
      <c r="L109" s="6" t="s">
        <v>2397</v>
      </c>
      <c r="M109" s="6" t="n">
        <v>4156</v>
      </c>
      <c r="N109" s="7" t="n">
        <v>0.306</v>
      </c>
      <c r="O109" s="6"/>
      <c r="P109" s="6" t="s">
        <v>123</v>
      </c>
      <c r="Q109" s="6" t="s">
        <v>123</v>
      </c>
      <c r="R109" s="6" t="s">
        <v>123</v>
      </c>
      <c r="S109" s="6" t="s">
        <v>123</v>
      </c>
      <c r="T109" s="6" t="s">
        <v>123</v>
      </c>
      <c r="U109" s="6" t="s">
        <v>123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4</v>
      </c>
      <c r="AA109" s="6" t="n">
        <v>-15</v>
      </c>
      <c r="AB109" s="6" t="n">
        <v>12</v>
      </c>
      <c r="AC109" s="6" t="n">
        <v>24</v>
      </c>
      <c r="AD109" s="6" t="n">
        <v>1.806</v>
      </c>
      <c r="AE109" s="6" t="s">
        <v>124</v>
      </c>
      <c r="AF109" s="6" t="s">
        <v>123</v>
      </c>
      <c r="AG109" s="6" t="s">
        <v>123</v>
      </c>
      <c r="AH109" s="6" t="s">
        <v>123</v>
      </c>
      <c r="AI109" s="6" t="s">
        <v>123</v>
      </c>
      <c r="AJ109" s="8"/>
      <c r="AK109" s="8"/>
      <c r="AL109" s="8"/>
      <c r="AM109" s="8"/>
      <c r="AN109" s="8"/>
      <c r="AO109" s="8"/>
      <c r="AP109" s="9" t="s">
        <v>2398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76.5" hidden="false" customHeight="true" outlineLevel="0" collapsed="false">
      <c r="A110" s="6" t="s">
        <v>1</v>
      </c>
      <c r="B110" s="6" t="n">
        <v>11</v>
      </c>
      <c r="C110" s="6" t="n">
        <v>118436698</v>
      </c>
      <c r="D110" s="6" t="s">
        <v>871</v>
      </c>
      <c r="E110" s="6" t="s">
        <v>6</v>
      </c>
      <c r="F110" s="6" t="s">
        <v>872</v>
      </c>
      <c r="G110" s="6" t="s">
        <v>2399</v>
      </c>
      <c r="H110" s="6" t="s">
        <v>2400</v>
      </c>
      <c r="I110" s="6" t="s">
        <v>2401</v>
      </c>
      <c r="J110" s="6" t="s">
        <v>2402</v>
      </c>
      <c r="K110" s="6" t="s">
        <v>326</v>
      </c>
      <c r="L110" s="6" t="s">
        <v>2403</v>
      </c>
      <c r="M110" s="6" t="n">
        <v>1762</v>
      </c>
      <c r="N110" s="7" t="n">
        <v>0.0462</v>
      </c>
      <c r="O110" s="6" t="s">
        <v>1958</v>
      </c>
      <c r="P110" s="10" t="n">
        <f aca="false">HYPERLINK("https://www.ncbi.nlm.nih.gov/clinvar/variation/1019110", 1019110)</f>
        <v>1019110</v>
      </c>
      <c r="Q110" s="6" t="s">
        <v>283</v>
      </c>
      <c r="R110" s="6" t="s">
        <v>884</v>
      </c>
      <c r="S110" s="10" t="str">
        <f aca="false">HYPERLINK("https://www.ncbi.nlm.nih.gov/snp/rs781936420", "rs781936420")</f>
        <v>rs781936420</v>
      </c>
      <c r="T110" s="10" t="n">
        <f aca="false">HYPERLINK("https://gnomad.broadinstitute.org/variant/11-118436698-CGCG-C?dataset=gnomad_r4", 0.00105491)</f>
        <v>0.00105491</v>
      </c>
      <c r="U110" s="10" t="n">
        <f aca="false">HYPERLINK("https://gnomad.broadinstitute.org/variant/11-118436698-CGCG-C?dataset=gnomad_r4", 0.00239831)</f>
        <v>0.00239831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-44</v>
      </c>
      <c r="AA110" s="6" t="n">
        <v>41</v>
      </c>
      <c r="AB110" s="6" t="n">
        <v>-44</v>
      </c>
      <c r="AC110" s="6" t="n">
        <v>41</v>
      </c>
      <c r="AD110" s="6" t="n">
        <v>14.76</v>
      </c>
      <c r="AE110" s="6" t="s">
        <v>2404</v>
      </c>
      <c r="AF110" s="6" t="s">
        <v>123</v>
      </c>
      <c r="AG110" s="6" t="s">
        <v>123</v>
      </c>
      <c r="AH110" s="6" t="s">
        <v>123</v>
      </c>
      <c r="AI110" s="6" t="s">
        <v>123</v>
      </c>
      <c r="AJ110" s="8"/>
      <c r="AK110" s="8"/>
      <c r="AL110" s="8"/>
      <c r="AM110" s="8"/>
      <c r="AN110" s="8"/>
      <c r="AO110" s="8"/>
      <c r="AP110" s="9" t="s">
        <v>2405</v>
      </c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76.5" hidden="false" customHeight="true" outlineLevel="0" collapsed="false">
      <c r="A111" s="6" t="s">
        <v>1</v>
      </c>
      <c r="B111" s="6" t="n">
        <v>11</v>
      </c>
      <c r="C111" s="6" t="n">
        <v>118484334</v>
      </c>
      <c r="D111" s="6" t="s">
        <v>871</v>
      </c>
      <c r="E111" s="6" t="s">
        <v>6</v>
      </c>
      <c r="F111" s="6" t="s">
        <v>872</v>
      </c>
      <c r="G111" s="6" t="s">
        <v>123</v>
      </c>
      <c r="H111" s="6" t="s">
        <v>2406</v>
      </c>
      <c r="I111" s="6"/>
      <c r="J111" s="6" t="s">
        <v>123</v>
      </c>
      <c r="K111" s="6" t="s">
        <v>141</v>
      </c>
      <c r="L111" s="6" t="s">
        <v>2407</v>
      </c>
      <c r="M111" s="6" t="n">
        <v>3384</v>
      </c>
      <c r="N111" s="7" t="n">
        <v>0.0552</v>
      </c>
      <c r="O111" s="6"/>
      <c r="P111" s="10" t="n">
        <f aca="false">HYPERLINK("https://www.ncbi.nlm.nih.gov/clinvar/variation/1165718", 1165718)</f>
        <v>1165718</v>
      </c>
      <c r="Q111" s="6" t="s">
        <v>283</v>
      </c>
      <c r="R111" s="6" t="s">
        <v>884</v>
      </c>
      <c r="S111" s="10" t="str">
        <f aca="false">HYPERLINK("https://www.ncbi.nlm.nih.gov/snp/rs9332798", "rs9332798")</f>
        <v>rs9332798</v>
      </c>
      <c r="T111" s="10" t="n">
        <f aca="false">HYPERLINK("https://gnomad.broadinstitute.org/variant/11-118484334-A-G?dataset=gnomad_r4", 0.00634175)</f>
        <v>0.00634175</v>
      </c>
      <c r="U111" s="10" t="n">
        <f aca="false">HYPERLINK("https://gnomad.broadinstitute.org/variant/11-118484334-A-G?dataset=gnomad_r4", 0.000786944)</f>
        <v>0.000786944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-38</v>
      </c>
      <c r="AA111" s="6" t="n">
        <v>23</v>
      </c>
      <c r="AB111" s="6" t="n">
        <v>-14</v>
      </c>
      <c r="AC111" s="6" t="n">
        <v>4</v>
      </c>
      <c r="AD111" s="6" t="n">
        <v>2.609</v>
      </c>
      <c r="AE111" s="6" t="s">
        <v>124</v>
      </c>
      <c r="AF111" s="6" t="s">
        <v>123</v>
      </c>
      <c r="AG111" s="6" t="s">
        <v>123</v>
      </c>
      <c r="AH111" s="6" t="s">
        <v>123</v>
      </c>
      <c r="AI111" s="6" t="s">
        <v>123</v>
      </c>
      <c r="AJ111" s="8"/>
      <c r="AK111" s="8"/>
      <c r="AL111" s="8"/>
      <c r="AM111" s="8"/>
      <c r="AN111" s="8"/>
      <c r="AO111" s="8"/>
      <c r="AP111" s="9" t="s">
        <v>2408</v>
      </c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76.5" hidden="false" customHeight="true" outlineLevel="0" collapsed="false">
      <c r="A112" s="6" t="s">
        <v>1</v>
      </c>
      <c r="B112" s="6" t="n">
        <v>7</v>
      </c>
      <c r="C112" s="6" t="n">
        <v>152229936</v>
      </c>
      <c r="D112" s="6" t="s">
        <v>889</v>
      </c>
      <c r="E112" s="6" t="s">
        <v>832</v>
      </c>
      <c r="F112" s="6" t="s">
        <v>890</v>
      </c>
      <c r="G112" s="6" t="s">
        <v>935</v>
      </c>
      <c r="H112" s="6" t="s">
        <v>2409</v>
      </c>
      <c r="I112" s="6" t="s">
        <v>2410</v>
      </c>
      <c r="J112" s="6" t="s">
        <v>2411</v>
      </c>
      <c r="K112" s="6" t="s">
        <v>120</v>
      </c>
      <c r="L112" s="6" t="s">
        <v>2412</v>
      </c>
      <c r="M112" s="6" t="n">
        <v>7507</v>
      </c>
      <c r="N112" s="7" t="n">
        <v>0.393</v>
      </c>
      <c r="O112" s="6" t="s">
        <v>2413</v>
      </c>
      <c r="P112" s="10" t="n">
        <f aca="false">HYPERLINK("https://www.ncbi.nlm.nih.gov/clinvar/variation/403019", 403019)</f>
        <v>403019</v>
      </c>
      <c r="Q112" s="6" t="s">
        <v>418</v>
      </c>
      <c r="R112" s="6" t="s">
        <v>2277</v>
      </c>
      <c r="S112" s="10" t="str">
        <f aca="false">HYPERLINK("https://www.ncbi.nlm.nih.gov/snp/rs28522267", "rs28522267")</f>
        <v>rs28522267</v>
      </c>
      <c r="T112" s="6" t="s">
        <v>123</v>
      </c>
      <c r="U112" s="6" t="s">
        <v>123</v>
      </c>
      <c r="V112" s="6" t="n">
        <v>0</v>
      </c>
      <c r="W112" s="6" t="n">
        <v>0</v>
      </c>
      <c r="X112" s="6" t="n">
        <v>0.06</v>
      </c>
      <c r="Y112" s="6" t="n">
        <v>0</v>
      </c>
      <c r="Z112" s="6" t="n">
        <v>22</v>
      </c>
      <c r="AA112" s="6" t="n">
        <v>-1</v>
      </c>
      <c r="AB112" s="6" t="n">
        <v>22</v>
      </c>
      <c r="AC112" s="6" t="n">
        <v>-1</v>
      </c>
      <c r="AD112" s="6" t="n">
        <v>28.4</v>
      </c>
      <c r="AE112" s="6" t="s">
        <v>2414</v>
      </c>
      <c r="AF112" s="6" t="s">
        <v>123</v>
      </c>
      <c r="AG112" s="6" t="s">
        <v>123</v>
      </c>
      <c r="AH112" s="6" t="s">
        <v>123</v>
      </c>
      <c r="AI112" s="6" t="s">
        <v>123</v>
      </c>
      <c r="AJ112" s="8"/>
      <c r="AK112" s="8"/>
      <c r="AL112" s="8"/>
      <c r="AM112" s="8"/>
      <c r="AN112" s="8"/>
      <c r="AO112" s="8"/>
      <c r="AP112" s="9" t="s">
        <v>2415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76.5" hidden="false" customHeight="true" outlineLevel="0" collapsed="false">
      <c r="A113" s="6" t="s">
        <v>1</v>
      </c>
      <c r="B113" s="6" t="n">
        <v>7</v>
      </c>
      <c r="C113" s="6" t="n">
        <v>152207361</v>
      </c>
      <c r="D113" s="6" t="s">
        <v>889</v>
      </c>
      <c r="E113" s="6" t="s">
        <v>832</v>
      </c>
      <c r="F113" s="6" t="s">
        <v>890</v>
      </c>
      <c r="G113" s="6" t="s">
        <v>2416</v>
      </c>
      <c r="H113" s="6" t="s">
        <v>2417</v>
      </c>
      <c r="I113" s="6" t="s">
        <v>2418</v>
      </c>
      <c r="J113" s="6" t="s">
        <v>2419</v>
      </c>
      <c r="K113" s="6" t="s">
        <v>1813</v>
      </c>
      <c r="L113" s="6" t="s">
        <v>2420</v>
      </c>
      <c r="M113" s="6" t="n">
        <v>4668</v>
      </c>
      <c r="N113" s="7" t="n">
        <v>0.0304</v>
      </c>
      <c r="O113" s="6"/>
      <c r="P113" s="6" t="s">
        <v>123</v>
      </c>
      <c r="Q113" s="6" t="s">
        <v>123</v>
      </c>
      <c r="R113" s="6" t="s">
        <v>123</v>
      </c>
      <c r="S113" s="10" t="str">
        <f aca="false">HYPERLINK("https://www.ncbi.nlm.nih.gov/snp/rs1415458403", "rs1415458403")</f>
        <v>rs1415458403</v>
      </c>
      <c r="T113" s="6" t="s">
        <v>123</v>
      </c>
      <c r="U113" s="10" t="n">
        <f aca="false">HYPERLINK("https://gnomad.broadinstitute.org/variant/7-152207361-T-C?dataset=gnomad_r4", 0.000000685015)</f>
        <v>6.85015E-007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34</v>
      </c>
      <c r="AA113" s="6" t="n">
        <v>-7</v>
      </c>
      <c r="AB113" s="6" t="n">
        <v>5</v>
      </c>
      <c r="AC113" s="6" t="n">
        <v>-25</v>
      </c>
      <c r="AD113" s="6" t="n">
        <v>9.784</v>
      </c>
      <c r="AE113" s="6" t="s">
        <v>124</v>
      </c>
      <c r="AF113" s="6" t="s">
        <v>123</v>
      </c>
      <c r="AG113" s="6" t="s">
        <v>123</v>
      </c>
      <c r="AH113" s="6" t="s">
        <v>123</v>
      </c>
      <c r="AI113" s="6" t="s">
        <v>123</v>
      </c>
      <c r="AJ113" s="8"/>
      <c r="AK113" s="8"/>
      <c r="AL113" s="8"/>
      <c r="AM113" s="8"/>
      <c r="AN113" s="8"/>
      <c r="AO113" s="8"/>
      <c r="AP113" s="9" t="s">
        <v>2421</v>
      </c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76.5" hidden="false" customHeight="true" outlineLevel="0" collapsed="false">
      <c r="A114" s="6" t="s">
        <v>1</v>
      </c>
      <c r="B114" s="6" t="n">
        <v>7</v>
      </c>
      <c r="C114" s="6" t="n">
        <v>152178015</v>
      </c>
      <c r="D114" s="6" t="s">
        <v>889</v>
      </c>
      <c r="E114" s="6" t="s">
        <v>832</v>
      </c>
      <c r="F114" s="6" t="s">
        <v>890</v>
      </c>
      <c r="G114" s="6" t="s">
        <v>123</v>
      </c>
      <c r="H114" s="6" t="s">
        <v>2422</v>
      </c>
      <c r="I114" s="6"/>
      <c r="J114" s="6" t="s">
        <v>123</v>
      </c>
      <c r="K114" s="6" t="s">
        <v>127</v>
      </c>
      <c r="L114" s="6" t="s">
        <v>2423</v>
      </c>
      <c r="M114" s="6" t="n">
        <v>1889</v>
      </c>
      <c r="N114" s="7" t="n">
        <v>0.0345</v>
      </c>
      <c r="O114" s="6" t="s">
        <v>1820</v>
      </c>
      <c r="P114" s="10" t="n">
        <f aca="false">HYPERLINK("https://www.ncbi.nlm.nih.gov/clinvar/variation/1555599", 1555599)</f>
        <v>1555599</v>
      </c>
      <c r="Q114" s="6" t="s">
        <v>418</v>
      </c>
      <c r="R114" s="6" t="s">
        <v>181</v>
      </c>
      <c r="S114" s="10" t="str">
        <f aca="false">HYPERLINK("https://www.ncbi.nlm.nih.gov/snp/rs746018833", "rs746018833")</f>
        <v>rs746018833</v>
      </c>
      <c r="T114" s="10" t="n">
        <f aca="false">HYPERLINK("https://gnomad.broadinstitute.org/variant/7-152178015-TAAAAAAA-T?dataset=gnomad_r4", 0.0240613)</f>
        <v>0.0240613</v>
      </c>
      <c r="U114" s="10" t="n">
        <f aca="false">HYPERLINK("https://gnomad.broadinstitute.org/variant/7-152178015-TAAAAAAA-T?dataset=gnomad_r4", 0.0020321)</f>
        <v>0.0020321</v>
      </c>
      <c r="V114" s="6" t="s">
        <v>123</v>
      </c>
      <c r="W114" s="6" t="s">
        <v>123</v>
      </c>
      <c r="X114" s="6" t="s">
        <v>123</v>
      </c>
      <c r="Y114" s="6" t="s">
        <v>123</v>
      </c>
      <c r="Z114" s="6" t="s">
        <v>123</v>
      </c>
      <c r="AA114" s="6" t="s">
        <v>123</v>
      </c>
      <c r="AB114" s="6" t="s">
        <v>123</v>
      </c>
      <c r="AC114" s="6" t="s">
        <v>123</v>
      </c>
      <c r="AD114" s="6" t="n">
        <v>0.521</v>
      </c>
      <c r="AE114" s="6" t="s">
        <v>933</v>
      </c>
      <c r="AF114" s="6" t="s">
        <v>123</v>
      </c>
      <c r="AG114" s="6" t="s">
        <v>123</v>
      </c>
      <c r="AH114" s="6" t="s">
        <v>123</v>
      </c>
      <c r="AI114" s="6" t="s">
        <v>123</v>
      </c>
      <c r="AJ114" s="8"/>
      <c r="AK114" s="8"/>
      <c r="AL114" s="8"/>
      <c r="AM114" s="8"/>
      <c r="AN114" s="8"/>
      <c r="AO114" s="8"/>
      <c r="AP114" s="9" t="s">
        <v>2424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76.5" hidden="false" customHeight="true" outlineLevel="0" collapsed="false">
      <c r="A115" s="6" t="s">
        <v>1</v>
      </c>
      <c r="B115" s="6" t="n">
        <v>7</v>
      </c>
      <c r="C115" s="6" t="n">
        <v>152229941</v>
      </c>
      <c r="D115" s="6" t="s">
        <v>889</v>
      </c>
      <c r="E115" s="6" t="s">
        <v>832</v>
      </c>
      <c r="F115" s="6" t="s">
        <v>890</v>
      </c>
      <c r="G115" s="6" t="s">
        <v>935</v>
      </c>
      <c r="H115" s="6" t="s">
        <v>2425</v>
      </c>
      <c r="I115" s="6" t="s">
        <v>2426</v>
      </c>
      <c r="J115" s="6" t="s">
        <v>2427</v>
      </c>
      <c r="K115" s="6" t="s">
        <v>1813</v>
      </c>
      <c r="L115" s="6" t="s">
        <v>2428</v>
      </c>
      <c r="M115" s="6" t="n">
        <v>7706</v>
      </c>
      <c r="N115" s="7" t="n">
        <v>0.391</v>
      </c>
      <c r="O115" s="6" t="s">
        <v>2413</v>
      </c>
      <c r="P115" s="6" t="s">
        <v>123</v>
      </c>
      <c r="Q115" s="6" t="s">
        <v>123</v>
      </c>
      <c r="R115" s="6" t="s">
        <v>123</v>
      </c>
      <c r="S115" s="10" t="str">
        <f aca="false">HYPERLINK("https://www.ncbi.nlm.nih.gov/snp/rs28439884", "rs28439884")</f>
        <v>rs28439884</v>
      </c>
      <c r="T115" s="6" t="s">
        <v>123</v>
      </c>
      <c r="U115" s="6" t="s">
        <v>123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-6</v>
      </c>
      <c r="AA115" s="6" t="n">
        <v>17</v>
      </c>
      <c r="AB115" s="6" t="n">
        <v>-18</v>
      </c>
      <c r="AC115" s="6" t="n">
        <v>-6</v>
      </c>
      <c r="AD115" s="6" t="n">
        <v>1.666</v>
      </c>
      <c r="AE115" s="6" t="s">
        <v>2414</v>
      </c>
      <c r="AF115" s="6" t="s">
        <v>123</v>
      </c>
      <c r="AG115" s="6" t="s">
        <v>123</v>
      </c>
      <c r="AH115" s="6" t="s">
        <v>123</v>
      </c>
      <c r="AI115" s="6" t="s">
        <v>123</v>
      </c>
      <c r="AJ115" s="8"/>
      <c r="AK115" s="8"/>
      <c r="AL115" s="8"/>
      <c r="AM115" s="8"/>
      <c r="AN115" s="8"/>
      <c r="AO115" s="8"/>
      <c r="AP115" s="9" t="s">
        <v>2429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76.5" hidden="false" customHeight="true" outlineLevel="0" collapsed="false">
      <c r="A116" s="6" t="s">
        <v>1</v>
      </c>
      <c r="B116" s="6" t="n">
        <v>7</v>
      </c>
      <c r="C116" s="6" t="n">
        <v>152358681</v>
      </c>
      <c r="D116" s="6" t="s">
        <v>889</v>
      </c>
      <c r="E116" s="6" t="s">
        <v>832</v>
      </c>
      <c r="F116" s="6" t="s">
        <v>890</v>
      </c>
      <c r="G116" s="6" t="s">
        <v>123</v>
      </c>
      <c r="H116" s="6" t="s">
        <v>2430</v>
      </c>
      <c r="I116" s="6"/>
      <c r="J116" s="6" t="s">
        <v>123</v>
      </c>
      <c r="K116" s="6" t="s">
        <v>127</v>
      </c>
      <c r="L116" s="6" t="s">
        <v>2431</v>
      </c>
      <c r="M116" s="6" t="n">
        <v>3428</v>
      </c>
      <c r="N116" s="7" t="n">
        <v>0.386</v>
      </c>
      <c r="O116" s="6" t="s">
        <v>1820</v>
      </c>
      <c r="P116" s="10" t="n">
        <f aca="false">HYPERLINK("https://www.ncbi.nlm.nih.gov/clinvar/variation/1601770", 1601770)</f>
        <v>1601770</v>
      </c>
      <c r="Q116" s="6" t="s">
        <v>283</v>
      </c>
      <c r="R116" s="6" t="s">
        <v>2432</v>
      </c>
      <c r="S116" s="10" t="str">
        <f aca="false">HYPERLINK("https://www.ncbi.nlm.nih.gov/snp/rs376309362", "rs376309362")</f>
        <v>rs376309362</v>
      </c>
      <c r="T116" s="10" t="n">
        <f aca="false">HYPERLINK("https://gnomad.broadinstitute.org/variant/7-152358681-GA-G?dataset=gnomad_r4", 0.0100704)</f>
        <v>0.0100704</v>
      </c>
      <c r="U116" s="10" t="n">
        <f aca="false">HYPERLINK("https://gnomad.broadinstitute.org/variant/7-152358681-GA-G?dataset=gnomad_r4", 0.0367003)</f>
        <v>0.0367003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-15</v>
      </c>
      <c r="AA116" s="6" t="n">
        <v>12</v>
      </c>
      <c r="AB116" s="6" t="n">
        <v>-7</v>
      </c>
      <c r="AC116" s="6" t="n">
        <v>-13</v>
      </c>
      <c r="AD116" s="6" t="n">
        <v>0.228</v>
      </c>
      <c r="AE116" s="6" t="s">
        <v>124</v>
      </c>
      <c r="AF116" s="6" t="s">
        <v>123</v>
      </c>
      <c r="AG116" s="6" t="s">
        <v>123</v>
      </c>
      <c r="AH116" s="6" t="s">
        <v>123</v>
      </c>
      <c r="AI116" s="6" t="s">
        <v>123</v>
      </c>
      <c r="AJ116" s="8"/>
      <c r="AK116" s="8"/>
      <c r="AL116" s="8"/>
      <c r="AM116" s="8"/>
      <c r="AN116" s="8"/>
      <c r="AO116" s="8"/>
      <c r="AP116" s="9" t="s">
        <v>2433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76.5" hidden="false" customHeight="true" outlineLevel="0" collapsed="false">
      <c r="A117" s="6" t="s">
        <v>1</v>
      </c>
      <c r="B117" s="6" t="n">
        <v>7</v>
      </c>
      <c r="C117" s="6" t="n">
        <v>152178015</v>
      </c>
      <c r="D117" s="6" t="s">
        <v>889</v>
      </c>
      <c r="E117" s="6" t="s">
        <v>832</v>
      </c>
      <c r="F117" s="6" t="s">
        <v>890</v>
      </c>
      <c r="G117" s="6" t="s">
        <v>123</v>
      </c>
      <c r="H117" s="6" t="s">
        <v>2434</v>
      </c>
      <c r="I117" s="6"/>
      <c r="J117" s="6" t="s">
        <v>123</v>
      </c>
      <c r="K117" s="6" t="s">
        <v>127</v>
      </c>
      <c r="L117" s="6" t="s">
        <v>2435</v>
      </c>
      <c r="M117" s="6" t="n">
        <v>1889</v>
      </c>
      <c r="N117" s="7" t="n">
        <v>0.0626</v>
      </c>
      <c r="O117" s="6" t="s">
        <v>1820</v>
      </c>
      <c r="P117" s="10" t="n">
        <f aca="false">HYPERLINK("https://www.ncbi.nlm.nih.gov/clinvar/variation/1625695", 1625695)</f>
        <v>1625695</v>
      </c>
      <c r="Q117" s="6" t="s">
        <v>283</v>
      </c>
      <c r="R117" s="6" t="s">
        <v>2436</v>
      </c>
      <c r="S117" s="10" t="str">
        <f aca="false">HYPERLINK("https://www.ncbi.nlm.nih.gov/snp/rs746018833", "rs746018833")</f>
        <v>rs746018833</v>
      </c>
      <c r="T117" s="10" t="n">
        <f aca="false">HYPERLINK("https://gnomad.broadinstitute.org/variant/7-152178015-TAAAAAAAAAAAAA-T?dataset=gnomad_r4", 0.0176612)</f>
        <v>0.0176612</v>
      </c>
      <c r="U117" s="10" t="n">
        <f aca="false">HYPERLINK("https://gnomad.broadinstitute.org/variant/7-152178015-TAAAAAAAAAAAAA-T?dataset=gnomad_r4", 0.00183099)</f>
        <v>0.00183099</v>
      </c>
      <c r="V117" s="6" t="s">
        <v>123</v>
      </c>
      <c r="W117" s="6" t="s">
        <v>123</v>
      </c>
      <c r="X117" s="6" t="s">
        <v>123</v>
      </c>
      <c r="Y117" s="6" t="s">
        <v>123</v>
      </c>
      <c r="Z117" s="6" t="s">
        <v>123</v>
      </c>
      <c r="AA117" s="6" t="s">
        <v>123</v>
      </c>
      <c r="AB117" s="6" t="s">
        <v>123</v>
      </c>
      <c r="AC117" s="6" t="s">
        <v>123</v>
      </c>
      <c r="AD117" s="6" t="n">
        <v>8.759</v>
      </c>
      <c r="AE117" s="6" t="s">
        <v>933</v>
      </c>
      <c r="AF117" s="6" t="s">
        <v>123</v>
      </c>
      <c r="AG117" s="6" t="s">
        <v>123</v>
      </c>
      <c r="AH117" s="6" t="s">
        <v>123</v>
      </c>
      <c r="AI117" s="6" t="s">
        <v>123</v>
      </c>
      <c r="AJ117" s="8"/>
      <c r="AK117" s="8"/>
      <c r="AL117" s="8"/>
      <c r="AM117" s="8"/>
      <c r="AN117" s="8"/>
      <c r="AO117" s="8"/>
      <c r="AP117" s="9" t="s">
        <v>2437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76.5" hidden="false" customHeight="true" outlineLevel="0" collapsed="false">
      <c r="A118" s="6" t="s">
        <v>1</v>
      </c>
      <c r="B118" s="6" t="n">
        <v>7</v>
      </c>
      <c r="C118" s="6" t="n">
        <v>152177062</v>
      </c>
      <c r="D118" s="6" t="s">
        <v>889</v>
      </c>
      <c r="E118" s="6" t="s">
        <v>832</v>
      </c>
      <c r="F118" s="6" t="s">
        <v>890</v>
      </c>
      <c r="G118" s="6" t="s">
        <v>900</v>
      </c>
      <c r="H118" s="6" t="s">
        <v>2438</v>
      </c>
      <c r="I118" s="6" t="s">
        <v>2439</v>
      </c>
      <c r="J118" s="6" t="s">
        <v>2440</v>
      </c>
      <c r="K118" s="6" t="s">
        <v>153</v>
      </c>
      <c r="L118" s="6" t="s">
        <v>2441</v>
      </c>
      <c r="M118" s="6" t="n">
        <v>4355</v>
      </c>
      <c r="N118" s="7" t="n">
        <v>0.669</v>
      </c>
      <c r="O118" s="6" t="s">
        <v>1820</v>
      </c>
      <c r="P118" s="6" t="s">
        <v>123</v>
      </c>
      <c r="Q118" s="6" t="s">
        <v>123</v>
      </c>
      <c r="R118" s="6" t="s">
        <v>123</v>
      </c>
      <c r="S118" s="10" t="str">
        <f aca="false">HYPERLINK("https://www.ncbi.nlm.nih.gov/snp/rs747256476", "rs747256476")</f>
        <v>rs747256476</v>
      </c>
      <c r="T118" s="6" t="s">
        <v>123</v>
      </c>
      <c r="U118" s="10" t="n">
        <f aca="false">HYPERLINK("https://gnomad.broadinstitute.org/variant/7-152177062-CT-C?dataset=gnomad_r4", 0.000341758)</f>
        <v>0.000341758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26</v>
      </c>
      <c r="AA118" s="6" t="n">
        <v>-1</v>
      </c>
      <c r="AB118" s="6" t="n">
        <v>-21</v>
      </c>
      <c r="AC118" s="6" t="n">
        <v>40</v>
      </c>
      <c r="AD118" s="6" t="n">
        <v>23.8</v>
      </c>
      <c r="AE118" s="6" t="s">
        <v>2442</v>
      </c>
      <c r="AF118" s="6" t="s">
        <v>123</v>
      </c>
      <c r="AG118" s="6" t="s">
        <v>123</v>
      </c>
      <c r="AH118" s="6" t="s">
        <v>123</v>
      </c>
      <c r="AI118" s="6" t="s">
        <v>123</v>
      </c>
      <c r="AJ118" s="8"/>
      <c r="AK118" s="8"/>
      <c r="AL118" s="8"/>
      <c r="AM118" s="8"/>
      <c r="AN118" s="8"/>
      <c r="AO118" s="8"/>
      <c r="AP118" s="9" t="s">
        <v>2443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76.5" hidden="false" customHeight="true" outlineLevel="0" collapsed="false">
      <c r="A119" s="6" t="s">
        <v>1</v>
      </c>
      <c r="B119" s="6" t="n">
        <v>7</v>
      </c>
      <c r="C119" s="6" t="n">
        <v>152176315</v>
      </c>
      <c r="D119" s="6" t="s">
        <v>889</v>
      </c>
      <c r="E119" s="6" t="s">
        <v>832</v>
      </c>
      <c r="F119" s="6" t="s">
        <v>890</v>
      </c>
      <c r="G119" s="6" t="s">
        <v>900</v>
      </c>
      <c r="H119" s="6" t="s">
        <v>2444</v>
      </c>
      <c r="I119" s="6" t="s">
        <v>2445</v>
      </c>
      <c r="J119" s="6" t="s">
        <v>2446</v>
      </c>
      <c r="K119" s="6" t="s">
        <v>1813</v>
      </c>
      <c r="L119" s="6" t="s">
        <v>2447</v>
      </c>
      <c r="M119" s="6" t="n">
        <v>5848</v>
      </c>
      <c r="N119" s="7" t="n">
        <v>0.0725</v>
      </c>
      <c r="O119" s="6"/>
      <c r="P119" s="10" t="n">
        <f aca="false">HYPERLINK("https://www.ncbi.nlm.nih.gov/clinvar/variation/1568753", 1568753)</f>
        <v>1568753</v>
      </c>
      <c r="Q119" s="6" t="s">
        <v>215</v>
      </c>
      <c r="R119" s="6" t="s">
        <v>916</v>
      </c>
      <c r="S119" s="10" t="str">
        <f aca="false">HYPERLINK("https://www.ncbi.nlm.nih.gov/snp/rs138871839", "rs138871839")</f>
        <v>rs138871839</v>
      </c>
      <c r="T119" s="10" t="n">
        <f aca="false">HYPERLINK("https://gnomad.broadinstitute.org/variant/7-152176315-A-T?dataset=gnomad_r4", 0.000781527)</f>
        <v>0.000781527</v>
      </c>
      <c r="U119" s="10" t="n">
        <f aca="false">HYPERLINK("https://gnomad.broadinstitute.org/variant/7-152176315-A-T?dataset=gnomad_r4", 0.0011964)</f>
        <v>0.0011964</v>
      </c>
      <c r="V119" s="6" t="n">
        <v>0.02</v>
      </c>
      <c r="W119" s="6" t="n">
        <v>0</v>
      </c>
      <c r="X119" s="6" t="n">
        <v>0</v>
      </c>
      <c r="Y119" s="6" t="n">
        <v>0</v>
      </c>
      <c r="Z119" s="6" t="n">
        <v>-31</v>
      </c>
      <c r="AA119" s="6" t="n">
        <v>-8</v>
      </c>
      <c r="AB119" s="6" t="n">
        <v>17</v>
      </c>
      <c r="AC119" s="6" t="n">
        <v>-50</v>
      </c>
      <c r="AD119" s="6" t="n">
        <v>3.08</v>
      </c>
      <c r="AE119" s="6" t="s">
        <v>933</v>
      </c>
      <c r="AF119" s="6" t="s">
        <v>123</v>
      </c>
      <c r="AG119" s="6" t="s">
        <v>123</v>
      </c>
      <c r="AH119" s="6" t="s">
        <v>123</v>
      </c>
      <c r="AI119" s="6" t="s">
        <v>123</v>
      </c>
      <c r="AJ119" s="8"/>
      <c r="AK119" s="8"/>
      <c r="AL119" s="8"/>
      <c r="AM119" s="8"/>
      <c r="AN119" s="8"/>
      <c r="AO119" s="8"/>
      <c r="AP119" s="9" t="s">
        <v>2448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76.5" hidden="false" customHeight="true" outlineLevel="0" collapsed="false">
      <c r="A120" s="6" t="s">
        <v>1</v>
      </c>
      <c r="B120" s="6" t="n">
        <v>7</v>
      </c>
      <c r="C120" s="6" t="n">
        <v>152235812</v>
      </c>
      <c r="D120" s="6" t="s">
        <v>889</v>
      </c>
      <c r="E120" s="6" t="s">
        <v>832</v>
      </c>
      <c r="F120" s="6" t="s">
        <v>890</v>
      </c>
      <c r="G120" s="6" t="s">
        <v>123</v>
      </c>
      <c r="H120" s="6" t="s">
        <v>2449</v>
      </c>
      <c r="I120" s="6"/>
      <c r="J120" s="6" t="s">
        <v>123</v>
      </c>
      <c r="K120" s="6" t="s">
        <v>127</v>
      </c>
      <c r="L120" s="6" t="s">
        <v>2450</v>
      </c>
      <c r="M120" s="6" t="n">
        <v>3353</v>
      </c>
      <c r="N120" s="7" t="n">
        <v>0.0474</v>
      </c>
      <c r="O120" s="6" t="s">
        <v>1879</v>
      </c>
      <c r="P120" s="10" t="n">
        <f aca="false">HYPERLINK("https://www.ncbi.nlm.nih.gov/clinvar/variation/1594212", 1594212)</f>
        <v>1594212</v>
      </c>
      <c r="Q120" s="6" t="s">
        <v>418</v>
      </c>
      <c r="R120" s="6" t="s">
        <v>2432</v>
      </c>
      <c r="S120" s="10" t="str">
        <f aca="false">HYPERLINK("https://www.ncbi.nlm.nih.gov/snp/rs73728782", "rs73728782")</f>
        <v>rs73728782</v>
      </c>
      <c r="T120" s="10" t="n">
        <f aca="false">HYPERLINK("https://gnomad.broadinstitute.org/variant/7-152235812-C-A?dataset=gnomad_r4", 0.00018506)</f>
        <v>0.00018506</v>
      </c>
      <c r="U120" s="6" t="s">
        <v>123</v>
      </c>
      <c r="V120" s="6" t="n">
        <v>0</v>
      </c>
      <c r="W120" s="6" t="n">
        <v>0</v>
      </c>
      <c r="X120" s="6" t="n">
        <v>0.04</v>
      </c>
      <c r="Y120" s="6" t="n">
        <v>0.7</v>
      </c>
      <c r="Z120" s="6" t="n">
        <v>5</v>
      </c>
      <c r="AA120" s="6" t="n">
        <v>21</v>
      </c>
      <c r="AB120" s="6" t="n">
        <v>-33</v>
      </c>
      <c r="AC120" s="6" t="n">
        <v>5</v>
      </c>
      <c r="AD120" s="6" t="n">
        <v>24.5</v>
      </c>
      <c r="AE120" s="6" t="s">
        <v>2451</v>
      </c>
      <c r="AF120" s="6" t="s">
        <v>123</v>
      </c>
      <c r="AG120" s="6" t="s">
        <v>123</v>
      </c>
      <c r="AH120" s="6" t="s">
        <v>123</v>
      </c>
      <c r="AI120" s="6" t="s">
        <v>123</v>
      </c>
      <c r="AJ120" s="8"/>
      <c r="AK120" s="8"/>
      <c r="AL120" s="8"/>
      <c r="AM120" s="8"/>
      <c r="AN120" s="8"/>
      <c r="AO120" s="8"/>
      <c r="AP120" s="9" t="s">
        <v>2452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63.75" hidden="false" customHeight="true" outlineLevel="0" collapsed="false">
      <c r="A121" s="6" t="s">
        <v>1</v>
      </c>
      <c r="B121" s="6" t="n">
        <v>7</v>
      </c>
      <c r="C121" s="6" t="n">
        <v>152162633</v>
      </c>
      <c r="D121" s="6" t="s">
        <v>889</v>
      </c>
      <c r="E121" s="6" t="s">
        <v>832</v>
      </c>
      <c r="F121" s="6" t="s">
        <v>890</v>
      </c>
      <c r="G121" s="6" t="s">
        <v>2453</v>
      </c>
      <c r="H121" s="6" t="s">
        <v>2454</v>
      </c>
      <c r="I121" s="6" t="s">
        <v>2455</v>
      </c>
      <c r="J121" s="6" t="s">
        <v>2456</v>
      </c>
      <c r="K121" s="6" t="s">
        <v>1813</v>
      </c>
      <c r="L121" s="6" t="s">
        <v>2457</v>
      </c>
      <c r="M121" s="6" t="n">
        <v>5130</v>
      </c>
      <c r="N121" s="7" t="n">
        <v>0.0705</v>
      </c>
      <c r="O121" s="6"/>
      <c r="P121" s="6" t="s">
        <v>123</v>
      </c>
      <c r="Q121" s="6" t="s">
        <v>123</v>
      </c>
      <c r="R121" s="6" t="s">
        <v>123</v>
      </c>
      <c r="S121" s="6" t="s">
        <v>123</v>
      </c>
      <c r="T121" s="6" t="s">
        <v>123</v>
      </c>
      <c r="U121" s="6" t="s">
        <v>123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7</v>
      </c>
      <c r="AA121" s="6" t="n">
        <v>-2</v>
      </c>
      <c r="AB121" s="6" t="n">
        <v>9</v>
      </c>
      <c r="AC121" s="6" t="n">
        <v>-4</v>
      </c>
      <c r="AD121" s="6" t="n">
        <v>1.249</v>
      </c>
      <c r="AE121" s="6" t="s">
        <v>124</v>
      </c>
      <c r="AF121" s="6" t="s">
        <v>123</v>
      </c>
      <c r="AG121" s="6" t="s">
        <v>123</v>
      </c>
      <c r="AH121" s="6" t="s">
        <v>123</v>
      </c>
      <c r="AI121" s="6" t="s">
        <v>123</v>
      </c>
      <c r="AJ121" s="8"/>
      <c r="AK121" s="8"/>
      <c r="AL121" s="8"/>
      <c r="AM121" s="8"/>
      <c r="AN121" s="8"/>
      <c r="AO121" s="8"/>
      <c r="AP121" s="9" t="s">
        <v>2458</v>
      </c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76.5" hidden="false" customHeight="true" outlineLevel="0" collapsed="false">
      <c r="A122" s="6" t="s">
        <v>1</v>
      </c>
      <c r="B122" s="6" t="n">
        <v>7</v>
      </c>
      <c r="C122" s="6" t="n">
        <v>152265184</v>
      </c>
      <c r="D122" s="6" t="s">
        <v>889</v>
      </c>
      <c r="E122" s="6" t="s">
        <v>832</v>
      </c>
      <c r="F122" s="6" t="s">
        <v>890</v>
      </c>
      <c r="G122" s="6" t="s">
        <v>2459</v>
      </c>
      <c r="H122" s="6" t="s">
        <v>2460</v>
      </c>
      <c r="I122" s="6" t="s">
        <v>2461</v>
      </c>
      <c r="J122" s="6" t="s">
        <v>2462</v>
      </c>
      <c r="K122" s="6" t="s">
        <v>1813</v>
      </c>
      <c r="L122" s="6" t="s">
        <v>2463</v>
      </c>
      <c r="M122" s="6" t="n">
        <v>4686</v>
      </c>
      <c r="N122" s="7" t="n">
        <v>0.0472</v>
      </c>
      <c r="O122" s="6" t="s">
        <v>1879</v>
      </c>
      <c r="P122" s="10" t="n">
        <f aca="false">HYPERLINK("https://www.ncbi.nlm.nih.gov/clinvar/variation/1597137", 1597137)</f>
        <v>1597137</v>
      </c>
      <c r="Q122" s="6" t="s">
        <v>215</v>
      </c>
      <c r="R122" s="6" t="s">
        <v>2432</v>
      </c>
      <c r="S122" s="10" t="str">
        <f aca="false">HYPERLINK("https://www.ncbi.nlm.nih.gov/snp/rs770240292", "rs770240292")</f>
        <v>rs770240292</v>
      </c>
      <c r="T122" s="6" t="s">
        <v>123</v>
      </c>
      <c r="U122" s="6" t="s">
        <v>123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16</v>
      </c>
      <c r="AA122" s="6" t="n">
        <v>20</v>
      </c>
      <c r="AB122" s="6" t="n">
        <v>8</v>
      </c>
      <c r="AC122" s="6" t="n">
        <v>1</v>
      </c>
      <c r="AD122" s="6" t="n">
        <v>11.89</v>
      </c>
      <c r="AE122" s="6" t="s">
        <v>2464</v>
      </c>
      <c r="AF122" s="6" t="s">
        <v>123</v>
      </c>
      <c r="AG122" s="6" t="s">
        <v>123</v>
      </c>
      <c r="AH122" s="6" t="s">
        <v>123</v>
      </c>
      <c r="AI122" s="6" t="s">
        <v>123</v>
      </c>
      <c r="AJ122" s="8"/>
      <c r="AK122" s="8"/>
      <c r="AL122" s="8"/>
      <c r="AM122" s="8"/>
      <c r="AN122" s="8"/>
      <c r="AO122" s="8"/>
      <c r="AP122" s="9" t="s">
        <v>2465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76.5" hidden="false" customHeight="true" outlineLevel="0" collapsed="false">
      <c r="A123" s="6" t="s">
        <v>1</v>
      </c>
      <c r="B123" s="6" t="n">
        <v>7</v>
      </c>
      <c r="C123" s="6" t="n">
        <v>152178015</v>
      </c>
      <c r="D123" s="6" t="s">
        <v>889</v>
      </c>
      <c r="E123" s="6" t="s">
        <v>832</v>
      </c>
      <c r="F123" s="6" t="s">
        <v>890</v>
      </c>
      <c r="G123" s="6" t="s">
        <v>123</v>
      </c>
      <c r="H123" s="6" t="s">
        <v>2466</v>
      </c>
      <c r="I123" s="6"/>
      <c r="J123" s="6" t="s">
        <v>123</v>
      </c>
      <c r="K123" s="6" t="s">
        <v>127</v>
      </c>
      <c r="L123" s="6" t="s">
        <v>2467</v>
      </c>
      <c r="M123" s="6" t="n">
        <v>1889</v>
      </c>
      <c r="N123" s="7" t="n">
        <v>0.319</v>
      </c>
      <c r="O123" s="6" t="s">
        <v>1820</v>
      </c>
      <c r="P123" s="10" t="n">
        <f aca="false">HYPERLINK("https://www.ncbi.nlm.nih.gov/clinvar/variation/2695362", 2695362)</f>
        <v>2695362</v>
      </c>
      <c r="Q123" s="6" t="s">
        <v>215</v>
      </c>
      <c r="R123" s="6" t="s">
        <v>181</v>
      </c>
      <c r="S123" s="10" t="str">
        <f aca="false">HYPERLINK("https://www.ncbi.nlm.nih.gov/snp/rs746018833", "rs746018833")</f>
        <v>rs746018833</v>
      </c>
      <c r="T123" s="10" t="n">
        <f aca="false">HYPERLINK("https://gnomad.broadinstitute.org/variant/7-152178015-TAAAAAAAAAAA-T?dataset=gnomad_r4", 0.00491409)</f>
        <v>0.00491409</v>
      </c>
      <c r="U123" s="10" t="n">
        <f aca="false">HYPERLINK("https://gnomad.broadinstitute.org/variant/7-152178015-TAAAAAAAAAAA-T?dataset=gnomad_r4", 0.000352369)</f>
        <v>0.000352369</v>
      </c>
      <c r="V123" s="6" t="s">
        <v>123</v>
      </c>
      <c r="W123" s="6" t="s">
        <v>123</v>
      </c>
      <c r="X123" s="6" t="s">
        <v>123</v>
      </c>
      <c r="Y123" s="6" t="s">
        <v>123</v>
      </c>
      <c r="Z123" s="6" t="s">
        <v>123</v>
      </c>
      <c r="AA123" s="6" t="s">
        <v>123</v>
      </c>
      <c r="AB123" s="6" t="s">
        <v>123</v>
      </c>
      <c r="AC123" s="6" t="s">
        <v>123</v>
      </c>
      <c r="AD123" s="6" t="n">
        <v>8.842</v>
      </c>
      <c r="AE123" s="6" t="s">
        <v>611</v>
      </c>
      <c r="AF123" s="6" t="s">
        <v>123</v>
      </c>
      <c r="AG123" s="6" t="s">
        <v>123</v>
      </c>
      <c r="AH123" s="6" t="s">
        <v>123</v>
      </c>
      <c r="AI123" s="6" t="s">
        <v>123</v>
      </c>
      <c r="AJ123" s="8"/>
      <c r="AK123" s="8"/>
      <c r="AL123" s="8"/>
      <c r="AM123" s="8"/>
      <c r="AN123" s="8"/>
      <c r="AO123" s="8"/>
      <c r="AP123" s="9" t="s">
        <v>2468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76.5" hidden="false" customHeight="true" outlineLevel="0" collapsed="false">
      <c r="A124" s="6" t="s">
        <v>1</v>
      </c>
      <c r="B124" s="6" t="n">
        <v>7</v>
      </c>
      <c r="C124" s="6" t="n">
        <v>152235823</v>
      </c>
      <c r="D124" s="6" t="s">
        <v>889</v>
      </c>
      <c r="E124" s="6" t="s">
        <v>832</v>
      </c>
      <c r="F124" s="6" t="s">
        <v>890</v>
      </c>
      <c r="G124" s="6" t="s">
        <v>2469</v>
      </c>
      <c r="H124" s="6" t="s">
        <v>2470</v>
      </c>
      <c r="I124" s="6" t="s">
        <v>2471</v>
      </c>
      <c r="J124" s="6" t="s">
        <v>2472</v>
      </c>
      <c r="K124" s="6" t="s">
        <v>1813</v>
      </c>
      <c r="L124" s="6" t="s">
        <v>2473</v>
      </c>
      <c r="M124" s="6" t="n">
        <v>3589</v>
      </c>
      <c r="N124" s="7" t="n">
        <v>0.0487</v>
      </c>
      <c r="O124" s="6" t="s">
        <v>2474</v>
      </c>
      <c r="P124" s="6" t="s">
        <v>123</v>
      </c>
      <c r="Q124" s="6" t="s">
        <v>123</v>
      </c>
      <c r="R124" s="6" t="s">
        <v>123</v>
      </c>
      <c r="S124" s="10" t="str">
        <f aca="false">HYPERLINK("https://www.ncbi.nlm.nih.gov/snp/rs112326730", "rs112326730")</f>
        <v>rs112326730</v>
      </c>
      <c r="T124" s="6" t="s">
        <v>123</v>
      </c>
      <c r="U124" s="6" t="s">
        <v>123</v>
      </c>
      <c r="V124" s="6" t="n">
        <v>0</v>
      </c>
      <c r="W124" s="6" t="n">
        <v>0</v>
      </c>
      <c r="X124" s="6" t="n">
        <v>0</v>
      </c>
      <c r="Y124" s="6" t="n">
        <v>0.01</v>
      </c>
      <c r="Z124" s="6" t="n">
        <v>-6</v>
      </c>
      <c r="AA124" s="6" t="n">
        <v>-2</v>
      </c>
      <c r="AB124" s="6" t="n">
        <v>-44</v>
      </c>
      <c r="AC124" s="6" t="n">
        <v>-6</v>
      </c>
      <c r="AD124" s="6" t="n">
        <v>8.856</v>
      </c>
      <c r="AE124" s="6" t="s">
        <v>2475</v>
      </c>
      <c r="AF124" s="6" t="s">
        <v>123</v>
      </c>
      <c r="AG124" s="6" t="s">
        <v>123</v>
      </c>
      <c r="AH124" s="6" t="s">
        <v>123</v>
      </c>
      <c r="AI124" s="6" t="s">
        <v>123</v>
      </c>
      <c r="AJ124" s="8"/>
      <c r="AK124" s="8"/>
      <c r="AL124" s="8"/>
      <c r="AM124" s="8"/>
      <c r="AN124" s="8"/>
      <c r="AO124" s="8"/>
      <c r="AP124" s="9" t="s">
        <v>2476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76.5" hidden="false" customHeight="true" outlineLevel="0" collapsed="false">
      <c r="A125" s="6" t="s">
        <v>1</v>
      </c>
      <c r="B125" s="6" t="n">
        <v>7</v>
      </c>
      <c r="C125" s="6" t="n">
        <v>152178015</v>
      </c>
      <c r="D125" s="6" t="s">
        <v>889</v>
      </c>
      <c r="E125" s="6" t="s">
        <v>832</v>
      </c>
      <c r="F125" s="6" t="s">
        <v>890</v>
      </c>
      <c r="G125" s="6" t="s">
        <v>123</v>
      </c>
      <c r="H125" s="6" t="s">
        <v>2477</v>
      </c>
      <c r="I125" s="6"/>
      <c r="J125" s="6" t="s">
        <v>123</v>
      </c>
      <c r="K125" s="6" t="s">
        <v>127</v>
      </c>
      <c r="L125" s="6" t="s">
        <v>2478</v>
      </c>
      <c r="M125" s="6" t="n">
        <v>1889</v>
      </c>
      <c r="N125" s="7" t="n">
        <v>0.0545</v>
      </c>
      <c r="O125" s="6" t="s">
        <v>1820</v>
      </c>
      <c r="P125" s="6" t="s">
        <v>123</v>
      </c>
      <c r="Q125" s="6" t="s">
        <v>123</v>
      </c>
      <c r="R125" s="6" t="s">
        <v>123</v>
      </c>
      <c r="S125" s="10" t="str">
        <f aca="false">HYPERLINK("https://www.ncbi.nlm.nih.gov/snp/rs746018833", "rs746018833")</f>
        <v>rs746018833</v>
      </c>
      <c r="T125" s="10" t="n">
        <f aca="false">HYPERLINK("https://gnomad.broadinstitute.org/variant/7-152178015-TAAAAAAAAA-T?dataset=gnomad_r4", 0.01411)</f>
        <v>0.01411</v>
      </c>
      <c r="U125" s="10" t="n">
        <f aca="false">HYPERLINK("https://gnomad.broadinstitute.org/variant/7-152178015-TAAAAAAAAA-T?dataset=gnomad_r4", 0.000849689)</f>
        <v>0.000849689</v>
      </c>
      <c r="V125" s="6" t="s">
        <v>123</v>
      </c>
      <c r="W125" s="6" t="s">
        <v>123</v>
      </c>
      <c r="X125" s="6" t="s">
        <v>123</v>
      </c>
      <c r="Y125" s="6" t="s">
        <v>123</v>
      </c>
      <c r="Z125" s="6" t="s">
        <v>123</v>
      </c>
      <c r="AA125" s="6" t="s">
        <v>123</v>
      </c>
      <c r="AB125" s="6" t="s">
        <v>123</v>
      </c>
      <c r="AC125" s="6" t="s">
        <v>123</v>
      </c>
      <c r="AD125" s="6" t="n">
        <v>2.19</v>
      </c>
      <c r="AE125" s="6" t="s">
        <v>933</v>
      </c>
      <c r="AF125" s="6" t="s">
        <v>123</v>
      </c>
      <c r="AG125" s="6" t="s">
        <v>123</v>
      </c>
      <c r="AH125" s="6" t="s">
        <v>123</v>
      </c>
      <c r="AI125" s="6" t="s">
        <v>123</v>
      </c>
      <c r="AJ125" s="8"/>
      <c r="AK125" s="8"/>
      <c r="AL125" s="8"/>
      <c r="AM125" s="8"/>
      <c r="AN125" s="8"/>
      <c r="AO125" s="8"/>
      <c r="AP125" s="9" t="s">
        <v>2479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76.5" hidden="false" customHeight="true" outlineLevel="0" collapsed="false">
      <c r="A126" s="6" t="s">
        <v>1</v>
      </c>
      <c r="B126" s="6" t="n">
        <v>7</v>
      </c>
      <c r="C126" s="6" t="n">
        <v>152235880</v>
      </c>
      <c r="D126" s="6" t="s">
        <v>889</v>
      </c>
      <c r="E126" s="6" t="s">
        <v>832</v>
      </c>
      <c r="F126" s="6" t="s">
        <v>890</v>
      </c>
      <c r="G126" s="6" t="s">
        <v>2469</v>
      </c>
      <c r="H126" s="6" t="s">
        <v>2480</v>
      </c>
      <c r="I126" s="6" t="s">
        <v>2481</v>
      </c>
      <c r="J126" s="6" t="s">
        <v>2482</v>
      </c>
      <c r="K126" s="6" t="s">
        <v>1813</v>
      </c>
      <c r="L126" s="6" t="s">
        <v>2483</v>
      </c>
      <c r="M126" s="6" t="n">
        <v>4226</v>
      </c>
      <c r="N126" s="7" t="n">
        <v>0.0651</v>
      </c>
      <c r="O126" s="6" t="s">
        <v>2413</v>
      </c>
      <c r="P126" s="6" t="s">
        <v>123</v>
      </c>
      <c r="Q126" s="6" t="s">
        <v>123</v>
      </c>
      <c r="R126" s="6" t="s">
        <v>123</v>
      </c>
      <c r="S126" s="10" t="str">
        <f aca="false">HYPERLINK("https://www.ncbi.nlm.nih.gov/snp/rs78472109", "rs78472109")</f>
        <v>rs78472109</v>
      </c>
      <c r="T126" s="6" t="s">
        <v>123</v>
      </c>
      <c r="U126" s="6" t="s">
        <v>123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-2</v>
      </c>
      <c r="AA126" s="6" t="n">
        <v>31</v>
      </c>
      <c r="AB126" s="6" t="n">
        <v>4</v>
      </c>
      <c r="AC126" s="6" t="n">
        <v>-16</v>
      </c>
      <c r="AD126" s="6" t="n">
        <v>6.138</v>
      </c>
      <c r="AE126" s="6" t="s">
        <v>2484</v>
      </c>
      <c r="AF126" s="6" t="s">
        <v>123</v>
      </c>
      <c r="AG126" s="6" t="s">
        <v>123</v>
      </c>
      <c r="AH126" s="6" t="s">
        <v>123</v>
      </c>
      <c r="AI126" s="6" t="s">
        <v>123</v>
      </c>
      <c r="AJ126" s="8"/>
      <c r="AK126" s="8"/>
      <c r="AL126" s="8"/>
      <c r="AM126" s="8"/>
      <c r="AN126" s="8"/>
      <c r="AO126" s="8"/>
      <c r="AP126" s="9" t="s">
        <v>2485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76.5" hidden="false" customHeight="true" outlineLevel="0" collapsed="false">
      <c r="A127" s="6" t="s">
        <v>1</v>
      </c>
      <c r="B127" s="6" t="n">
        <v>7</v>
      </c>
      <c r="C127" s="6" t="n">
        <v>152238746</v>
      </c>
      <c r="D127" s="6" t="s">
        <v>889</v>
      </c>
      <c r="E127" s="6" t="s">
        <v>832</v>
      </c>
      <c r="F127" s="6" t="s">
        <v>890</v>
      </c>
      <c r="G127" s="6" t="s">
        <v>2486</v>
      </c>
      <c r="H127" s="6" t="s">
        <v>2487</v>
      </c>
      <c r="I127" s="6" t="s">
        <v>2488</v>
      </c>
      <c r="J127" s="6" t="s">
        <v>2489</v>
      </c>
      <c r="K127" s="6" t="s">
        <v>1813</v>
      </c>
      <c r="L127" s="6" t="s">
        <v>2490</v>
      </c>
      <c r="M127" s="6" t="n">
        <v>4943</v>
      </c>
      <c r="N127" s="7" t="n">
        <v>0.031</v>
      </c>
      <c r="O127" s="6" t="s">
        <v>1879</v>
      </c>
      <c r="P127" s="6" t="s">
        <v>123</v>
      </c>
      <c r="Q127" s="6" t="s">
        <v>123</v>
      </c>
      <c r="R127" s="6" t="s">
        <v>123</v>
      </c>
      <c r="S127" s="10" t="str">
        <f aca="false">HYPERLINK("https://www.ncbi.nlm.nih.gov/snp/rs62478303", "rs62478303")</f>
        <v>rs62478303</v>
      </c>
      <c r="T127" s="10" t="n">
        <f aca="false">HYPERLINK("https://gnomad.broadinstitute.org/variant/7-152238746-G-A?dataset=gnomad_r4", 0.0423521)</f>
        <v>0.0423521</v>
      </c>
      <c r="U127" s="6" t="s">
        <v>123</v>
      </c>
      <c r="V127" s="6" t="n">
        <v>0</v>
      </c>
      <c r="W127" s="6" t="n">
        <v>0</v>
      </c>
      <c r="X127" s="6" t="n">
        <v>0</v>
      </c>
      <c r="Y127" s="6" t="n">
        <v>0.16</v>
      </c>
      <c r="Z127" s="6" t="n">
        <v>-3</v>
      </c>
      <c r="AA127" s="6" t="n">
        <v>31</v>
      </c>
      <c r="AB127" s="6" t="n">
        <v>-3</v>
      </c>
      <c r="AC127" s="6" t="n">
        <v>-39</v>
      </c>
      <c r="AD127" s="6" t="n">
        <v>14.02</v>
      </c>
      <c r="AE127" s="6" t="s">
        <v>2491</v>
      </c>
      <c r="AF127" s="6" t="s">
        <v>123</v>
      </c>
      <c r="AG127" s="6" t="s">
        <v>123</v>
      </c>
      <c r="AH127" s="6" t="s">
        <v>123</v>
      </c>
      <c r="AI127" s="6" t="s">
        <v>123</v>
      </c>
      <c r="AJ127" s="8"/>
      <c r="AK127" s="8"/>
      <c r="AL127" s="8"/>
      <c r="AM127" s="8"/>
      <c r="AN127" s="8"/>
      <c r="AO127" s="8"/>
      <c r="AP127" s="9" t="s">
        <v>2492</v>
      </c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76.5" hidden="false" customHeight="true" outlineLevel="0" collapsed="false">
      <c r="A128" s="6" t="s">
        <v>1</v>
      </c>
      <c r="B128" s="6" t="n">
        <v>7</v>
      </c>
      <c r="C128" s="6" t="n">
        <v>152238768</v>
      </c>
      <c r="D128" s="6" t="s">
        <v>889</v>
      </c>
      <c r="E128" s="6" t="s">
        <v>832</v>
      </c>
      <c r="F128" s="6" t="s">
        <v>890</v>
      </c>
      <c r="G128" s="6" t="s">
        <v>2486</v>
      </c>
      <c r="H128" s="6" t="s">
        <v>2493</v>
      </c>
      <c r="I128" s="6" t="s">
        <v>2494</v>
      </c>
      <c r="J128" s="6" t="s">
        <v>2495</v>
      </c>
      <c r="K128" s="6" t="s">
        <v>120</v>
      </c>
      <c r="L128" s="6" t="s">
        <v>2496</v>
      </c>
      <c r="M128" s="6" t="n">
        <v>4628</v>
      </c>
      <c r="N128" s="7" t="n">
        <v>0.114</v>
      </c>
      <c r="O128" s="6" t="s">
        <v>2497</v>
      </c>
      <c r="P128" s="6" t="s">
        <v>123</v>
      </c>
      <c r="Q128" s="6" t="s">
        <v>123</v>
      </c>
      <c r="R128" s="6" t="s">
        <v>123</v>
      </c>
      <c r="S128" s="10" t="str">
        <f aca="false">HYPERLINK("https://www.ncbi.nlm.nih.gov/snp/rs4024420", "rs4024420")</f>
        <v>rs4024420</v>
      </c>
      <c r="T128" s="6" t="s">
        <v>123</v>
      </c>
      <c r="U128" s="6" t="s">
        <v>123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33</v>
      </c>
      <c r="AA128" s="6" t="n">
        <v>9</v>
      </c>
      <c r="AB128" s="6" t="n">
        <v>1</v>
      </c>
      <c r="AC128" s="6" t="n">
        <v>-2</v>
      </c>
      <c r="AD128" s="6" t="n">
        <v>24.9</v>
      </c>
      <c r="AE128" s="6" t="s">
        <v>2404</v>
      </c>
      <c r="AF128" s="6" t="s">
        <v>123</v>
      </c>
      <c r="AG128" s="6" t="s">
        <v>123</v>
      </c>
      <c r="AH128" s="6" t="s">
        <v>123</v>
      </c>
      <c r="AI128" s="6" t="s">
        <v>123</v>
      </c>
      <c r="AJ128" s="8"/>
      <c r="AK128" s="8"/>
      <c r="AL128" s="8"/>
      <c r="AM128" s="8"/>
      <c r="AN128" s="8"/>
      <c r="AO128" s="8"/>
      <c r="AP128" s="9" t="s">
        <v>2498</v>
      </c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76.5" hidden="false" customHeight="true" outlineLevel="0" collapsed="false">
      <c r="A129" s="6" t="s">
        <v>1</v>
      </c>
      <c r="B129" s="6" t="n">
        <v>7</v>
      </c>
      <c r="C129" s="6" t="n">
        <v>152247986</v>
      </c>
      <c r="D129" s="6" t="s">
        <v>889</v>
      </c>
      <c r="E129" s="6" t="s">
        <v>832</v>
      </c>
      <c r="F129" s="6" t="s">
        <v>890</v>
      </c>
      <c r="G129" s="6" t="s">
        <v>918</v>
      </c>
      <c r="H129" s="6" t="s">
        <v>2499</v>
      </c>
      <c r="I129" s="6" t="s">
        <v>2500</v>
      </c>
      <c r="J129" s="6" t="s">
        <v>2501</v>
      </c>
      <c r="K129" s="6" t="s">
        <v>2502</v>
      </c>
      <c r="L129" s="6" t="s">
        <v>2503</v>
      </c>
      <c r="M129" s="6" t="n">
        <v>6889</v>
      </c>
      <c r="N129" s="7" t="n">
        <v>0.311</v>
      </c>
      <c r="O129" s="6" t="s">
        <v>1879</v>
      </c>
      <c r="P129" s="10" t="n">
        <f aca="false">HYPERLINK("https://www.ncbi.nlm.nih.gov/clinvar/variation/403020", 403020)</f>
        <v>403020</v>
      </c>
      <c r="Q129" s="6" t="s">
        <v>418</v>
      </c>
      <c r="R129" s="6" t="s">
        <v>2504</v>
      </c>
      <c r="S129" s="10" t="str">
        <f aca="false">HYPERLINK("https://www.ncbi.nlm.nih.gov/snp/rs150073007", "rs150073007")</f>
        <v>rs150073007</v>
      </c>
      <c r="T129" s="6" t="s">
        <v>123</v>
      </c>
      <c r="U129" s="6" t="s">
        <v>123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40</v>
      </c>
      <c r="AA129" s="6" t="n">
        <v>-8</v>
      </c>
      <c r="AB129" s="6" t="n">
        <v>-24</v>
      </c>
      <c r="AC129" s="6" t="n">
        <v>-28</v>
      </c>
      <c r="AD129" s="6" t="n">
        <v>33</v>
      </c>
      <c r="AE129" s="6" t="s">
        <v>2505</v>
      </c>
      <c r="AF129" s="6" t="s">
        <v>123</v>
      </c>
      <c r="AG129" s="6" t="s">
        <v>123</v>
      </c>
      <c r="AH129" s="6" t="s">
        <v>123</v>
      </c>
      <c r="AI129" s="6" t="s">
        <v>123</v>
      </c>
      <c r="AJ129" s="8"/>
      <c r="AK129" s="8"/>
      <c r="AL129" s="8"/>
      <c r="AM129" s="8"/>
      <c r="AN129" s="8"/>
      <c r="AO129" s="8"/>
      <c r="AP129" s="9" t="s">
        <v>2506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76.5" hidden="false" customHeight="true" outlineLevel="0" collapsed="false">
      <c r="A130" s="6" t="s">
        <v>1</v>
      </c>
      <c r="B130" s="6" t="n">
        <v>7</v>
      </c>
      <c r="C130" s="6" t="n">
        <v>152248016</v>
      </c>
      <c r="D130" s="6" t="s">
        <v>889</v>
      </c>
      <c r="E130" s="6" t="s">
        <v>832</v>
      </c>
      <c r="F130" s="6" t="s">
        <v>890</v>
      </c>
      <c r="G130" s="6" t="s">
        <v>918</v>
      </c>
      <c r="H130" s="6" t="s">
        <v>2507</v>
      </c>
      <c r="I130" s="6" t="s">
        <v>2508</v>
      </c>
      <c r="J130" s="6" t="s">
        <v>2509</v>
      </c>
      <c r="K130" s="6" t="s">
        <v>1813</v>
      </c>
      <c r="L130" s="6" t="s">
        <v>2510</v>
      </c>
      <c r="M130" s="6" t="n">
        <v>6895</v>
      </c>
      <c r="N130" s="7" t="n">
        <v>0.0484</v>
      </c>
      <c r="O130" s="6" t="s">
        <v>1879</v>
      </c>
      <c r="P130" s="10" t="n">
        <f aca="false">HYPERLINK("https://www.ncbi.nlm.nih.gov/clinvar/variation/1596664", 1596664)</f>
        <v>1596664</v>
      </c>
      <c r="Q130" s="6" t="s">
        <v>418</v>
      </c>
      <c r="R130" s="6" t="s">
        <v>181</v>
      </c>
      <c r="S130" s="10" t="str">
        <f aca="false">HYPERLINK("https://www.ncbi.nlm.nih.gov/snp/rs3896406", "rs3896406")</f>
        <v>rs3896406</v>
      </c>
      <c r="T130" s="10" t="n">
        <f aca="false">HYPERLINK("https://gnomad.broadinstitute.org/variant/7-152248016-G-C?dataset=gnomad_r4", 0.00418134)</f>
        <v>0.00418134</v>
      </c>
      <c r="U130" s="6" t="s">
        <v>123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10</v>
      </c>
      <c r="AA130" s="6" t="n">
        <v>-38</v>
      </c>
      <c r="AB130" s="6" t="n">
        <v>5</v>
      </c>
      <c r="AC130" s="6" t="n">
        <v>6</v>
      </c>
      <c r="AD130" s="6" t="n">
        <v>10.46</v>
      </c>
      <c r="AE130" s="6" t="s">
        <v>2511</v>
      </c>
      <c r="AF130" s="6" t="s">
        <v>123</v>
      </c>
      <c r="AG130" s="6" t="s">
        <v>123</v>
      </c>
      <c r="AH130" s="6" t="s">
        <v>123</v>
      </c>
      <c r="AI130" s="6" t="s">
        <v>123</v>
      </c>
      <c r="AJ130" s="8"/>
      <c r="AK130" s="8"/>
      <c r="AL130" s="8"/>
      <c r="AM130" s="8"/>
      <c r="AN130" s="8"/>
      <c r="AO130" s="8"/>
      <c r="AP130" s="9" t="s">
        <v>2512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76.5" hidden="false" customHeight="true" outlineLevel="0" collapsed="false">
      <c r="A131" s="6" t="s">
        <v>1</v>
      </c>
      <c r="B131" s="6" t="n">
        <v>7</v>
      </c>
      <c r="C131" s="6" t="n">
        <v>152265180</v>
      </c>
      <c r="D131" s="6" t="s">
        <v>889</v>
      </c>
      <c r="E131" s="6" t="s">
        <v>832</v>
      </c>
      <c r="F131" s="6" t="s">
        <v>890</v>
      </c>
      <c r="G131" s="6" t="s">
        <v>2459</v>
      </c>
      <c r="H131" s="6" t="s">
        <v>2513</v>
      </c>
      <c r="I131" s="6" t="s">
        <v>2514</v>
      </c>
      <c r="J131" s="6" t="s">
        <v>2515</v>
      </c>
      <c r="K131" s="6" t="s">
        <v>120</v>
      </c>
      <c r="L131" s="6" t="s">
        <v>2516</v>
      </c>
      <c r="M131" s="6" t="n">
        <v>4901</v>
      </c>
      <c r="N131" s="7" t="n">
        <v>0.044</v>
      </c>
      <c r="O131" s="6" t="s">
        <v>1879</v>
      </c>
      <c r="P131" s="10" t="n">
        <f aca="false">HYPERLINK("https://www.ncbi.nlm.nih.gov/clinvar/variation/1301821", 1301821)</f>
        <v>1301821</v>
      </c>
      <c r="Q131" s="6" t="s">
        <v>253</v>
      </c>
      <c r="R131" s="6" t="s">
        <v>2432</v>
      </c>
      <c r="S131" s="10" t="str">
        <f aca="false">HYPERLINK("https://www.ncbi.nlm.nih.gov/snp/rs201834857", "rs201834857")</f>
        <v>rs201834857</v>
      </c>
      <c r="T131" s="10" t="n">
        <f aca="false">HYPERLINK("https://gnomad.broadinstitute.org/variant/7-152265180-C-T?dataset=gnomad_r4", 0.000135593)</f>
        <v>0.000135593</v>
      </c>
      <c r="U131" s="6" t="s">
        <v>123</v>
      </c>
      <c r="V131" s="6" t="n">
        <v>0</v>
      </c>
      <c r="W131" s="6" t="n">
        <v>0.02</v>
      </c>
      <c r="X131" s="6" t="n">
        <v>0</v>
      </c>
      <c r="Y131" s="6" t="n">
        <v>0</v>
      </c>
      <c r="Z131" s="6" t="n">
        <v>27</v>
      </c>
      <c r="AA131" s="6" t="n">
        <v>29</v>
      </c>
      <c r="AB131" s="6" t="n">
        <v>29</v>
      </c>
      <c r="AC131" s="6" t="n">
        <v>5</v>
      </c>
      <c r="AD131" s="6" t="n">
        <v>29</v>
      </c>
      <c r="AE131" s="6" t="s">
        <v>2517</v>
      </c>
      <c r="AF131" s="6" t="s">
        <v>123</v>
      </c>
      <c r="AG131" s="6" t="s">
        <v>123</v>
      </c>
      <c r="AH131" s="6" t="s">
        <v>123</v>
      </c>
      <c r="AI131" s="6" t="s">
        <v>123</v>
      </c>
      <c r="AJ131" s="8"/>
      <c r="AK131" s="8"/>
      <c r="AL131" s="8"/>
      <c r="AM131" s="8"/>
      <c r="AN131" s="8"/>
      <c r="AO131" s="8"/>
      <c r="AP131" s="9" t="s">
        <v>2518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76.5" hidden="false" customHeight="true" outlineLevel="0" collapsed="false">
      <c r="A132" s="6" t="s">
        <v>1</v>
      </c>
      <c r="B132" s="6" t="n">
        <v>7</v>
      </c>
      <c r="C132" s="6" t="n">
        <v>152248119</v>
      </c>
      <c r="D132" s="6" t="s">
        <v>889</v>
      </c>
      <c r="E132" s="6" t="s">
        <v>832</v>
      </c>
      <c r="F132" s="6" t="s">
        <v>890</v>
      </c>
      <c r="G132" s="6" t="s">
        <v>918</v>
      </c>
      <c r="H132" s="6" t="s">
        <v>2519</v>
      </c>
      <c r="I132" s="6" t="s">
        <v>2520</v>
      </c>
      <c r="J132" s="6" t="s">
        <v>2521</v>
      </c>
      <c r="K132" s="6" t="s">
        <v>120</v>
      </c>
      <c r="L132" s="6" t="s">
        <v>2522</v>
      </c>
      <c r="M132" s="6" t="n">
        <v>5212</v>
      </c>
      <c r="N132" s="7" t="n">
        <v>0.152</v>
      </c>
      <c r="O132" s="6" t="s">
        <v>2497</v>
      </c>
      <c r="P132" s="6" t="s">
        <v>123</v>
      </c>
      <c r="Q132" s="6" t="s">
        <v>123</v>
      </c>
      <c r="R132" s="6" t="s">
        <v>123</v>
      </c>
      <c r="S132" s="10" t="str">
        <f aca="false">HYPERLINK("https://www.ncbi.nlm.nih.gov/snp/rs4024453", "rs4024453")</f>
        <v>rs4024453</v>
      </c>
      <c r="T132" s="6" t="s">
        <v>123</v>
      </c>
      <c r="U132" s="6" t="s">
        <v>123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-6</v>
      </c>
      <c r="AA132" s="6" t="n">
        <v>-24</v>
      </c>
      <c r="AB132" s="6" t="n">
        <v>-9</v>
      </c>
      <c r="AC132" s="6" t="n">
        <v>-19</v>
      </c>
      <c r="AD132" s="6" t="n">
        <v>22.7</v>
      </c>
      <c r="AE132" s="6" t="s">
        <v>2523</v>
      </c>
      <c r="AF132" s="6" t="s">
        <v>123</v>
      </c>
      <c r="AG132" s="6" t="s">
        <v>123</v>
      </c>
      <c r="AH132" s="6" t="s">
        <v>123</v>
      </c>
      <c r="AI132" s="6" t="s">
        <v>123</v>
      </c>
      <c r="AJ132" s="8"/>
      <c r="AK132" s="8"/>
      <c r="AL132" s="8"/>
      <c r="AM132" s="8"/>
      <c r="AN132" s="8"/>
      <c r="AO132" s="8"/>
      <c r="AP132" s="9" t="s">
        <v>2524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76.5" hidden="false" customHeight="true" outlineLevel="0" collapsed="false">
      <c r="A133" s="6" t="s">
        <v>1</v>
      </c>
      <c r="B133" s="6" t="n">
        <v>7</v>
      </c>
      <c r="C133" s="6" t="n">
        <v>152248130</v>
      </c>
      <c r="D133" s="6" t="s">
        <v>889</v>
      </c>
      <c r="E133" s="6" t="s">
        <v>832</v>
      </c>
      <c r="F133" s="6" t="s">
        <v>890</v>
      </c>
      <c r="G133" s="6" t="s">
        <v>918</v>
      </c>
      <c r="H133" s="6" t="s">
        <v>2525</v>
      </c>
      <c r="I133" s="6" t="s">
        <v>2526</v>
      </c>
      <c r="J133" s="6" t="s">
        <v>2527</v>
      </c>
      <c r="K133" s="6" t="s">
        <v>1813</v>
      </c>
      <c r="L133" s="6" t="s">
        <v>2528</v>
      </c>
      <c r="M133" s="6" t="n">
        <v>5104</v>
      </c>
      <c r="N133" s="7" t="n">
        <v>0.111</v>
      </c>
      <c r="O133" s="6" t="s">
        <v>2497</v>
      </c>
      <c r="P133" s="6" t="s">
        <v>123</v>
      </c>
      <c r="Q133" s="6" t="s">
        <v>123</v>
      </c>
      <c r="R133" s="6" t="s">
        <v>123</v>
      </c>
      <c r="S133" s="10" t="str">
        <f aca="false">HYPERLINK("https://www.ncbi.nlm.nih.gov/snp/rs594178", "rs594178")</f>
        <v>rs594178</v>
      </c>
      <c r="T133" s="6" t="s">
        <v>123</v>
      </c>
      <c r="U133" s="6" t="s">
        <v>123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-20</v>
      </c>
      <c r="AA133" s="6" t="n">
        <v>-17</v>
      </c>
      <c r="AB133" s="6" t="n">
        <v>-30</v>
      </c>
      <c r="AC133" s="6" t="n">
        <v>22</v>
      </c>
      <c r="AD133" s="6" t="n">
        <v>3.869</v>
      </c>
      <c r="AE133" s="6" t="s">
        <v>2529</v>
      </c>
      <c r="AF133" s="6" t="s">
        <v>123</v>
      </c>
      <c r="AG133" s="6" t="s">
        <v>123</v>
      </c>
      <c r="AH133" s="6" t="s">
        <v>123</v>
      </c>
      <c r="AI133" s="6" t="s">
        <v>123</v>
      </c>
      <c r="AJ133" s="8"/>
      <c r="AK133" s="8"/>
      <c r="AL133" s="8"/>
      <c r="AM133" s="8"/>
      <c r="AN133" s="8"/>
      <c r="AO133" s="8"/>
      <c r="AP133" s="9" t="s">
        <v>2530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76.5" hidden="false" customHeight="true" outlineLevel="0" collapsed="false">
      <c r="A134" s="6" t="s">
        <v>1</v>
      </c>
      <c r="B134" s="6" t="n">
        <v>7</v>
      </c>
      <c r="C134" s="6" t="n">
        <v>152248249</v>
      </c>
      <c r="D134" s="6" t="s">
        <v>889</v>
      </c>
      <c r="E134" s="6" t="s">
        <v>832</v>
      </c>
      <c r="F134" s="6" t="s">
        <v>890</v>
      </c>
      <c r="G134" s="6" t="s">
        <v>918</v>
      </c>
      <c r="H134" s="6" t="s">
        <v>2531</v>
      </c>
      <c r="I134" s="6" t="s">
        <v>2532</v>
      </c>
      <c r="J134" s="6" t="s">
        <v>2533</v>
      </c>
      <c r="K134" s="6" t="s">
        <v>120</v>
      </c>
      <c r="L134" s="6" t="s">
        <v>2534</v>
      </c>
      <c r="M134" s="6" t="n">
        <v>5041</v>
      </c>
      <c r="N134" s="7" t="n">
        <v>0.0441</v>
      </c>
      <c r="O134" s="6" t="s">
        <v>2535</v>
      </c>
      <c r="P134" s="10" t="n">
        <f aca="false">HYPERLINK("https://www.ncbi.nlm.nih.gov/clinvar/variation/1601687", 1601687)</f>
        <v>1601687</v>
      </c>
      <c r="Q134" s="6" t="s">
        <v>418</v>
      </c>
      <c r="R134" s="6" t="s">
        <v>181</v>
      </c>
      <c r="S134" s="10" t="str">
        <f aca="false">HYPERLINK("https://www.ncbi.nlm.nih.gov/snp/rs4639425", "rs4639425")</f>
        <v>rs4639425</v>
      </c>
      <c r="T134" s="6" t="s">
        <v>123</v>
      </c>
      <c r="U134" s="6" t="s">
        <v>123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42</v>
      </c>
      <c r="AA134" s="6" t="n">
        <v>-19</v>
      </c>
      <c r="AB134" s="6" t="n">
        <v>-37</v>
      </c>
      <c r="AC134" s="6" t="n">
        <v>4</v>
      </c>
      <c r="AD134" s="6" t="n">
        <v>7.561</v>
      </c>
      <c r="AE134" s="6" t="s">
        <v>2536</v>
      </c>
      <c r="AF134" s="6" t="s">
        <v>123</v>
      </c>
      <c r="AG134" s="6" t="s">
        <v>123</v>
      </c>
      <c r="AH134" s="6" t="s">
        <v>123</v>
      </c>
      <c r="AI134" s="6" t="s">
        <v>123</v>
      </c>
      <c r="AJ134" s="8"/>
      <c r="AK134" s="8"/>
      <c r="AL134" s="8"/>
      <c r="AM134" s="8"/>
      <c r="AN134" s="8"/>
      <c r="AO134" s="8"/>
      <c r="AP134" s="9" t="s">
        <v>2537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63.75" hidden="false" customHeight="true" outlineLevel="0" collapsed="false">
      <c r="A135" s="6" t="s">
        <v>1</v>
      </c>
      <c r="B135" s="6" t="n">
        <v>7</v>
      </c>
      <c r="C135" s="6" t="n">
        <v>152250920</v>
      </c>
      <c r="D135" s="6" t="s">
        <v>889</v>
      </c>
      <c r="E135" s="6" t="s">
        <v>832</v>
      </c>
      <c r="F135" s="6" t="s">
        <v>890</v>
      </c>
      <c r="G135" s="6" t="s">
        <v>2538</v>
      </c>
      <c r="H135" s="6" t="s">
        <v>2539</v>
      </c>
      <c r="I135" s="6" t="s">
        <v>2540</v>
      </c>
      <c r="J135" s="6" t="s">
        <v>2541</v>
      </c>
      <c r="K135" s="6" t="s">
        <v>1813</v>
      </c>
      <c r="L135" s="6" t="s">
        <v>2542</v>
      </c>
      <c r="M135" s="6" t="n">
        <v>5045</v>
      </c>
      <c r="N135" s="7" t="n">
        <v>0.0516</v>
      </c>
      <c r="O135" s="6"/>
      <c r="P135" s="6" t="s">
        <v>123</v>
      </c>
      <c r="Q135" s="6" t="s">
        <v>123</v>
      </c>
      <c r="R135" s="6" t="s">
        <v>123</v>
      </c>
      <c r="S135" s="6" t="s">
        <v>123</v>
      </c>
      <c r="T135" s="6" t="s">
        <v>123</v>
      </c>
      <c r="U135" s="6" t="s">
        <v>123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46</v>
      </c>
      <c r="AA135" s="6" t="n">
        <v>-8</v>
      </c>
      <c r="AB135" s="6" t="n">
        <v>-34</v>
      </c>
      <c r="AC135" s="6" t="n">
        <v>3</v>
      </c>
      <c r="AD135" s="6" t="n">
        <v>0.191</v>
      </c>
      <c r="AE135" s="6" t="s">
        <v>124</v>
      </c>
      <c r="AF135" s="6" t="s">
        <v>123</v>
      </c>
      <c r="AG135" s="6" t="s">
        <v>123</v>
      </c>
      <c r="AH135" s="6" t="s">
        <v>123</v>
      </c>
      <c r="AI135" s="6" t="s">
        <v>123</v>
      </c>
      <c r="AJ135" s="8"/>
      <c r="AK135" s="8"/>
      <c r="AL135" s="8"/>
      <c r="AM135" s="8"/>
      <c r="AN135" s="8"/>
      <c r="AO135" s="8"/>
      <c r="AP135" s="9" t="s">
        <v>2543</v>
      </c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76.5" hidden="false" customHeight="true" outlineLevel="0" collapsed="false">
      <c r="A136" s="6" t="s">
        <v>1</v>
      </c>
      <c r="B136" s="6" t="n">
        <v>7</v>
      </c>
      <c r="C136" s="6" t="n">
        <v>152265049</v>
      </c>
      <c r="D136" s="6" t="s">
        <v>889</v>
      </c>
      <c r="E136" s="6" t="s">
        <v>832</v>
      </c>
      <c r="F136" s="6" t="s">
        <v>890</v>
      </c>
      <c r="G136" s="6" t="s">
        <v>2459</v>
      </c>
      <c r="H136" s="6" t="s">
        <v>2544</v>
      </c>
      <c r="I136" s="6" t="s">
        <v>2545</v>
      </c>
      <c r="J136" s="6" t="s">
        <v>2546</v>
      </c>
      <c r="K136" s="6" t="s">
        <v>389</v>
      </c>
      <c r="L136" s="6" t="s">
        <v>2547</v>
      </c>
      <c r="M136" s="6" t="n">
        <v>6114</v>
      </c>
      <c r="N136" s="7" t="n">
        <v>0.0648</v>
      </c>
      <c r="O136" s="6" t="s">
        <v>1879</v>
      </c>
      <c r="P136" s="10" t="n">
        <f aca="false">HYPERLINK("https://www.ncbi.nlm.nih.gov/clinvar/variation/1205926", 1205926)</f>
        <v>1205926</v>
      </c>
      <c r="Q136" s="6" t="s">
        <v>215</v>
      </c>
      <c r="R136" s="6" t="s">
        <v>2277</v>
      </c>
      <c r="S136" s="10" t="str">
        <f aca="false">HYPERLINK("https://www.ncbi.nlm.nih.gov/snp/rs146238849", "rs146238849")</f>
        <v>rs146238849</v>
      </c>
      <c r="T136" s="10" t="n">
        <f aca="false">HYPERLINK("https://gnomad.broadinstitute.org/variant/7-152265049-G-T?dataset=gnomad_r4", 0.000391522)</f>
        <v>0.000391522</v>
      </c>
      <c r="U136" s="6" t="s">
        <v>123</v>
      </c>
      <c r="V136" s="6" t="n">
        <v>0</v>
      </c>
      <c r="W136" s="6" t="n">
        <v>0</v>
      </c>
      <c r="X136" s="6" t="n">
        <v>0</v>
      </c>
      <c r="Y136" s="6" t="n">
        <v>0.01</v>
      </c>
      <c r="Z136" s="6" t="n">
        <v>-11</v>
      </c>
      <c r="AA136" s="6" t="n">
        <v>28</v>
      </c>
      <c r="AB136" s="6" t="n">
        <v>29</v>
      </c>
      <c r="AC136" s="6" t="n">
        <v>-11</v>
      </c>
      <c r="AD136" s="6" t="n">
        <v>38</v>
      </c>
      <c r="AE136" s="6" t="s">
        <v>2548</v>
      </c>
      <c r="AF136" s="6" t="s">
        <v>123</v>
      </c>
      <c r="AG136" s="6" t="s">
        <v>123</v>
      </c>
      <c r="AH136" s="6" t="s">
        <v>123</v>
      </c>
      <c r="AI136" s="6" t="s">
        <v>123</v>
      </c>
      <c r="AJ136" s="8"/>
      <c r="AK136" s="8"/>
      <c r="AL136" s="8"/>
      <c r="AM136" s="8"/>
      <c r="AN136" s="8"/>
      <c r="AO136" s="8"/>
      <c r="AP136" s="9" t="s">
        <v>2549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76.5" hidden="false" customHeight="true" outlineLevel="0" collapsed="false">
      <c r="A137" s="6" t="s">
        <v>1</v>
      </c>
      <c r="B137" s="6" t="n">
        <v>7</v>
      </c>
      <c r="C137" s="6" t="n">
        <v>152235860</v>
      </c>
      <c r="D137" s="6" t="s">
        <v>889</v>
      </c>
      <c r="E137" s="6" t="s">
        <v>832</v>
      </c>
      <c r="F137" s="6" t="s">
        <v>890</v>
      </c>
      <c r="G137" s="6" t="s">
        <v>2469</v>
      </c>
      <c r="H137" s="6" t="s">
        <v>2550</v>
      </c>
      <c r="I137" s="6" t="s">
        <v>2551</v>
      </c>
      <c r="J137" s="6" t="s">
        <v>2552</v>
      </c>
      <c r="K137" s="6" t="s">
        <v>120</v>
      </c>
      <c r="L137" s="6" t="s">
        <v>2553</v>
      </c>
      <c r="M137" s="6" t="n">
        <v>4101</v>
      </c>
      <c r="N137" s="7" t="n">
        <v>0.0645</v>
      </c>
      <c r="O137" s="6" t="s">
        <v>2413</v>
      </c>
      <c r="P137" s="10" t="n">
        <f aca="false">HYPERLINK("https://www.ncbi.nlm.nih.gov/clinvar/variation/3764529", 3764529)</f>
        <v>3764529</v>
      </c>
      <c r="Q137" s="6" t="s">
        <v>181</v>
      </c>
      <c r="R137" s="6" t="s">
        <v>929</v>
      </c>
      <c r="S137" s="10" t="str">
        <f aca="false">HYPERLINK("https://www.ncbi.nlm.nih.gov/snp/rs199504848", "rs199504848")</f>
        <v>rs199504848</v>
      </c>
      <c r="T137" s="6" t="s">
        <v>123</v>
      </c>
      <c r="U137" s="6" t="s">
        <v>123</v>
      </c>
      <c r="V137" s="6" t="n">
        <v>0</v>
      </c>
      <c r="W137" s="6" t="n">
        <v>0</v>
      </c>
      <c r="X137" s="6" t="n">
        <v>0.02</v>
      </c>
      <c r="Y137" s="6" t="n">
        <v>0</v>
      </c>
      <c r="Z137" s="6" t="n">
        <v>4</v>
      </c>
      <c r="AA137" s="6" t="n">
        <v>-43</v>
      </c>
      <c r="AB137" s="6" t="n">
        <v>4</v>
      </c>
      <c r="AC137" s="6" t="n">
        <v>0</v>
      </c>
      <c r="AD137" s="6" t="n">
        <v>25.9</v>
      </c>
      <c r="AE137" s="6" t="s">
        <v>2554</v>
      </c>
      <c r="AF137" s="6" t="s">
        <v>123</v>
      </c>
      <c r="AG137" s="6" t="s">
        <v>123</v>
      </c>
      <c r="AH137" s="6" t="s">
        <v>123</v>
      </c>
      <c r="AI137" s="6" t="s">
        <v>123</v>
      </c>
      <c r="AJ137" s="8"/>
      <c r="AK137" s="8"/>
      <c r="AL137" s="8"/>
      <c r="AM137" s="8"/>
      <c r="AN137" s="8"/>
      <c r="AO137" s="8"/>
      <c r="AP137" s="9" t="s">
        <v>2555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76.5" hidden="false" customHeight="true" outlineLevel="0" collapsed="false">
      <c r="A138" s="6" t="s">
        <v>1</v>
      </c>
      <c r="B138" s="6" t="n">
        <v>7</v>
      </c>
      <c r="C138" s="6" t="n">
        <v>152265172</v>
      </c>
      <c r="D138" s="6" t="s">
        <v>889</v>
      </c>
      <c r="E138" s="6" t="s">
        <v>832</v>
      </c>
      <c r="F138" s="6" t="s">
        <v>890</v>
      </c>
      <c r="G138" s="6" t="s">
        <v>2459</v>
      </c>
      <c r="H138" s="6" t="s">
        <v>2556</v>
      </c>
      <c r="I138" s="6" t="s">
        <v>2557</v>
      </c>
      <c r="J138" s="6" t="s">
        <v>2558</v>
      </c>
      <c r="K138" s="6" t="s">
        <v>1813</v>
      </c>
      <c r="L138" s="6" t="s">
        <v>2559</v>
      </c>
      <c r="M138" s="6" t="n">
        <v>5363</v>
      </c>
      <c r="N138" s="7" t="n">
        <v>0.0446</v>
      </c>
      <c r="O138" s="6" t="s">
        <v>1879</v>
      </c>
      <c r="P138" s="10" t="n">
        <f aca="false">HYPERLINK("https://www.ncbi.nlm.nih.gov/clinvar/variation/2579038", 2579038)</f>
        <v>2579038</v>
      </c>
      <c r="Q138" s="6" t="s">
        <v>215</v>
      </c>
      <c r="R138" s="6" t="s">
        <v>181</v>
      </c>
      <c r="S138" s="10" t="str">
        <f aca="false">HYPERLINK("https://www.ncbi.nlm.nih.gov/snp/rs62478357", "rs62478357")</f>
        <v>rs62478357</v>
      </c>
      <c r="T138" s="10" t="n">
        <f aca="false">HYPERLINK("https://gnomad.broadinstitute.org/variant/7-152265172-C-T?dataset=gnomad_r4", 0.000183506)</f>
        <v>0.000183506</v>
      </c>
      <c r="U138" s="6" t="s">
        <v>123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39</v>
      </c>
      <c r="AA138" s="6" t="n">
        <v>37</v>
      </c>
      <c r="AB138" s="6" t="n">
        <v>37</v>
      </c>
      <c r="AC138" s="6" t="n">
        <v>13</v>
      </c>
      <c r="AD138" s="6" t="n">
        <v>12.22</v>
      </c>
      <c r="AE138" s="6" t="s">
        <v>2517</v>
      </c>
      <c r="AF138" s="6" t="s">
        <v>123</v>
      </c>
      <c r="AG138" s="6" t="s">
        <v>123</v>
      </c>
      <c r="AH138" s="6" t="s">
        <v>123</v>
      </c>
      <c r="AI138" s="6" t="s">
        <v>123</v>
      </c>
      <c r="AJ138" s="8"/>
      <c r="AK138" s="8"/>
      <c r="AL138" s="8"/>
      <c r="AM138" s="8"/>
      <c r="AN138" s="8"/>
      <c r="AO138" s="8"/>
      <c r="AP138" s="9" t="s">
        <v>2560</v>
      </c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76.5" hidden="false" customHeight="true" outlineLevel="0" collapsed="false">
      <c r="A139" s="6" t="s">
        <v>1</v>
      </c>
      <c r="B139" s="6" t="n">
        <v>7</v>
      </c>
      <c r="C139" s="6" t="n">
        <v>152265083</v>
      </c>
      <c r="D139" s="6" t="s">
        <v>889</v>
      </c>
      <c r="E139" s="6" t="s">
        <v>832</v>
      </c>
      <c r="F139" s="6" t="s">
        <v>890</v>
      </c>
      <c r="G139" s="6" t="s">
        <v>2459</v>
      </c>
      <c r="H139" s="6" t="s">
        <v>2561</v>
      </c>
      <c r="I139" s="6" t="s">
        <v>2562</v>
      </c>
      <c r="J139" s="6" t="s">
        <v>2563</v>
      </c>
      <c r="K139" s="6" t="s">
        <v>120</v>
      </c>
      <c r="L139" s="6" t="s">
        <v>2564</v>
      </c>
      <c r="M139" s="6" t="n">
        <v>7587</v>
      </c>
      <c r="N139" s="7" t="n">
        <v>0.071</v>
      </c>
      <c r="O139" s="6" t="s">
        <v>1879</v>
      </c>
      <c r="P139" s="10" t="n">
        <f aca="false">HYPERLINK("https://www.ncbi.nlm.nih.gov/clinvar/variation/1206291", 1206291)</f>
        <v>1206291</v>
      </c>
      <c r="Q139" s="6" t="s">
        <v>215</v>
      </c>
      <c r="R139" s="6" t="s">
        <v>2565</v>
      </c>
      <c r="S139" s="10" t="str">
        <f aca="false">HYPERLINK("https://www.ncbi.nlm.nih.gov/snp/rs138908625", "rs138908625")</f>
        <v>rs138908625</v>
      </c>
      <c r="T139" s="10" t="n">
        <f aca="false">HYPERLINK("https://gnomad.broadinstitute.org/variant/7-152265083-C-A?dataset=gnomad_r4", 0.000775225)</f>
        <v>0.000775225</v>
      </c>
      <c r="U139" s="6" t="s">
        <v>123</v>
      </c>
      <c r="V139" s="6" t="n">
        <v>0.03</v>
      </c>
      <c r="W139" s="6" t="n">
        <v>0</v>
      </c>
      <c r="X139" s="6" t="n">
        <v>0.02</v>
      </c>
      <c r="Y139" s="6" t="n">
        <v>0.01</v>
      </c>
      <c r="Z139" s="6" t="n">
        <v>-6</v>
      </c>
      <c r="AA139" s="6" t="n">
        <v>46</v>
      </c>
      <c r="AB139" s="6" t="n">
        <v>-5</v>
      </c>
      <c r="AC139" s="6" t="n">
        <v>-45</v>
      </c>
      <c r="AD139" s="6" t="n">
        <v>25.6</v>
      </c>
      <c r="AE139" s="6" t="s">
        <v>2566</v>
      </c>
      <c r="AF139" s="6" t="s">
        <v>123</v>
      </c>
      <c r="AG139" s="6" t="s">
        <v>123</v>
      </c>
      <c r="AH139" s="6" t="s">
        <v>123</v>
      </c>
      <c r="AI139" s="6" t="s">
        <v>123</v>
      </c>
      <c r="AJ139" s="8"/>
      <c r="AK139" s="8"/>
      <c r="AL139" s="8"/>
      <c r="AM139" s="8"/>
      <c r="AN139" s="8"/>
      <c r="AO139" s="8"/>
      <c r="AP139" s="9" t="s">
        <v>2567</v>
      </c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76.5" hidden="false" customHeight="true" outlineLevel="0" collapsed="false">
      <c r="A140" s="6" t="s">
        <v>1</v>
      </c>
      <c r="B140" s="6" t="n">
        <v>12</v>
      </c>
      <c r="C140" s="6" t="n">
        <v>25209920</v>
      </c>
      <c r="D140" s="6" t="s">
        <v>978</v>
      </c>
      <c r="E140" s="6" t="s">
        <v>979</v>
      </c>
      <c r="F140" s="6" t="s">
        <v>980</v>
      </c>
      <c r="G140" s="6" t="s">
        <v>123</v>
      </c>
      <c r="H140" s="6" t="s">
        <v>2568</v>
      </c>
      <c r="I140" s="6"/>
      <c r="J140" s="6" t="s">
        <v>123</v>
      </c>
      <c r="K140" s="6" t="s">
        <v>141</v>
      </c>
      <c r="L140" s="6" t="s">
        <v>2569</v>
      </c>
      <c r="M140" s="6" t="n">
        <v>2152</v>
      </c>
      <c r="N140" s="7" t="n">
        <v>0.0709</v>
      </c>
      <c r="O140" s="6"/>
      <c r="P140" s="10" t="n">
        <f aca="false">HYPERLINK("https://www.ncbi.nlm.nih.gov/clinvar/variation/40464", 40464)</f>
        <v>40464</v>
      </c>
      <c r="Q140" s="6" t="s">
        <v>418</v>
      </c>
      <c r="R140" s="6" t="s">
        <v>2570</v>
      </c>
      <c r="S140" s="10" t="str">
        <f aca="false">HYPERLINK("https://www.ncbi.nlm.nih.gov/snp/rs12313763", "rs12313763")</f>
        <v>rs12313763</v>
      </c>
      <c r="T140" s="10" t="n">
        <f aca="false">HYPERLINK("https://gnomad.broadinstitute.org/variant/12-25209920-C-T?dataset=gnomad_r4", 0.0785839)</f>
        <v>0.0785839</v>
      </c>
      <c r="U140" s="10" t="n">
        <f aca="false">HYPERLINK("https://gnomad.broadinstitute.org/variant/12-25209920-C-T?dataset=gnomad_r4", 0.0111888)</f>
        <v>0.0111888</v>
      </c>
      <c r="V140" s="6" t="n">
        <v>0</v>
      </c>
      <c r="W140" s="6" t="n">
        <v>0</v>
      </c>
      <c r="X140" s="6" t="n">
        <v>0</v>
      </c>
      <c r="Y140" s="6" t="n">
        <v>0</v>
      </c>
      <c r="Z140" s="6" t="n">
        <v>-37</v>
      </c>
      <c r="AA140" s="6" t="n">
        <v>-9</v>
      </c>
      <c r="AB140" s="6" t="n">
        <v>-9</v>
      </c>
      <c r="AC140" s="6" t="n">
        <v>1</v>
      </c>
      <c r="AD140" s="6" t="n">
        <v>9.459</v>
      </c>
      <c r="AE140" s="6" t="s">
        <v>124</v>
      </c>
      <c r="AF140" s="6" t="s">
        <v>123</v>
      </c>
      <c r="AG140" s="6" t="s">
        <v>123</v>
      </c>
      <c r="AH140" s="6" t="s">
        <v>123</v>
      </c>
      <c r="AI140" s="6" t="s">
        <v>123</v>
      </c>
      <c r="AJ140" s="8"/>
      <c r="AK140" s="8"/>
      <c r="AL140" s="8"/>
      <c r="AM140" s="8"/>
      <c r="AN140" s="8"/>
      <c r="AO140" s="8"/>
      <c r="AP140" s="9" t="s">
        <v>2571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76.5" hidden="false" customHeight="true" outlineLevel="0" collapsed="false">
      <c r="A141" s="6" t="s">
        <v>1</v>
      </c>
      <c r="B141" s="6" t="n">
        <v>7</v>
      </c>
      <c r="C141" s="6" t="n">
        <v>139409618</v>
      </c>
      <c r="D141" s="6" t="s">
        <v>1007</v>
      </c>
      <c r="E141" s="6" t="s">
        <v>6</v>
      </c>
      <c r="F141" s="6" t="s">
        <v>1008</v>
      </c>
      <c r="G141" s="6" t="s">
        <v>817</v>
      </c>
      <c r="H141" s="6" t="s">
        <v>2572</v>
      </c>
      <c r="I141" s="6" t="s">
        <v>2573</v>
      </c>
      <c r="J141" s="6" t="s">
        <v>2574</v>
      </c>
      <c r="K141" s="6" t="s">
        <v>153</v>
      </c>
      <c r="L141" s="6" t="s">
        <v>2575</v>
      </c>
      <c r="M141" s="6" t="n">
        <v>4215</v>
      </c>
      <c r="N141" s="7" t="n">
        <v>0.0823</v>
      </c>
      <c r="O141" s="6" t="s">
        <v>1958</v>
      </c>
      <c r="P141" s="6" t="s">
        <v>123</v>
      </c>
      <c r="Q141" s="6" t="s">
        <v>123</v>
      </c>
      <c r="R141" s="6" t="s">
        <v>123</v>
      </c>
      <c r="S141" s="10" t="str">
        <f aca="false">HYPERLINK("https://www.ncbi.nlm.nih.gov/snp/rs368249579", "rs368249579")</f>
        <v>rs368249579</v>
      </c>
      <c r="T141" s="10" t="n">
        <f aca="false">HYPERLINK("https://gnomad.broadinstitute.org/variant/7-139409618-AAG-A?dataset=gnomad_r4", 0.0000662304)</f>
        <v>6.62304E-005</v>
      </c>
      <c r="U141" s="10" t="n">
        <f aca="false">HYPERLINK("https://gnomad.broadinstitute.org/variant/7-139409618-AAG-A?dataset=gnomad_r4", 0.0109762)</f>
        <v>0.0109762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-34</v>
      </c>
      <c r="AA141" s="6" t="n">
        <v>-45</v>
      </c>
      <c r="AB141" s="6" t="n">
        <v>38</v>
      </c>
      <c r="AC141" s="6" t="n">
        <v>36</v>
      </c>
      <c r="AD141" s="6" t="n">
        <v>33</v>
      </c>
      <c r="AE141" s="6" t="s">
        <v>124</v>
      </c>
      <c r="AF141" s="6" t="s">
        <v>123</v>
      </c>
      <c r="AG141" s="6" t="s">
        <v>123</v>
      </c>
      <c r="AH141" s="6" t="s">
        <v>123</v>
      </c>
      <c r="AI141" s="6" t="s">
        <v>123</v>
      </c>
      <c r="AJ141" s="8"/>
      <c r="AK141" s="8"/>
      <c r="AL141" s="8"/>
      <c r="AM141" s="8"/>
      <c r="AN141" s="8"/>
      <c r="AO141" s="8"/>
      <c r="AP141" s="9" t="s">
        <v>2576</v>
      </c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76.5" hidden="false" customHeight="true" outlineLevel="0" collapsed="false">
      <c r="A142" s="6" t="s">
        <v>1</v>
      </c>
      <c r="B142" s="6" t="n">
        <v>7</v>
      </c>
      <c r="C142" s="6" t="n">
        <v>139412537</v>
      </c>
      <c r="D142" s="6" t="s">
        <v>1007</v>
      </c>
      <c r="E142" s="6" t="s">
        <v>6</v>
      </c>
      <c r="F142" s="6" t="s">
        <v>1008</v>
      </c>
      <c r="G142" s="6" t="s">
        <v>123</v>
      </c>
      <c r="H142" s="6" t="s">
        <v>2577</v>
      </c>
      <c r="I142" s="6"/>
      <c r="J142" s="6" t="s">
        <v>123</v>
      </c>
      <c r="K142" s="6" t="s">
        <v>141</v>
      </c>
      <c r="L142" s="6" t="s">
        <v>2578</v>
      </c>
      <c r="M142" s="6" t="n">
        <v>3152</v>
      </c>
      <c r="N142" s="7" t="n">
        <v>0.822</v>
      </c>
      <c r="O142" s="6" t="s">
        <v>1879</v>
      </c>
      <c r="P142" s="6" t="s">
        <v>123</v>
      </c>
      <c r="Q142" s="6" t="s">
        <v>123</v>
      </c>
      <c r="R142" s="6" t="s">
        <v>123</v>
      </c>
      <c r="S142" s="10" t="str">
        <f aca="false">HYPERLINK("https://www.ncbi.nlm.nih.gov/snp/rs200596529", "rs200596529")</f>
        <v>rs200596529</v>
      </c>
      <c r="T142" s="10" t="n">
        <f aca="false">HYPERLINK("https://gnomad.broadinstitute.org/variant/7-139412537-T-C?dataset=gnomad_r4", 0.00227434)</f>
        <v>0.00227434</v>
      </c>
      <c r="U142" s="10" t="n">
        <f aca="false">HYPERLINK("https://gnomad.broadinstitute.org/variant/7-139412537-T-C?dataset=gnomad_r4", 0.0795855)</f>
        <v>0.0795855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29</v>
      </c>
      <c r="AA142" s="6" t="n">
        <v>14</v>
      </c>
      <c r="AB142" s="6" t="n">
        <v>13</v>
      </c>
      <c r="AC142" s="6" t="n">
        <v>43</v>
      </c>
      <c r="AD142" s="6" t="n">
        <v>0.237</v>
      </c>
      <c r="AE142" s="6" t="s">
        <v>124</v>
      </c>
      <c r="AF142" s="6" t="s">
        <v>123</v>
      </c>
      <c r="AG142" s="6" t="s">
        <v>123</v>
      </c>
      <c r="AH142" s="6" t="s">
        <v>123</v>
      </c>
      <c r="AI142" s="6" t="s">
        <v>123</v>
      </c>
      <c r="AJ142" s="8"/>
      <c r="AK142" s="8"/>
      <c r="AL142" s="8"/>
      <c r="AM142" s="8"/>
      <c r="AN142" s="8"/>
      <c r="AO142" s="8"/>
      <c r="AP142" s="9" t="s">
        <v>2579</v>
      </c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76.5" hidden="false" customHeight="true" outlineLevel="0" collapsed="false">
      <c r="A143" s="6" t="s">
        <v>1</v>
      </c>
      <c r="B143" s="6" t="n">
        <v>15</v>
      </c>
      <c r="C143" s="6" t="n">
        <v>66489710</v>
      </c>
      <c r="D143" s="6" t="s">
        <v>1024</v>
      </c>
      <c r="E143" s="6" t="s">
        <v>1025</v>
      </c>
      <c r="F143" s="6" t="s">
        <v>1026</v>
      </c>
      <c r="G143" s="6" t="s">
        <v>123</v>
      </c>
      <c r="H143" s="6" t="s">
        <v>2580</v>
      </c>
      <c r="I143" s="6"/>
      <c r="J143" s="6" t="s">
        <v>123</v>
      </c>
      <c r="K143" s="6" t="s">
        <v>127</v>
      </c>
      <c r="L143" s="6" t="s">
        <v>2581</v>
      </c>
      <c r="M143" s="6" t="n">
        <v>3559</v>
      </c>
      <c r="N143" s="7" t="n">
        <v>0.072</v>
      </c>
      <c r="O143" s="6"/>
      <c r="P143" s="10" t="n">
        <f aca="false">HYPERLINK("https://www.ncbi.nlm.nih.gov/clinvar/variation/40760", 40760)</f>
        <v>40760</v>
      </c>
      <c r="Q143" s="6" t="s">
        <v>418</v>
      </c>
      <c r="R143" s="6" t="s">
        <v>2582</v>
      </c>
      <c r="S143" s="10" t="str">
        <f aca="false">HYPERLINK("https://www.ncbi.nlm.nih.gov/snp/rs41306345", "rs41306345")</f>
        <v>rs41306345</v>
      </c>
      <c r="T143" s="10" t="n">
        <f aca="false">HYPERLINK("https://gnomad.broadinstitute.org/variant/15-66489710-C-T?dataset=gnomad_r4", 0.0925434)</f>
        <v>0.0925434</v>
      </c>
      <c r="U143" s="10" t="n">
        <f aca="false">HYPERLINK("https://gnomad.broadinstitute.org/variant/15-66489710-C-T?dataset=gnomad_r4", 0.0841995)</f>
        <v>0.0841995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8</v>
      </c>
      <c r="AA143" s="6" t="n">
        <v>-42</v>
      </c>
      <c r="AB143" s="6" t="n">
        <v>50</v>
      </c>
      <c r="AC143" s="6" t="n">
        <v>8</v>
      </c>
      <c r="AD143" s="6" t="n">
        <v>14.63</v>
      </c>
      <c r="AE143" s="6" t="s">
        <v>124</v>
      </c>
      <c r="AF143" s="6" t="s">
        <v>123</v>
      </c>
      <c r="AG143" s="6" t="s">
        <v>123</v>
      </c>
      <c r="AH143" s="6" t="s">
        <v>123</v>
      </c>
      <c r="AI143" s="6" t="s">
        <v>123</v>
      </c>
      <c r="AJ143" s="8"/>
      <c r="AK143" s="8"/>
      <c r="AL143" s="8"/>
      <c r="AM143" s="8"/>
      <c r="AN143" s="8"/>
      <c r="AO143" s="8"/>
      <c r="AP143" s="9" t="s">
        <v>2583</v>
      </c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76.5" hidden="false" customHeight="true" outlineLevel="0" collapsed="false">
      <c r="A144" s="6" t="s">
        <v>1</v>
      </c>
      <c r="B144" s="6" t="n">
        <v>19</v>
      </c>
      <c r="C144" s="6" t="n">
        <v>19145811</v>
      </c>
      <c r="D144" s="6" t="s">
        <v>1070</v>
      </c>
      <c r="E144" s="6" t="s">
        <v>614</v>
      </c>
      <c r="F144" s="6" t="s">
        <v>1071</v>
      </c>
      <c r="G144" s="6" t="s">
        <v>1072</v>
      </c>
      <c r="H144" s="6" t="s">
        <v>2584</v>
      </c>
      <c r="I144" s="6" t="s">
        <v>2585</v>
      </c>
      <c r="J144" s="6" t="s">
        <v>2586</v>
      </c>
      <c r="K144" s="6" t="s">
        <v>120</v>
      </c>
      <c r="L144" s="6" t="s">
        <v>2587</v>
      </c>
      <c r="M144" s="6" t="n">
        <v>4627</v>
      </c>
      <c r="N144" s="7" t="n">
        <v>0.0779</v>
      </c>
      <c r="O144" s="6"/>
      <c r="P144" s="6" t="s">
        <v>123</v>
      </c>
      <c r="Q144" s="6" t="s">
        <v>123</v>
      </c>
      <c r="R144" s="6" t="s">
        <v>123</v>
      </c>
      <c r="S144" s="10" t="str">
        <f aca="false">HYPERLINK("https://www.ncbi.nlm.nih.gov/snp/rs2228198", "rs2228198")</f>
        <v>rs2228198</v>
      </c>
      <c r="T144" s="10" t="n">
        <f aca="false">HYPERLINK("https://gnomad.broadinstitute.org/variant/19-19145811-C-T?dataset=gnomad_r4", 0.025573)</f>
        <v>0.025573</v>
      </c>
      <c r="U144" s="10" t="n">
        <f aca="false">HYPERLINK("https://gnomad.broadinstitute.org/variant/19-19145811-C-T?dataset=gnomad_r4", 0.00266511)</f>
        <v>0.00266511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-2</v>
      </c>
      <c r="AA144" s="6" t="n">
        <v>47</v>
      </c>
      <c r="AB144" s="6" t="n">
        <v>-10</v>
      </c>
      <c r="AC144" s="6" t="n">
        <v>47</v>
      </c>
      <c r="AD144" s="6" t="n">
        <v>7.145</v>
      </c>
      <c r="AE144" s="6" t="s">
        <v>611</v>
      </c>
      <c r="AF144" s="6" t="s">
        <v>123</v>
      </c>
      <c r="AG144" s="6" t="s">
        <v>123</v>
      </c>
      <c r="AH144" s="6" t="s">
        <v>123</v>
      </c>
      <c r="AI144" s="6" t="s">
        <v>123</v>
      </c>
      <c r="AJ144" s="8"/>
      <c r="AK144" s="8"/>
      <c r="AL144" s="8"/>
      <c r="AM144" s="8"/>
      <c r="AN144" s="8"/>
      <c r="AO144" s="8"/>
      <c r="AP144" s="9" t="s">
        <v>2588</v>
      </c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76.5" hidden="false" customHeight="true" outlineLevel="0" collapsed="false">
      <c r="A145" s="6" t="s">
        <v>1</v>
      </c>
      <c r="B145" s="6" t="n">
        <v>19</v>
      </c>
      <c r="C145" s="6" t="n">
        <v>19147847</v>
      </c>
      <c r="D145" s="6" t="s">
        <v>1070</v>
      </c>
      <c r="E145" s="6" t="s">
        <v>614</v>
      </c>
      <c r="F145" s="6" t="s">
        <v>1071</v>
      </c>
      <c r="G145" s="6" t="s">
        <v>123</v>
      </c>
      <c r="H145" s="6" t="s">
        <v>2589</v>
      </c>
      <c r="I145" s="6"/>
      <c r="J145" s="6" t="s">
        <v>123</v>
      </c>
      <c r="K145" s="6" t="s">
        <v>141</v>
      </c>
      <c r="L145" s="6" t="s">
        <v>2590</v>
      </c>
      <c r="M145" s="6" t="n">
        <v>3096</v>
      </c>
      <c r="N145" s="7" t="n">
        <v>0.298</v>
      </c>
      <c r="O145" s="6"/>
      <c r="P145" s="6" t="s">
        <v>123</v>
      </c>
      <c r="Q145" s="6" t="s">
        <v>123</v>
      </c>
      <c r="R145" s="6" t="s">
        <v>123</v>
      </c>
      <c r="S145" s="10" t="str">
        <f aca="false">HYPERLINK("https://www.ncbi.nlm.nih.gov/snp/rs3729767", "rs3729767")</f>
        <v>rs3729767</v>
      </c>
      <c r="T145" s="10" t="n">
        <f aca="false">HYPERLINK("https://gnomad.broadinstitute.org/variant/19-19147847-G-A?dataset=gnomad_r4", 0.0539691)</f>
        <v>0.0539691</v>
      </c>
      <c r="U145" s="10" t="n">
        <f aca="false">HYPERLINK("https://gnomad.broadinstitute.org/variant/19-19147847-G-A?dataset=gnomad_r4", 0.0695647)</f>
        <v>0.0695647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-15</v>
      </c>
      <c r="AA145" s="6" t="n">
        <v>-24</v>
      </c>
      <c r="AB145" s="6" t="n">
        <v>21</v>
      </c>
      <c r="AC145" s="6" t="n">
        <v>-15</v>
      </c>
      <c r="AD145" s="6" t="n">
        <v>2.639</v>
      </c>
      <c r="AE145" s="6" t="s">
        <v>124</v>
      </c>
      <c r="AF145" s="6" t="s">
        <v>123</v>
      </c>
      <c r="AG145" s="6" t="s">
        <v>123</v>
      </c>
      <c r="AH145" s="6" t="s">
        <v>123</v>
      </c>
      <c r="AI145" s="6" t="s">
        <v>123</v>
      </c>
      <c r="AJ145" s="8"/>
      <c r="AK145" s="8"/>
      <c r="AL145" s="8"/>
      <c r="AM145" s="8"/>
      <c r="AN145" s="8"/>
      <c r="AO145" s="8"/>
      <c r="AP145" s="9" t="s">
        <v>2591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76.5" hidden="false" customHeight="true" outlineLevel="0" collapsed="false">
      <c r="A146" s="6" t="s">
        <v>1</v>
      </c>
      <c r="B146" s="6" t="n">
        <v>17</v>
      </c>
      <c r="C146" s="6" t="n">
        <v>31155970</v>
      </c>
      <c r="D146" s="6" t="s">
        <v>1078</v>
      </c>
      <c r="E146" s="6" t="s">
        <v>531</v>
      </c>
      <c r="F146" s="6" t="s">
        <v>1079</v>
      </c>
      <c r="G146" s="6" t="s">
        <v>123</v>
      </c>
      <c r="H146" s="6" t="s">
        <v>2592</v>
      </c>
      <c r="I146" s="6"/>
      <c r="J146" s="6" t="s">
        <v>123</v>
      </c>
      <c r="K146" s="6" t="s">
        <v>127</v>
      </c>
      <c r="L146" s="6" t="s">
        <v>2593</v>
      </c>
      <c r="M146" s="6" t="n">
        <v>2520</v>
      </c>
      <c r="N146" s="7" t="n">
        <v>0.0384</v>
      </c>
      <c r="O146" s="6" t="s">
        <v>1958</v>
      </c>
      <c r="P146" s="10" t="n">
        <f aca="false">HYPERLINK("https://www.ncbi.nlm.nih.gov/clinvar/variation/1197213", 1197213)</f>
        <v>1197213</v>
      </c>
      <c r="Q146" s="6" t="s">
        <v>283</v>
      </c>
      <c r="R146" s="6" t="s">
        <v>2594</v>
      </c>
      <c r="S146" s="10" t="str">
        <f aca="false">HYPERLINK("https://www.ncbi.nlm.nih.gov/snp/rs551568608", "rs551568608")</f>
        <v>rs551568608</v>
      </c>
      <c r="T146" s="10" t="n">
        <f aca="false">HYPERLINK("https://gnomad.broadinstitute.org/variant/17-31155970-C-CT?dataset=gnomad_r4", 0.00289737)</f>
        <v>0.00289737</v>
      </c>
      <c r="U146" s="10" t="n">
        <f aca="false">HYPERLINK("https://gnomad.broadinstitute.org/variant/17-31155970-C-CT?dataset=gnomad_r4", 0.000392725)</f>
        <v>0.000392725</v>
      </c>
      <c r="V146" s="6" t="n">
        <v>0</v>
      </c>
      <c r="W146" s="6" t="n">
        <v>0</v>
      </c>
      <c r="X146" s="6" t="n">
        <v>0</v>
      </c>
      <c r="Y146" s="6" t="n">
        <v>0</v>
      </c>
      <c r="Z146" s="6" t="n">
        <v>-27</v>
      </c>
      <c r="AA146" s="6" t="n">
        <v>13</v>
      </c>
      <c r="AB146" s="6" t="n">
        <v>21</v>
      </c>
      <c r="AC146" s="6" t="n">
        <v>25</v>
      </c>
      <c r="AD146" s="6" t="n">
        <v>0.164</v>
      </c>
      <c r="AE146" s="6" t="s">
        <v>124</v>
      </c>
      <c r="AF146" s="6" t="s">
        <v>123</v>
      </c>
      <c r="AG146" s="6" t="s">
        <v>123</v>
      </c>
      <c r="AH146" s="6" t="s">
        <v>123</v>
      </c>
      <c r="AI146" s="6" t="s">
        <v>123</v>
      </c>
      <c r="AJ146" s="8"/>
      <c r="AK146" s="8"/>
      <c r="AL146" s="8"/>
      <c r="AM146" s="8"/>
      <c r="AN146" s="8"/>
      <c r="AO146" s="8"/>
      <c r="AP146" s="9" t="s">
        <v>2595</v>
      </c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76.5" hidden="false" customHeight="true" outlineLevel="0" collapsed="false">
      <c r="A147" s="6" t="s">
        <v>1</v>
      </c>
      <c r="B147" s="6" t="n">
        <v>17</v>
      </c>
      <c r="C147" s="6" t="n">
        <v>31232043</v>
      </c>
      <c r="D147" s="6" t="s">
        <v>1078</v>
      </c>
      <c r="E147" s="6" t="s">
        <v>531</v>
      </c>
      <c r="F147" s="6" t="s">
        <v>1079</v>
      </c>
      <c r="G147" s="6" t="s">
        <v>123</v>
      </c>
      <c r="H147" s="6" t="s">
        <v>2596</v>
      </c>
      <c r="I147" s="6"/>
      <c r="J147" s="6" t="s">
        <v>123</v>
      </c>
      <c r="K147" s="6" t="s">
        <v>127</v>
      </c>
      <c r="L147" s="6" t="s">
        <v>2597</v>
      </c>
      <c r="M147" s="6" t="n">
        <v>1772</v>
      </c>
      <c r="N147" s="7" t="n">
        <v>0.249</v>
      </c>
      <c r="O147" s="6" t="s">
        <v>1820</v>
      </c>
      <c r="P147" s="10" t="n">
        <f aca="false">HYPERLINK("https://www.ncbi.nlm.nih.gov/clinvar/variation/996465", 996465)</f>
        <v>996465</v>
      </c>
      <c r="Q147" s="6" t="s">
        <v>283</v>
      </c>
      <c r="R147" s="6" t="s">
        <v>2598</v>
      </c>
      <c r="S147" s="10" t="str">
        <f aca="false">HYPERLINK("https://www.ncbi.nlm.nih.gov/snp/rs371047262", "rs371047262")</f>
        <v>rs371047262</v>
      </c>
      <c r="T147" s="10" t="n">
        <f aca="false">HYPERLINK("https://gnomad.broadinstitute.org/variant/17-31232043-ATTTTTTTT-A?dataset=gnomad_r4", 0.00448796)</f>
        <v>0.00448796</v>
      </c>
      <c r="U147" s="10" t="n">
        <f aca="false">HYPERLINK("https://gnomad.broadinstitute.org/variant/17-31232043-ATTTTTTTT-A?dataset=gnomad_r4", 0.000434877)</f>
        <v>0.000434877</v>
      </c>
      <c r="V147" s="6" t="s">
        <v>123</v>
      </c>
      <c r="W147" s="6" t="s">
        <v>123</v>
      </c>
      <c r="X147" s="6" t="s">
        <v>123</v>
      </c>
      <c r="Y147" s="6" t="s">
        <v>123</v>
      </c>
      <c r="Z147" s="6" t="s">
        <v>123</v>
      </c>
      <c r="AA147" s="6" t="s">
        <v>123</v>
      </c>
      <c r="AB147" s="6" t="s">
        <v>123</v>
      </c>
      <c r="AC147" s="6" t="s">
        <v>123</v>
      </c>
      <c r="AD147" s="6" t="n">
        <v>2.803</v>
      </c>
      <c r="AE147" s="6" t="s">
        <v>124</v>
      </c>
      <c r="AF147" s="6" t="s">
        <v>123</v>
      </c>
      <c r="AG147" s="6" t="s">
        <v>123</v>
      </c>
      <c r="AH147" s="6" t="s">
        <v>123</v>
      </c>
      <c r="AI147" s="6" t="s">
        <v>123</v>
      </c>
      <c r="AJ147" s="8"/>
      <c r="AK147" s="8"/>
      <c r="AL147" s="8"/>
      <c r="AM147" s="8"/>
      <c r="AN147" s="8"/>
      <c r="AO147" s="8"/>
      <c r="AP147" s="9" t="s">
        <v>2599</v>
      </c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76.5" hidden="false" customHeight="true" outlineLevel="0" collapsed="false">
      <c r="A148" s="6" t="s">
        <v>1</v>
      </c>
      <c r="B148" s="6" t="n">
        <v>17</v>
      </c>
      <c r="C148" s="6" t="n">
        <v>31229159</v>
      </c>
      <c r="D148" s="6" t="s">
        <v>1078</v>
      </c>
      <c r="E148" s="6" t="s">
        <v>531</v>
      </c>
      <c r="F148" s="6" t="s">
        <v>1079</v>
      </c>
      <c r="G148" s="6" t="s">
        <v>2600</v>
      </c>
      <c r="H148" s="6" t="s">
        <v>2601</v>
      </c>
      <c r="I148" s="6" t="s">
        <v>2602</v>
      </c>
      <c r="J148" s="6" t="s">
        <v>2603</v>
      </c>
      <c r="K148" s="6" t="s">
        <v>1813</v>
      </c>
      <c r="L148" s="6" t="s">
        <v>2604</v>
      </c>
      <c r="M148" s="6" t="n">
        <v>3670</v>
      </c>
      <c r="N148" s="7" t="n">
        <v>0.0694</v>
      </c>
      <c r="O148" s="6"/>
      <c r="P148" s="10" t="n">
        <f aca="false">HYPERLINK("https://www.ncbi.nlm.nih.gov/clinvar/variation/183949", 183949)</f>
        <v>183949</v>
      </c>
      <c r="Q148" s="6" t="s">
        <v>418</v>
      </c>
      <c r="R148" s="6" t="s">
        <v>2605</v>
      </c>
      <c r="S148" s="10" t="str">
        <f aca="false">HYPERLINK("https://www.ncbi.nlm.nih.gov/snp/rs17883704", "rs17883704")</f>
        <v>rs17883704</v>
      </c>
      <c r="T148" s="10" t="n">
        <f aca="false">HYPERLINK("https://gnomad.broadinstitute.org/variant/17-31229159-G-A?dataset=gnomad_r4", 0.0236685)</f>
        <v>0.0236685</v>
      </c>
      <c r="U148" s="10" t="n">
        <f aca="false">HYPERLINK("https://gnomad.broadinstitute.org/variant/17-31229159-G-A?dataset=gnomad_r4", 0.00251305)</f>
        <v>0.00251305</v>
      </c>
      <c r="V148" s="6" t="n">
        <v>0.03</v>
      </c>
      <c r="W148" s="6" t="n">
        <v>0</v>
      </c>
      <c r="X148" s="6" t="n">
        <v>0</v>
      </c>
      <c r="Y148" s="6" t="n">
        <v>0</v>
      </c>
      <c r="Z148" s="6" t="n">
        <v>-38</v>
      </c>
      <c r="AA148" s="6" t="n">
        <v>16</v>
      </c>
      <c r="AB148" s="6" t="n">
        <v>3</v>
      </c>
      <c r="AC148" s="6" t="n">
        <v>-11</v>
      </c>
      <c r="AD148" s="6" t="n">
        <v>7.155</v>
      </c>
      <c r="AE148" s="6" t="s">
        <v>1407</v>
      </c>
      <c r="AF148" s="6" t="s">
        <v>123</v>
      </c>
      <c r="AG148" s="6" t="s">
        <v>123</v>
      </c>
      <c r="AH148" s="6" t="s">
        <v>123</v>
      </c>
      <c r="AI148" s="6" t="s">
        <v>123</v>
      </c>
      <c r="AJ148" s="8"/>
      <c r="AK148" s="8"/>
      <c r="AL148" s="8"/>
      <c r="AM148" s="8"/>
      <c r="AN148" s="8"/>
      <c r="AO148" s="8"/>
      <c r="AP148" s="9" t="s">
        <v>2606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76.5" hidden="false" customHeight="true" outlineLevel="0" collapsed="false">
      <c r="A149" s="6" t="s">
        <v>1</v>
      </c>
      <c r="B149" s="6" t="n">
        <v>17</v>
      </c>
      <c r="C149" s="6" t="n">
        <v>31232043</v>
      </c>
      <c r="D149" s="6" t="s">
        <v>1078</v>
      </c>
      <c r="E149" s="6" t="s">
        <v>531</v>
      </c>
      <c r="F149" s="6" t="s">
        <v>1079</v>
      </c>
      <c r="G149" s="6" t="s">
        <v>123</v>
      </c>
      <c r="H149" s="6" t="s">
        <v>2607</v>
      </c>
      <c r="I149" s="6"/>
      <c r="J149" s="6" t="s">
        <v>123</v>
      </c>
      <c r="K149" s="6" t="s">
        <v>127</v>
      </c>
      <c r="L149" s="6" t="s">
        <v>2608</v>
      </c>
      <c r="M149" s="6" t="n">
        <v>1772</v>
      </c>
      <c r="N149" s="7" t="n">
        <v>0.0363</v>
      </c>
      <c r="O149" s="6" t="s">
        <v>1820</v>
      </c>
      <c r="P149" s="10" t="n">
        <f aca="false">HYPERLINK("https://www.ncbi.nlm.nih.gov/clinvar/variation/996415", 996415)</f>
        <v>996415</v>
      </c>
      <c r="Q149" s="6" t="s">
        <v>409</v>
      </c>
      <c r="R149" s="6" t="s">
        <v>2598</v>
      </c>
      <c r="S149" s="10" t="str">
        <f aca="false">HYPERLINK("https://www.ncbi.nlm.nih.gov/snp/rs371047262", "rs371047262")</f>
        <v>rs371047262</v>
      </c>
      <c r="T149" s="10" t="n">
        <f aca="false">HYPERLINK("https://gnomad.broadinstitute.org/variant/17-31232043-ATTTTT-A?dataset=gnomad_r4", 0.00301443)</f>
        <v>0.00301443</v>
      </c>
      <c r="U149" s="10" t="n">
        <f aca="false">HYPERLINK("https://gnomad.broadinstitute.org/variant/17-31232043-ATTTTT-A?dataset=gnomad_r4", 0.000413047)</f>
        <v>0.000413047</v>
      </c>
      <c r="V149" s="6" t="s">
        <v>123</v>
      </c>
      <c r="W149" s="6" t="s">
        <v>123</v>
      </c>
      <c r="X149" s="6" t="s">
        <v>123</v>
      </c>
      <c r="Y149" s="6" t="s">
        <v>123</v>
      </c>
      <c r="Z149" s="6" t="s">
        <v>123</v>
      </c>
      <c r="AA149" s="6" t="s">
        <v>123</v>
      </c>
      <c r="AB149" s="6" t="s">
        <v>123</v>
      </c>
      <c r="AC149" s="6" t="s">
        <v>123</v>
      </c>
      <c r="AD149" s="6" t="n">
        <v>2.442</v>
      </c>
      <c r="AE149" s="6" t="s">
        <v>124</v>
      </c>
      <c r="AF149" s="6" t="s">
        <v>123</v>
      </c>
      <c r="AG149" s="6" t="s">
        <v>123</v>
      </c>
      <c r="AH149" s="6" t="s">
        <v>123</v>
      </c>
      <c r="AI149" s="6" t="s">
        <v>123</v>
      </c>
      <c r="AJ149" s="8"/>
      <c r="AK149" s="8"/>
      <c r="AL149" s="8"/>
      <c r="AM149" s="8"/>
      <c r="AN149" s="8"/>
      <c r="AO149" s="8"/>
      <c r="AP149" s="9" t="s">
        <v>2609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76.5" hidden="false" customHeight="true" outlineLevel="0" collapsed="false">
      <c r="A150" s="6" t="s">
        <v>1</v>
      </c>
      <c r="B150" s="6" t="n">
        <v>17</v>
      </c>
      <c r="C150" s="6" t="n">
        <v>31181801</v>
      </c>
      <c r="D150" s="6" t="s">
        <v>1078</v>
      </c>
      <c r="E150" s="6" t="s">
        <v>531</v>
      </c>
      <c r="F150" s="6" t="s">
        <v>1079</v>
      </c>
      <c r="G150" s="6" t="s">
        <v>123</v>
      </c>
      <c r="H150" s="6" t="s">
        <v>2610</v>
      </c>
      <c r="I150" s="6"/>
      <c r="J150" s="6" t="s">
        <v>123</v>
      </c>
      <c r="K150" s="6" t="s">
        <v>141</v>
      </c>
      <c r="L150" s="6" t="s">
        <v>2611</v>
      </c>
      <c r="M150" s="6" t="n">
        <v>2962</v>
      </c>
      <c r="N150" s="7" t="n">
        <v>0.0452</v>
      </c>
      <c r="O150" s="6" t="s">
        <v>1859</v>
      </c>
      <c r="P150" s="10" t="n">
        <f aca="false">HYPERLINK("https://www.ncbi.nlm.nih.gov/clinvar/variation/1215810", 1215810)</f>
        <v>1215810</v>
      </c>
      <c r="Q150" s="6" t="s">
        <v>215</v>
      </c>
      <c r="R150" s="6" t="s">
        <v>181</v>
      </c>
      <c r="S150" s="10" t="str">
        <f aca="false">HYPERLINK("https://www.ncbi.nlm.nih.gov/snp/rs71142032", "rs71142032")</f>
        <v>rs71142032</v>
      </c>
      <c r="T150" s="10" t="n">
        <f aca="false">HYPERLINK("https://gnomad.broadinstitute.org/variant/17-31181801-ATT-A?dataset=gnomad_r4", 0.00515721)</f>
        <v>0.00515721</v>
      </c>
      <c r="U150" s="10" t="n">
        <f aca="false">HYPERLINK("https://gnomad.broadinstitute.org/variant/17-31181801-ATT-A?dataset=gnomad_r4", 0.00419688)</f>
        <v>0.00419688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-28</v>
      </c>
      <c r="AA150" s="6" t="n">
        <v>-37</v>
      </c>
      <c r="AB150" s="6" t="n">
        <v>-16</v>
      </c>
      <c r="AC150" s="6" t="n">
        <v>-10</v>
      </c>
      <c r="AD150" s="6" t="n">
        <v>1.95</v>
      </c>
      <c r="AE150" s="6" t="s">
        <v>124</v>
      </c>
      <c r="AF150" s="6" t="s">
        <v>123</v>
      </c>
      <c r="AG150" s="6" t="s">
        <v>123</v>
      </c>
      <c r="AH150" s="6" t="s">
        <v>123</v>
      </c>
      <c r="AI150" s="6" t="s">
        <v>123</v>
      </c>
      <c r="AJ150" s="8"/>
      <c r="AK150" s="8"/>
      <c r="AL150" s="8"/>
      <c r="AM150" s="8"/>
      <c r="AN150" s="8"/>
      <c r="AO150" s="8"/>
      <c r="AP150" s="9" t="s">
        <v>2612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76.5" hidden="false" customHeight="true" outlineLevel="0" collapsed="false">
      <c r="A151" s="6" t="s">
        <v>1</v>
      </c>
      <c r="B151" s="6" t="n">
        <v>17</v>
      </c>
      <c r="C151" s="6" t="n">
        <v>31223580</v>
      </c>
      <c r="D151" s="6" t="s">
        <v>1078</v>
      </c>
      <c r="E151" s="6" t="s">
        <v>531</v>
      </c>
      <c r="F151" s="6" t="s">
        <v>1079</v>
      </c>
      <c r="G151" s="6" t="s">
        <v>123</v>
      </c>
      <c r="H151" s="6" t="s">
        <v>2613</v>
      </c>
      <c r="I151" s="6"/>
      <c r="J151" s="6" t="s">
        <v>123</v>
      </c>
      <c r="K151" s="6" t="s">
        <v>141</v>
      </c>
      <c r="L151" s="6" t="s">
        <v>2614</v>
      </c>
      <c r="M151" s="6" t="n">
        <v>2564</v>
      </c>
      <c r="N151" s="7" t="n">
        <v>0.064</v>
      </c>
      <c r="O151" s="6"/>
      <c r="P151" s="10" t="n">
        <f aca="false">HYPERLINK("https://www.ncbi.nlm.nih.gov/clinvar/variation/226850", 226850)</f>
        <v>226850</v>
      </c>
      <c r="Q151" s="6" t="s">
        <v>418</v>
      </c>
      <c r="R151" s="6" t="s">
        <v>2615</v>
      </c>
      <c r="S151" s="10" t="str">
        <f aca="false">HYPERLINK("https://www.ncbi.nlm.nih.gov/snp/rs17885739", "rs17885739")</f>
        <v>rs17885739</v>
      </c>
      <c r="T151" s="10" t="n">
        <f aca="false">HYPERLINK("https://gnomad.broadinstitute.org/variant/17-31223580-A-T?dataset=gnomad_r4", 0.00946716)</f>
        <v>0.00946716</v>
      </c>
      <c r="U151" s="10" t="n">
        <f aca="false">HYPERLINK("https://gnomad.broadinstitute.org/variant/17-31223580-A-T?dataset=gnomad_r4", 0.00102058)</f>
        <v>0.00102058</v>
      </c>
      <c r="V151" s="6" t="n">
        <v>0</v>
      </c>
      <c r="W151" s="6" t="n">
        <v>0</v>
      </c>
      <c r="X151" s="6" t="n">
        <v>0</v>
      </c>
      <c r="Y151" s="6" t="n">
        <v>0</v>
      </c>
      <c r="Z151" s="6" t="n">
        <v>-37</v>
      </c>
      <c r="AA151" s="6" t="n">
        <v>-12</v>
      </c>
      <c r="AB151" s="6" t="n">
        <v>-13</v>
      </c>
      <c r="AC151" s="6" t="n">
        <v>38</v>
      </c>
      <c r="AD151" s="6" t="n">
        <v>4.236</v>
      </c>
      <c r="AE151" s="6" t="s">
        <v>124</v>
      </c>
      <c r="AF151" s="6" t="s">
        <v>123</v>
      </c>
      <c r="AG151" s="6" t="s">
        <v>123</v>
      </c>
      <c r="AH151" s="6" t="s">
        <v>123</v>
      </c>
      <c r="AI151" s="6" t="s">
        <v>123</v>
      </c>
      <c r="AJ151" s="8"/>
      <c r="AK151" s="8"/>
      <c r="AL151" s="8"/>
      <c r="AM151" s="8"/>
      <c r="AN151" s="8"/>
      <c r="AO151" s="8"/>
      <c r="AP151" s="9" t="s">
        <v>2616</v>
      </c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76.5" hidden="false" customHeight="true" outlineLevel="0" collapsed="false">
      <c r="A152" s="6" t="s">
        <v>1</v>
      </c>
      <c r="B152" s="6" t="n">
        <v>12</v>
      </c>
      <c r="C152" s="6" t="n">
        <v>54292370</v>
      </c>
      <c r="D152" s="6" t="s">
        <v>1148</v>
      </c>
      <c r="E152" s="6" t="s">
        <v>6</v>
      </c>
      <c r="F152" s="6" t="s">
        <v>1149</v>
      </c>
      <c r="G152" s="6" t="s">
        <v>1150</v>
      </c>
      <c r="H152" s="6" t="s">
        <v>2617</v>
      </c>
      <c r="I152" s="6"/>
      <c r="J152" s="6" t="s">
        <v>123</v>
      </c>
      <c r="K152" s="6" t="s">
        <v>807</v>
      </c>
      <c r="L152" s="6" t="s">
        <v>2618</v>
      </c>
      <c r="M152" s="6" t="n">
        <v>4293</v>
      </c>
      <c r="N152" s="7" t="n">
        <v>0.0741</v>
      </c>
      <c r="O152" s="6" t="s">
        <v>1879</v>
      </c>
      <c r="P152" s="6" t="s">
        <v>123</v>
      </c>
      <c r="Q152" s="6" t="s">
        <v>123</v>
      </c>
      <c r="R152" s="6" t="s">
        <v>123</v>
      </c>
      <c r="S152" s="10" t="str">
        <f aca="false">HYPERLINK("https://www.ncbi.nlm.nih.gov/snp/rs34357477", "rs34357477")</f>
        <v>rs34357477</v>
      </c>
      <c r="T152" s="10" t="n">
        <f aca="false">HYPERLINK("https://gnomad.broadinstitute.org/variant/12-54292370-C-T?dataset=gnomad_r4", 0.00310498)</f>
        <v>0.00310498</v>
      </c>
      <c r="U152" s="10" t="n">
        <f aca="false">HYPERLINK("https://gnomad.broadinstitute.org/variant/12-54292370-C-T?dataset=gnomad_r4", 0.000339051)</f>
        <v>0.000339051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-2</v>
      </c>
      <c r="AA152" s="6" t="n">
        <v>21</v>
      </c>
      <c r="AB152" s="6" t="n">
        <v>40</v>
      </c>
      <c r="AC152" s="6" t="n">
        <v>-47</v>
      </c>
      <c r="AD152" s="6" t="n">
        <v>11.13</v>
      </c>
      <c r="AE152" s="6" t="s">
        <v>124</v>
      </c>
      <c r="AF152" s="6" t="s">
        <v>123</v>
      </c>
      <c r="AG152" s="6" t="s">
        <v>123</v>
      </c>
      <c r="AH152" s="6" t="s">
        <v>123</v>
      </c>
      <c r="AI152" s="6" t="s">
        <v>123</v>
      </c>
      <c r="AJ152" s="8"/>
      <c r="AK152" s="8"/>
      <c r="AL152" s="8"/>
      <c r="AM152" s="8"/>
      <c r="AN152" s="8"/>
      <c r="AO152" s="8"/>
      <c r="AP152" s="9" t="s">
        <v>2619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76.5" hidden="false" customHeight="true" outlineLevel="0" collapsed="false">
      <c r="A153" s="6" t="s">
        <v>1</v>
      </c>
      <c r="B153" s="6" t="n">
        <v>9</v>
      </c>
      <c r="C153" s="6" t="n">
        <v>136518817</v>
      </c>
      <c r="D153" s="6" t="s">
        <v>1156</v>
      </c>
      <c r="E153" s="6" t="s">
        <v>1157</v>
      </c>
      <c r="F153" s="6" t="s">
        <v>1158</v>
      </c>
      <c r="G153" s="6" t="s">
        <v>2620</v>
      </c>
      <c r="H153" s="6" t="s">
        <v>2621</v>
      </c>
      <c r="I153" s="6" t="s">
        <v>2622</v>
      </c>
      <c r="J153" s="6" t="s">
        <v>2623</v>
      </c>
      <c r="K153" s="6" t="s">
        <v>1813</v>
      </c>
      <c r="L153" s="6" t="s">
        <v>2624</v>
      </c>
      <c r="M153" s="6" t="n">
        <v>3574</v>
      </c>
      <c r="N153" s="7" t="n">
        <v>0.138</v>
      </c>
      <c r="O153" s="6"/>
      <c r="P153" s="10" t="n">
        <f aca="false">HYPERLINK("https://www.ncbi.nlm.nih.gov/clinvar/variation/415396", 415396)</f>
        <v>415396</v>
      </c>
      <c r="Q153" s="6" t="s">
        <v>283</v>
      </c>
      <c r="R153" s="6" t="s">
        <v>2625</v>
      </c>
      <c r="S153" s="10" t="str">
        <f aca="false">HYPERLINK("https://www.ncbi.nlm.nih.gov/snp/rs143654474", "rs143654474")</f>
        <v>rs143654474</v>
      </c>
      <c r="T153" s="10" t="n">
        <f aca="false">HYPERLINK("https://gnomad.broadinstitute.org/variant/9-136518817-G-A?dataset=gnomad_r4", 0.00448516)</f>
        <v>0.00448516</v>
      </c>
      <c r="U153" s="10" t="n">
        <f aca="false">HYPERLINK("https://gnomad.broadinstitute.org/variant/9-136518817-G-A?dataset=gnomad_r4", 0.000417006)</f>
        <v>0.000417006</v>
      </c>
      <c r="V153" s="6" t="n">
        <v>0.05</v>
      </c>
      <c r="W153" s="6" t="n">
        <v>0</v>
      </c>
      <c r="X153" s="6" t="n">
        <v>0</v>
      </c>
      <c r="Y153" s="6" t="n">
        <v>0</v>
      </c>
      <c r="Z153" s="6" t="n">
        <v>2</v>
      </c>
      <c r="AA153" s="6" t="n">
        <v>40</v>
      </c>
      <c r="AB153" s="6" t="n">
        <v>8</v>
      </c>
      <c r="AC153" s="6" t="n">
        <v>-1</v>
      </c>
      <c r="AD153" s="6" t="n">
        <v>6.197</v>
      </c>
      <c r="AE153" s="6" t="s">
        <v>611</v>
      </c>
      <c r="AF153" s="6" t="s">
        <v>123</v>
      </c>
      <c r="AG153" s="6" t="s">
        <v>123</v>
      </c>
      <c r="AH153" s="6" t="s">
        <v>123</v>
      </c>
      <c r="AI153" s="6" t="s">
        <v>123</v>
      </c>
      <c r="AJ153" s="8"/>
      <c r="AK153" s="8"/>
      <c r="AL153" s="8"/>
      <c r="AM153" s="8"/>
      <c r="AN153" s="8"/>
      <c r="AO153" s="8"/>
      <c r="AP153" s="9" t="s">
        <v>2626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76.5" hidden="false" customHeight="true" outlineLevel="0" collapsed="false">
      <c r="A154" s="6" t="s">
        <v>1</v>
      </c>
      <c r="B154" s="6" t="n">
        <v>9</v>
      </c>
      <c r="C154" s="6" t="n">
        <v>136506837</v>
      </c>
      <c r="D154" s="6" t="s">
        <v>1156</v>
      </c>
      <c r="E154" s="6" t="s">
        <v>1157</v>
      </c>
      <c r="F154" s="6" t="s">
        <v>1158</v>
      </c>
      <c r="G154" s="6" t="s">
        <v>1175</v>
      </c>
      <c r="H154" s="6" t="s">
        <v>2627</v>
      </c>
      <c r="I154" s="6" t="s">
        <v>2628</v>
      </c>
      <c r="J154" s="6" t="s">
        <v>2629</v>
      </c>
      <c r="K154" s="6" t="s">
        <v>1813</v>
      </c>
      <c r="L154" s="6" t="s">
        <v>2630</v>
      </c>
      <c r="M154" s="6" t="n">
        <v>4988</v>
      </c>
      <c r="N154" s="7" t="n">
        <v>0.064</v>
      </c>
      <c r="O154" s="6"/>
      <c r="P154" s="10" t="n">
        <f aca="false">HYPERLINK("https://www.ncbi.nlm.nih.gov/clinvar/variation/415425", 415425)</f>
        <v>415425</v>
      </c>
      <c r="Q154" s="6" t="s">
        <v>418</v>
      </c>
      <c r="R154" s="6" t="s">
        <v>2625</v>
      </c>
      <c r="S154" s="10" t="str">
        <f aca="false">HYPERLINK("https://www.ncbi.nlm.nih.gov/snp/rs201354526", "rs201354526")</f>
        <v>rs201354526</v>
      </c>
      <c r="T154" s="10" t="n">
        <f aca="false">HYPERLINK("https://gnomad.broadinstitute.org/variant/9-136506837-C-G?dataset=gnomad_r4", 0.00699833)</f>
        <v>0.00699833</v>
      </c>
      <c r="U154" s="10" t="n">
        <f aca="false">HYPERLINK("https://gnomad.broadinstitute.org/variant/9-136506837-C-G?dataset=gnomad_r4", 0.000727441)</f>
        <v>0.000727441</v>
      </c>
      <c r="V154" s="6" t="n">
        <v>0.01</v>
      </c>
      <c r="W154" s="6" t="n">
        <v>0</v>
      </c>
      <c r="X154" s="6" t="n">
        <v>0.06</v>
      </c>
      <c r="Y154" s="6" t="n">
        <v>0</v>
      </c>
      <c r="Z154" s="6" t="n">
        <v>38</v>
      </c>
      <c r="AA154" s="6" t="n">
        <v>39</v>
      </c>
      <c r="AB154" s="6" t="n">
        <v>-1</v>
      </c>
      <c r="AC154" s="6" t="n">
        <v>39</v>
      </c>
      <c r="AD154" s="6" t="n">
        <v>6.191</v>
      </c>
      <c r="AE154" s="6" t="s">
        <v>1407</v>
      </c>
      <c r="AF154" s="6" t="s">
        <v>123</v>
      </c>
      <c r="AG154" s="6" t="s">
        <v>123</v>
      </c>
      <c r="AH154" s="6" t="s">
        <v>123</v>
      </c>
      <c r="AI154" s="6" t="s">
        <v>123</v>
      </c>
      <c r="AJ154" s="8"/>
      <c r="AK154" s="8"/>
      <c r="AL154" s="8"/>
      <c r="AM154" s="8"/>
      <c r="AN154" s="8"/>
      <c r="AO154" s="8"/>
      <c r="AP154" s="9" t="s">
        <v>2631</v>
      </c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76.5" hidden="false" customHeight="true" outlineLevel="0" collapsed="false">
      <c r="A155" s="6" t="s">
        <v>1</v>
      </c>
      <c r="B155" s="6" t="n">
        <v>9</v>
      </c>
      <c r="C155" s="6" t="n">
        <v>136495935</v>
      </c>
      <c r="D155" s="6" t="s">
        <v>1156</v>
      </c>
      <c r="E155" s="6" t="s">
        <v>1157</v>
      </c>
      <c r="F155" s="6" t="s">
        <v>1158</v>
      </c>
      <c r="G155" s="6" t="s">
        <v>1159</v>
      </c>
      <c r="H155" s="6" t="s">
        <v>2632</v>
      </c>
      <c r="I155" s="6"/>
      <c r="J155" s="6" t="s">
        <v>123</v>
      </c>
      <c r="K155" s="6" t="s">
        <v>807</v>
      </c>
      <c r="L155" s="6" t="s">
        <v>2633</v>
      </c>
      <c r="M155" s="6" t="n">
        <v>3670</v>
      </c>
      <c r="N155" s="7" t="n">
        <v>0.125</v>
      </c>
      <c r="O155" s="6"/>
      <c r="P155" s="10" t="n">
        <f aca="false">HYPERLINK("https://www.ncbi.nlm.nih.gov/clinvar/variation/1273192", 1273192)</f>
        <v>1273192</v>
      </c>
      <c r="Q155" s="6" t="s">
        <v>418</v>
      </c>
      <c r="R155" s="6" t="s">
        <v>181</v>
      </c>
      <c r="S155" s="10" t="str">
        <f aca="false">HYPERLINK("https://www.ncbi.nlm.nih.gov/snp/rs11574912", "rs11574912")</f>
        <v>rs11574912</v>
      </c>
      <c r="T155" s="10" t="n">
        <f aca="false">HYPERLINK("https://gnomad.broadinstitute.org/variant/9-136495935-T-C?dataset=gnomad_r4", 0.0187771)</f>
        <v>0.0187771</v>
      </c>
      <c r="U155" s="10" t="n">
        <f aca="false">HYPERLINK("https://gnomad.broadinstitute.org/variant/9-136495935-T-C?dataset=gnomad_r4", 0.00206422)</f>
        <v>0.00206422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-1</v>
      </c>
      <c r="AA155" s="6" t="n">
        <v>-41</v>
      </c>
      <c r="AB155" s="6" t="n">
        <v>5</v>
      </c>
      <c r="AC155" s="6" t="n">
        <v>15</v>
      </c>
      <c r="AD155" s="6" t="n">
        <v>2.798</v>
      </c>
      <c r="AE155" s="6" t="s">
        <v>1407</v>
      </c>
      <c r="AF155" s="6" t="s">
        <v>123</v>
      </c>
      <c r="AG155" s="6" t="s">
        <v>123</v>
      </c>
      <c r="AH155" s="6" t="s">
        <v>123</v>
      </c>
      <c r="AI155" s="6" t="s">
        <v>123</v>
      </c>
      <c r="AJ155" s="8"/>
      <c r="AK155" s="8"/>
      <c r="AL155" s="8"/>
      <c r="AM155" s="8"/>
      <c r="AN155" s="8"/>
      <c r="AO155" s="8"/>
      <c r="AP155" s="9" t="s">
        <v>2634</v>
      </c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76.5" hidden="false" customHeight="true" outlineLevel="0" collapsed="false">
      <c r="A156" s="6" t="s">
        <v>1</v>
      </c>
      <c r="B156" s="6" t="n">
        <v>9</v>
      </c>
      <c r="C156" s="6" t="n">
        <v>136509834</v>
      </c>
      <c r="D156" s="6" t="s">
        <v>1156</v>
      </c>
      <c r="E156" s="6" t="s">
        <v>1157</v>
      </c>
      <c r="F156" s="6" t="s">
        <v>1158</v>
      </c>
      <c r="G156" s="6" t="s">
        <v>1192</v>
      </c>
      <c r="H156" s="6" t="s">
        <v>2635</v>
      </c>
      <c r="I156" s="6" t="s">
        <v>2636</v>
      </c>
      <c r="J156" s="6" t="s">
        <v>2637</v>
      </c>
      <c r="K156" s="6" t="s">
        <v>1813</v>
      </c>
      <c r="L156" s="6" t="s">
        <v>2638</v>
      </c>
      <c r="M156" s="6" t="n">
        <v>4552</v>
      </c>
      <c r="N156" s="7" t="n">
        <v>0.0948</v>
      </c>
      <c r="O156" s="6" t="s">
        <v>1879</v>
      </c>
      <c r="P156" s="10" t="n">
        <f aca="false">HYPERLINK("https://www.ncbi.nlm.nih.gov/clinvar/variation/389956", 389956)</f>
        <v>389956</v>
      </c>
      <c r="Q156" s="6" t="s">
        <v>215</v>
      </c>
      <c r="R156" s="6" t="s">
        <v>2639</v>
      </c>
      <c r="S156" s="10" t="str">
        <f aca="false">HYPERLINK("https://www.ncbi.nlm.nih.gov/snp/rs760227470", "rs760227470")</f>
        <v>rs760227470</v>
      </c>
      <c r="T156" s="10" t="n">
        <f aca="false">HYPERLINK("https://gnomad.broadinstitute.org/variant/9-136509834-G-A?dataset=gnomad_r4", 0.0000328343)</f>
        <v>3.28343E-005</v>
      </c>
      <c r="U156" s="10" t="n">
        <f aca="false">HYPERLINK("https://gnomad.broadinstitute.org/variant/9-136509834-G-A?dataset=gnomad_r4", 0.0000978897)</f>
        <v>9.78897E-005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3</v>
      </c>
      <c r="AA156" s="6" t="n">
        <v>38</v>
      </c>
      <c r="AB156" s="6" t="n">
        <v>44</v>
      </c>
      <c r="AC156" s="6" t="n">
        <v>-35</v>
      </c>
      <c r="AD156" s="6" t="n">
        <v>2.804</v>
      </c>
      <c r="AE156" s="6" t="s">
        <v>611</v>
      </c>
      <c r="AF156" s="6" t="s">
        <v>123</v>
      </c>
      <c r="AG156" s="6" t="s">
        <v>123</v>
      </c>
      <c r="AH156" s="6" t="s">
        <v>123</v>
      </c>
      <c r="AI156" s="6" t="s">
        <v>123</v>
      </c>
      <c r="AJ156" s="8"/>
      <c r="AK156" s="8"/>
      <c r="AL156" s="8"/>
      <c r="AM156" s="8"/>
      <c r="AN156" s="8"/>
      <c r="AO156" s="8"/>
      <c r="AP156" s="9" t="s">
        <v>2640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76.5" hidden="false" customHeight="true" outlineLevel="0" collapsed="false">
      <c r="A157" s="6" t="s">
        <v>1</v>
      </c>
      <c r="B157" s="6" t="n">
        <v>9</v>
      </c>
      <c r="C157" s="6" t="n">
        <v>136500859</v>
      </c>
      <c r="D157" s="6" t="s">
        <v>1156</v>
      </c>
      <c r="E157" s="6" t="s">
        <v>1157</v>
      </c>
      <c r="F157" s="6" t="s">
        <v>1158</v>
      </c>
      <c r="G157" s="6" t="s">
        <v>123</v>
      </c>
      <c r="H157" s="6" t="s">
        <v>2641</v>
      </c>
      <c r="I157" s="6"/>
      <c r="J157" s="6" t="s">
        <v>123</v>
      </c>
      <c r="K157" s="6" t="s">
        <v>141</v>
      </c>
      <c r="L157" s="6" t="s">
        <v>2642</v>
      </c>
      <c r="M157" s="6" t="n">
        <v>3653</v>
      </c>
      <c r="N157" s="7" t="n">
        <v>0.0908</v>
      </c>
      <c r="O157" s="6"/>
      <c r="P157" s="10" t="n">
        <f aca="false">HYPERLINK("https://www.ncbi.nlm.nih.gov/clinvar/variation/288087", 288087)</f>
        <v>288087</v>
      </c>
      <c r="Q157" s="6" t="s">
        <v>418</v>
      </c>
      <c r="R157" s="6" t="s">
        <v>2643</v>
      </c>
      <c r="S157" s="10" t="str">
        <f aca="false">HYPERLINK("https://www.ncbi.nlm.nih.gov/snp/rs11574908", "rs11574908")</f>
        <v>rs11574908</v>
      </c>
      <c r="T157" s="10" t="n">
        <f aca="false">HYPERLINK("https://gnomad.broadinstitute.org/variant/9-136500859-G-A?dataset=gnomad_r4", 0.0625394)</f>
        <v>0.0625394</v>
      </c>
      <c r="U157" s="10" t="n">
        <f aca="false">HYPERLINK("https://gnomad.broadinstitute.org/variant/9-136500859-G-A?dataset=gnomad_r4", 0.0800744)</f>
        <v>0.0800744</v>
      </c>
      <c r="V157" s="6" t="n">
        <v>0</v>
      </c>
      <c r="W157" s="6" t="n">
        <v>0</v>
      </c>
      <c r="X157" s="6" t="n">
        <v>0</v>
      </c>
      <c r="Y157" s="6" t="n">
        <v>0</v>
      </c>
      <c r="Z157" s="6" t="n">
        <v>-12</v>
      </c>
      <c r="AA157" s="6" t="n">
        <v>-46</v>
      </c>
      <c r="AB157" s="6" t="n">
        <v>-22</v>
      </c>
      <c r="AC157" s="6" t="n">
        <v>-46</v>
      </c>
      <c r="AD157" s="6" t="n">
        <v>8.468</v>
      </c>
      <c r="AE157" s="6" t="s">
        <v>124</v>
      </c>
      <c r="AF157" s="6" t="s">
        <v>123</v>
      </c>
      <c r="AG157" s="6" t="s">
        <v>123</v>
      </c>
      <c r="AH157" s="6" t="s">
        <v>123</v>
      </c>
      <c r="AI157" s="6" t="s">
        <v>123</v>
      </c>
      <c r="AJ157" s="8"/>
      <c r="AK157" s="8"/>
      <c r="AL157" s="8"/>
      <c r="AM157" s="8"/>
      <c r="AN157" s="8"/>
      <c r="AO157" s="8"/>
      <c r="AP157" s="9" t="s">
        <v>2644</v>
      </c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76.5" hidden="false" customHeight="true" outlineLevel="0" collapsed="false">
      <c r="A158" s="6" t="s">
        <v>1</v>
      </c>
      <c r="B158" s="6" t="n">
        <v>5</v>
      </c>
      <c r="C158" s="6" t="n">
        <v>171391286</v>
      </c>
      <c r="D158" s="6" t="s">
        <v>1212</v>
      </c>
      <c r="E158" s="6" t="s">
        <v>6</v>
      </c>
      <c r="F158" s="6" t="s">
        <v>1213</v>
      </c>
      <c r="G158" s="6" t="s">
        <v>123</v>
      </c>
      <c r="H158" s="6" t="s">
        <v>2645</v>
      </c>
      <c r="I158" s="6"/>
      <c r="J158" s="6" t="s">
        <v>123</v>
      </c>
      <c r="K158" s="6" t="s">
        <v>141</v>
      </c>
      <c r="L158" s="6" t="s">
        <v>2646</v>
      </c>
      <c r="M158" s="6" t="n">
        <v>2381</v>
      </c>
      <c r="N158" s="7" t="n">
        <v>0.0455</v>
      </c>
      <c r="O158" s="6" t="s">
        <v>1820</v>
      </c>
      <c r="P158" s="6" t="s">
        <v>123</v>
      </c>
      <c r="Q158" s="6" t="s">
        <v>123</v>
      </c>
      <c r="R158" s="6" t="s">
        <v>123</v>
      </c>
      <c r="S158" s="10" t="str">
        <f aca="false">HYPERLINK("https://www.ncbi.nlm.nih.gov/snp/rs752582321", "rs752582321")</f>
        <v>rs752582321</v>
      </c>
      <c r="T158" s="10" t="n">
        <f aca="false">HYPERLINK("https://gnomad.broadinstitute.org/variant/5-171391286-A-AT?dataset=gnomad_r4", 0.000080063)</f>
        <v>8.0063E-005</v>
      </c>
      <c r="U158" s="10" t="n">
        <f aca="false">HYPERLINK("https://gnomad.broadinstitute.org/variant/5-171391286-A-AT?dataset=gnomad_r4", 0.00256424)</f>
        <v>0.00256424</v>
      </c>
      <c r="V158" s="6" t="n">
        <v>0.02</v>
      </c>
      <c r="W158" s="6" t="n">
        <v>0</v>
      </c>
      <c r="X158" s="6" t="n">
        <v>0</v>
      </c>
      <c r="Y158" s="6" t="n">
        <v>0</v>
      </c>
      <c r="Z158" s="6" t="n">
        <v>-1</v>
      </c>
      <c r="AA158" s="6" t="n">
        <v>24</v>
      </c>
      <c r="AB158" s="6" t="n">
        <v>18</v>
      </c>
      <c r="AC158" s="6" t="n">
        <v>-1</v>
      </c>
      <c r="AD158" s="6" t="n">
        <v>4.642</v>
      </c>
      <c r="AE158" s="6" t="s">
        <v>124</v>
      </c>
      <c r="AF158" s="6" t="s">
        <v>123</v>
      </c>
      <c r="AG158" s="6" t="s">
        <v>123</v>
      </c>
      <c r="AH158" s="6" t="s">
        <v>123</v>
      </c>
      <c r="AI158" s="6" t="s">
        <v>123</v>
      </c>
      <c r="AJ158" s="8"/>
      <c r="AK158" s="8"/>
      <c r="AL158" s="8"/>
      <c r="AM158" s="8"/>
      <c r="AN158" s="8"/>
      <c r="AO158" s="8"/>
      <c r="AP158" s="9" t="s">
        <v>2647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76.5" hidden="false" customHeight="true" outlineLevel="0" collapsed="false">
      <c r="A159" s="6" t="s">
        <v>1</v>
      </c>
      <c r="B159" s="6" t="n">
        <v>5</v>
      </c>
      <c r="C159" s="6" t="n">
        <v>171410509</v>
      </c>
      <c r="D159" s="6" t="s">
        <v>1212</v>
      </c>
      <c r="E159" s="6" t="s">
        <v>6</v>
      </c>
      <c r="F159" s="6" t="s">
        <v>1213</v>
      </c>
      <c r="G159" s="6" t="s">
        <v>123</v>
      </c>
      <c r="H159" s="6" t="s">
        <v>2648</v>
      </c>
      <c r="I159" s="6"/>
      <c r="J159" s="6" t="s">
        <v>123</v>
      </c>
      <c r="K159" s="6" t="s">
        <v>127</v>
      </c>
      <c r="L159" s="6" t="s">
        <v>2649</v>
      </c>
      <c r="M159" s="6" t="n">
        <v>2157</v>
      </c>
      <c r="N159" s="7" t="n">
        <v>0.34</v>
      </c>
      <c r="O159" s="6" t="s">
        <v>1820</v>
      </c>
      <c r="P159" s="10" t="n">
        <f aca="false">HYPERLINK("https://www.ncbi.nlm.nih.gov/clinvar/variation/3045006", 3045006)</f>
        <v>3045006</v>
      </c>
      <c r="Q159" s="6" t="s">
        <v>418</v>
      </c>
      <c r="R159" s="6" t="s">
        <v>2650</v>
      </c>
      <c r="S159" s="10" t="str">
        <f aca="false">HYPERLINK("https://www.ncbi.nlm.nih.gov/snp/rs34323200", "rs34323200")</f>
        <v>rs34323200</v>
      </c>
      <c r="T159" s="10" t="n">
        <f aca="false">HYPERLINK("https://gnomad.broadinstitute.org/variant/5-171410509-CTT-C?dataset=gnomad_r4", 0.0000424382)</f>
        <v>4.24382E-005</v>
      </c>
      <c r="U159" s="10" t="n">
        <f aca="false">HYPERLINK("https://gnomad.broadinstitute.org/variant/5-171410509-CTT-C?dataset=gnomad_r4", 0.00219364)</f>
        <v>0.00219364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28</v>
      </c>
      <c r="AA159" s="6" t="n">
        <v>18</v>
      </c>
      <c r="AB159" s="6" t="n">
        <v>28</v>
      </c>
      <c r="AC159" s="6" t="n">
        <v>46</v>
      </c>
      <c r="AD159" s="6" t="n">
        <v>11.47</v>
      </c>
      <c r="AE159" s="6" t="s">
        <v>124</v>
      </c>
      <c r="AF159" s="6" t="s">
        <v>123</v>
      </c>
      <c r="AG159" s="6" t="s">
        <v>123</v>
      </c>
      <c r="AH159" s="6" t="s">
        <v>123</v>
      </c>
      <c r="AI159" s="6" t="s">
        <v>123</v>
      </c>
      <c r="AJ159" s="8"/>
      <c r="AK159" s="8"/>
      <c r="AL159" s="8"/>
      <c r="AM159" s="8"/>
      <c r="AN159" s="8"/>
      <c r="AO159" s="8"/>
      <c r="AP159" s="9" t="s">
        <v>2651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76.5" hidden="false" customHeight="true" outlineLevel="0" collapsed="false">
      <c r="A160" s="6" t="s">
        <v>1</v>
      </c>
      <c r="B160" s="6" t="n">
        <v>5</v>
      </c>
      <c r="C160" s="6" t="n">
        <v>171391286</v>
      </c>
      <c r="D160" s="6" t="s">
        <v>1212</v>
      </c>
      <c r="E160" s="6" t="s">
        <v>6</v>
      </c>
      <c r="F160" s="6" t="s">
        <v>1213</v>
      </c>
      <c r="G160" s="6" t="s">
        <v>123</v>
      </c>
      <c r="H160" s="6" t="s">
        <v>2652</v>
      </c>
      <c r="I160" s="6"/>
      <c r="J160" s="6" t="s">
        <v>123</v>
      </c>
      <c r="K160" s="6" t="s">
        <v>141</v>
      </c>
      <c r="L160" s="6" t="s">
        <v>2653</v>
      </c>
      <c r="M160" s="6" t="n">
        <v>2381</v>
      </c>
      <c r="N160" s="7" t="n">
        <v>0.0982</v>
      </c>
      <c r="O160" s="6" t="s">
        <v>1820</v>
      </c>
      <c r="P160" s="10" t="n">
        <f aca="false">HYPERLINK("https://www.ncbi.nlm.nih.gov/clinvar/variation/4289142", 4289142)</f>
        <v>4289142</v>
      </c>
      <c r="Q160" s="6" t="s">
        <v>123</v>
      </c>
      <c r="R160" s="6" t="s">
        <v>123</v>
      </c>
      <c r="S160" s="10" t="str">
        <f aca="false">HYPERLINK("https://www.ncbi.nlm.nih.gov/snp/rs752582321", "rs752582321")</f>
        <v>rs752582321</v>
      </c>
      <c r="T160" s="10" t="n">
        <f aca="false">HYPERLINK("https://gnomad.broadinstitute.org/variant/5-171391286-AT-A?dataset=gnomad_r4", 0.000914345)</f>
        <v>0.000914345</v>
      </c>
      <c r="U160" s="10" t="n">
        <f aca="false">HYPERLINK("https://gnomad.broadinstitute.org/variant/5-171391286-AT-A?dataset=gnomad_r4", 0.00429724)</f>
        <v>0.00429724</v>
      </c>
      <c r="V160" s="6" t="n">
        <v>0.01</v>
      </c>
      <c r="W160" s="6" t="n">
        <v>0</v>
      </c>
      <c r="X160" s="6" t="n">
        <v>0</v>
      </c>
      <c r="Y160" s="6" t="n">
        <v>0</v>
      </c>
      <c r="Z160" s="6" t="n">
        <v>-1</v>
      </c>
      <c r="AA160" s="6" t="n">
        <v>24</v>
      </c>
      <c r="AB160" s="6" t="n">
        <v>23</v>
      </c>
      <c r="AC160" s="6" t="n">
        <v>18</v>
      </c>
      <c r="AD160" s="6" t="n">
        <v>3.975</v>
      </c>
      <c r="AE160" s="6" t="s">
        <v>124</v>
      </c>
      <c r="AF160" s="6" t="s">
        <v>123</v>
      </c>
      <c r="AG160" s="6" t="s">
        <v>123</v>
      </c>
      <c r="AH160" s="6" t="s">
        <v>123</v>
      </c>
      <c r="AI160" s="6" t="s">
        <v>123</v>
      </c>
      <c r="AJ160" s="8"/>
      <c r="AK160" s="8"/>
      <c r="AL160" s="8"/>
      <c r="AM160" s="8"/>
      <c r="AN160" s="8"/>
      <c r="AO160" s="8"/>
      <c r="AP160" s="9" t="s">
        <v>2654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76.5" hidden="false" customHeight="true" outlineLevel="0" collapsed="false">
      <c r="A161" s="6" t="s">
        <v>1</v>
      </c>
      <c r="B161" s="6" t="n">
        <v>1</v>
      </c>
      <c r="C161" s="6" t="n">
        <v>156873751</v>
      </c>
      <c r="D161" s="6" t="s">
        <v>1234</v>
      </c>
      <c r="E161" s="6" t="s">
        <v>6</v>
      </c>
      <c r="F161" s="6" t="s">
        <v>1235</v>
      </c>
      <c r="G161" s="6" t="s">
        <v>2655</v>
      </c>
      <c r="H161" s="6" t="s">
        <v>2656</v>
      </c>
      <c r="I161" s="6" t="s">
        <v>2657</v>
      </c>
      <c r="J161" s="6" t="s">
        <v>2658</v>
      </c>
      <c r="K161" s="6" t="s">
        <v>1813</v>
      </c>
      <c r="L161" s="6" t="s">
        <v>2659</v>
      </c>
      <c r="M161" s="6" t="n">
        <v>3780</v>
      </c>
      <c r="N161" s="7" t="n">
        <v>0.0717</v>
      </c>
      <c r="O161" s="6"/>
      <c r="P161" s="10" t="n">
        <f aca="false">HYPERLINK("https://www.ncbi.nlm.nih.gov/clinvar/variation/1117653", 1117653)</f>
        <v>1117653</v>
      </c>
      <c r="Q161" s="6" t="s">
        <v>215</v>
      </c>
      <c r="R161" s="6" t="s">
        <v>2660</v>
      </c>
      <c r="S161" s="10" t="str">
        <f aca="false">HYPERLINK("https://www.ncbi.nlm.nih.gov/snp/rs542786663", "rs542786663")</f>
        <v>rs542786663</v>
      </c>
      <c r="T161" s="10" t="n">
        <f aca="false">HYPERLINK("https://gnomad.broadinstitute.org/variant/1-156873751-T-C?dataset=gnomad_r4", 0.00000656892)</f>
        <v>6.56892E-006</v>
      </c>
      <c r="U161" s="10" t="n">
        <f aca="false">HYPERLINK("https://gnomad.broadinstitute.org/variant/1-156873751-T-C?dataset=gnomad_r4", 0.0000109586)</f>
        <v>1.09586E-005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-44</v>
      </c>
      <c r="AA161" s="6" t="n">
        <v>9</v>
      </c>
      <c r="AB161" s="6" t="n">
        <v>23</v>
      </c>
      <c r="AC161" s="6" t="n">
        <v>-2</v>
      </c>
      <c r="AD161" s="6" t="n">
        <v>0.366</v>
      </c>
      <c r="AE161" s="6" t="s">
        <v>124</v>
      </c>
      <c r="AF161" s="6" t="s">
        <v>123</v>
      </c>
      <c r="AG161" s="6" t="s">
        <v>123</v>
      </c>
      <c r="AH161" s="6" t="s">
        <v>123</v>
      </c>
      <c r="AI161" s="6" t="s">
        <v>123</v>
      </c>
      <c r="AJ161" s="8"/>
      <c r="AK161" s="8"/>
      <c r="AL161" s="8"/>
      <c r="AM161" s="8"/>
      <c r="AN161" s="8"/>
      <c r="AO161" s="8"/>
      <c r="AP161" s="9" t="s">
        <v>2661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76.5" hidden="false" customHeight="true" outlineLevel="0" collapsed="false">
      <c r="A162" s="6" t="s">
        <v>1</v>
      </c>
      <c r="B162" s="6" t="n">
        <v>3</v>
      </c>
      <c r="C162" s="6" t="n">
        <v>179209622</v>
      </c>
      <c r="D162" s="6" t="s">
        <v>1249</v>
      </c>
      <c r="E162" s="6" t="s">
        <v>147</v>
      </c>
      <c r="F162" s="6" t="s">
        <v>1250</v>
      </c>
      <c r="G162" s="6" t="s">
        <v>865</v>
      </c>
      <c r="H162" s="6" t="s">
        <v>2662</v>
      </c>
      <c r="I162" s="6" t="s">
        <v>2663</v>
      </c>
      <c r="J162" s="6" t="s">
        <v>2664</v>
      </c>
      <c r="K162" s="6" t="s">
        <v>120</v>
      </c>
      <c r="L162" s="6" t="s">
        <v>2665</v>
      </c>
      <c r="M162" s="6" t="n">
        <v>2926</v>
      </c>
      <c r="N162" s="7" t="n">
        <v>0.069</v>
      </c>
      <c r="O162" s="6"/>
      <c r="P162" s="10" t="n">
        <f aca="false">HYPERLINK("https://www.ncbi.nlm.nih.gov/clinvar/variation/135038", 135038)</f>
        <v>135038</v>
      </c>
      <c r="Q162" s="6" t="s">
        <v>418</v>
      </c>
      <c r="R162" s="6" t="s">
        <v>2666</v>
      </c>
      <c r="S162" s="10" t="str">
        <f aca="false">HYPERLINK("https://www.ncbi.nlm.nih.gov/snp/rs2230461", "rs2230461")</f>
        <v>rs2230461</v>
      </c>
      <c r="T162" s="10" t="n">
        <f aca="false">HYPERLINK("https://gnomad.broadinstitute.org/variant/3-179209622-A-G?dataset=gnomad_r4", 0.10048)</f>
        <v>0.10048</v>
      </c>
      <c r="U162" s="10" t="n">
        <f aca="false">HYPERLINK("https://gnomad.broadinstitute.org/variant/3-179209622-A-G?dataset=gnomad_r4", 0.062492)</f>
        <v>0.062492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-23</v>
      </c>
      <c r="AA162" s="6" t="n">
        <v>-31</v>
      </c>
      <c r="AB162" s="6" t="n">
        <v>-1</v>
      </c>
      <c r="AC162" s="6" t="n">
        <v>-3</v>
      </c>
      <c r="AD162" s="6" t="n">
        <v>14.17</v>
      </c>
      <c r="AE162" s="6" t="s">
        <v>124</v>
      </c>
      <c r="AF162" s="6" t="s">
        <v>123</v>
      </c>
      <c r="AG162" s="6" t="s">
        <v>123</v>
      </c>
      <c r="AH162" s="6" t="s">
        <v>123</v>
      </c>
      <c r="AI162" s="6" t="s">
        <v>123</v>
      </c>
      <c r="AJ162" s="8"/>
      <c r="AK162" s="8"/>
      <c r="AL162" s="8"/>
      <c r="AM162" s="8"/>
      <c r="AN162" s="8"/>
      <c r="AO162" s="8"/>
      <c r="AP162" s="9" t="s">
        <v>2667</v>
      </c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76.5" hidden="false" customHeight="true" outlineLevel="0" collapsed="false">
      <c r="A163" s="6" t="s">
        <v>1</v>
      </c>
      <c r="B163" s="6" t="n">
        <v>1</v>
      </c>
      <c r="C163" s="6" t="n">
        <v>9717528</v>
      </c>
      <c r="D163" s="6" t="s">
        <v>1275</v>
      </c>
      <c r="E163" s="6" t="s">
        <v>147</v>
      </c>
      <c r="F163" s="6" t="s">
        <v>1276</v>
      </c>
      <c r="G163" s="6" t="s">
        <v>123</v>
      </c>
      <c r="H163" s="6" t="s">
        <v>2668</v>
      </c>
      <c r="I163" s="6"/>
      <c r="J163" s="6" t="s">
        <v>123</v>
      </c>
      <c r="K163" s="6" t="s">
        <v>141</v>
      </c>
      <c r="L163" s="6" t="s">
        <v>2669</v>
      </c>
      <c r="M163" s="6" t="n">
        <v>3359</v>
      </c>
      <c r="N163" s="7" t="n">
        <v>0.0927</v>
      </c>
      <c r="O163" s="6"/>
      <c r="P163" s="10" t="n">
        <f aca="false">HYPERLINK("https://www.ncbi.nlm.nih.gov/clinvar/variation/440067", 440067)</f>
        <v>440067</v>
      </c>
      <c r="Q163" s="6" t="s">
        <v>418</v>
      </c>
      <c r="R163" s="6" t="s">
        <v>2670</v>
      </c>
      <c r="S163" s="10" t="str">
        <f aca="false">HYPERLINK("https://www.ncbi.nlm.nih.gov/snp/rs28730669", "rs28730669")</f>
        <v>rs28730669</v>
      </c>
      <c r="T163" s="10" t="n">
        <f aca="false">HYPERLINK("https://gnomad.broadinstitute.org/variant/1-9717528-G-C?dataset=gnomad_r4", 0.0169081)</f>
        <v>0.0169081</v>
      </c>
      <c r="U163" s="10" t="n">
        <f aca="false">HYPERLINK("https://gnomad.broadinstitute.org/variant/1-9717528-G-C?dataset=gnomad_r4", 0.0226629)</f>
        <v>0.0226629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9</v>
      </c>
      <c r="AA163" s="6" t="n">
        <v>-12</v>
      </c>
      <c r="AB163" s="6" t="n">
        <v>19</v>
      </c>
      <c r="AC163" s="6" t="n">
        <v>-50</v>
      </c>
      <c r="AD163" s="6" t="n">
        <v>2.868</v>
      </c>
      <c r="AE163" s="6" t="s">
        <v>124</v>
      </c>
      <c r="AF163" s="6" t="s">
        <v>123</v>
      </c>
      <c r="AG163" s="6" t="s">
        <v>123</v>
      </c>
      <c r="AH163" s="6" t="s">
        <v>123</v>
      </c>
      <c r="AI163" s="6" t="s">
        <v>123</v>
      </c>
      <c r="AJ163" s="8"/>
      <c r="AK163" s="8"/>
      <c r="AL163" s="8"/>
      <c r="AM163" s="8"/>
      <c r="AN163" s="8"/>
      <c r="AO163" s="8"/>
      <c r="AP163" s="9" t="s">
        <v>2671</v>
      </c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76.5" hidden="false" customHeight="true" outlineLevel="0" collapsed="false">
      <c r="A164" s="6" t="s">
        <v>1</v>
      </c>
      <c r="B164" s="6" t="n">
        <v>1</v>
      </c>
      <c r="C164" s="6" t="n">
        <v>9720929</v>
      </c>
      <c r="D164" s="6" t="s">
        <v>1275</v>
      </c>
      <c r="E164" s="6" t="s">
        <v>147</v>
      </c>
      <c r="F164" s="6" t="s">
        <v>1276</v>
      </c>
      <c r="G164" s="6" t="s">
        <v>123</v>
      </c>
      <c r="H164" s="6" t="s">
        <v>2672</v>
      </c>
      <c r="I164" s="6"/>
      <c r="J164" s="6" t="s">
        <v>123</v>
      </c>
      <c r="K164" s="6" t="s">
        <v>141</v>
      </c>
      <c r="L164" s="6" t="s">
        <v>2673</v>
      </c>
      <c r="M164" s="6" t="n">
        <v>3137</v>
      </c>
      <c r="N164" s="7" t="n">
        <v>0.101</v>
      </c>
      <c r="O164" s="6" t="s">
        <v>1879</v>
      </c>
      <c r="P164" s="10" t="n">
        <f aca="false">HYPERLINK("https://www.ncbi.nlm.nih.gov/clinvar/variation/811024", 811024)</f>
        <v>811024</v>
      </c>
      <c r="Q164" s="6" t="s">
        <v>418</v>
      </c>
      <c r="R164" s="6" t="s">
        <v>2670</v>
      </c>
      <c r="S164" s="10" t="str">
        <f aca="false">HYPERLINK("https://www.ncbi.nlm.nih.gov/snp/rs181919452", "rs181919452")</f>
        <v>rs181919452</v>
      </c>
      <c r="T164" s="10" t="n">
        <f aca="false">HYPERLINK("https://gnomad.broadinstitute.org/variant/1-9720929-T-C?dataset=gnomad_r4", 0.021463)</f>
        <v>0.021463</v>
      </c>
      <c r="U164" s="10" t="n">
        <f aca="false">HYPERLINK("https://gnomad.broadinstitute.org/variant/1-9720929-T-C?dataset=gnomad_r4", 0.0306718)</f>
        <v>0.0306718</v>
      </c>
      <c r="V164" s="6" t="n">
        <v>0</v>
      </c>
      <c r="W164" s="6" t="n">
        <v>0</v>
      </c>
      <c r="X164" s="6" t="n">
        <v>0</v>
      </c>
      <c r="Y164" s="6" t="n">
        <v>0</v>
      </c>
      <c r="Z164" s="6" t="n">
        <v>-20</v>
      </c>
      <c r="AA164" s="6" t="n">
        <v>-46</v>
      </c>
      <c r="AB164" s="6" t="n">
        <v>-16</v>
      </c>
      <c r="AC164" s="6" t="n">
        <v>-20</v>
      </c>
      <c r="AD164" s="6" t="n">
        <v>0.523</v>
      </c>
      <c r="AE164" s="6" t="s">
        <v>124</v>
      </c>
      <c r="AF164" s="6" t="s">
        <v>123</v>
      </c>
      <c r="AG164" s="6" t="s">
        <v>123</v>
      </c>
      <c r="AH164" s="6" t="s">
        <v>123</v>
      </c>
      <c r="AI164" s="6" t="s">
        <v>123</v>
      </c>
      <c r="AJ164" s="8"/>
      <c r="AK164" s="8"/>
      <c r="AL164" s="8"/>
      <c r="AM164" s="8"/>
      <c r="AN164" s="8"/>
      <c r="AO164" s="8"/>
      <c r="AP164" s="9" t="s">
        <v>2674</v>
      </c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63.75" hidden="false" customHeight="true" outlineLevel="0" collapsed="false">
      <c r="A165" s="6" t="s">
        <v>1</v>
      </c>
      <c r="B165" s="6" t="n">
        <v>1</v>
      </c>
      <c r="C165" s="6" t="n">
        <v>9715889</v>
      </c>
      <c r="D165" s="6" t="s">
        <v>1275</v>
      </c>
      <c r="E165" s="6" t="s">
        <v>147</v>
      </c>
      <c r="F165" s="6" t="s">
        <v>1276</v>
      </c>
      <c r="G165" s="6" t="s">
        <v>737</v>
      </c>
      <c r="H165" s="6" t="s">
        <v>2675</v>
      </c>
      <c r="I165" s="6" t="s">
        <v>2676</v>
      </c>
      <c r="J165" s="6" t="s">
        <v>2677</v>
      </c>
      <c r="K165" s="6" t="s">
        <v>1813</v>
      </c>
      <c r="L165" s="6" t="s">
        <v>2678</v>
      </c>
      <c r="M165" s="6" t="n">
        <v>3638</v>
      </c>
      <c r="N165" s="7" t="n">
        <v>0.065</v>
      </c>
      <c r="O165" s="6" t="s">
        <v>1879</v>
      </c>
      <c r="P165" s="10" t="n">
        <f aca="false">HYPERLINK("https://www.ncbi.nlm.nih.gov/clinvar/variation/1106158", 1106158)</f>
        <v>1106158</v>
      </c>
      <c r="Q165" s="6" t="s">
        <v>215</v>
      </c>
      <c r="R165" s="6" t="s">
        <v>2679</v>
      </c>
      <c r="S165" s="6" t="s">
        <v>123</v>
      </c>
      <c r="T165" s="6" t="s">
        <v>123</v>
      </c>
      <c r="U165" s="10" t="n">
        <f aca="false">HYPERLINK("https://gnomad.broadinstitute.org/variant/1-9715889-C-T?dataset=gnomad_r4", 0.00000137059)</f>
        <v>1.37059E-006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-40</v>
      </c>
      <c r="AA165" s="6" t="n">
        <v>-4</v>
      </c>
      <c r="AB165" s="6" t="n">
        <v>-6</v>
      </c>
      <c r="AC165" s="6" t="n">
        <v>17</v>
      </c>
      <c r="AD165" s="6" t="n">
        <v>2.871</v>
      </c>
      <c r="AE165" s="6" t="s">
        <v>124</v>
      </c>
      <c r="AF165" s="6" t="s">
        <v>123</v>
      </c>
      <c r="AG165" s="6" t="s">
        <v>123</v>
      </c>
      <c r="AH165" s="6" t="s">
        <v>123</v>
      </c>
      <c r="AI165" s="6" t="s">
        <v>123</v>
      </c>
      <c r="AJ165" s="8"/>
      <c r="AK165" s="8"/>
      <c r="AL165" s="8"/>
      <c r="AM165" s="8"/>
      <c r="AN165" s="8"/>
      <c r="AO165" s="8"/>
      <c r="AP165" s="9" t="s">
        <v>2680</v>
      </c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76.5" hidden="false" customHeight="true" outlineLevel="0" collapsed="false">
      <c r="A166" s="6" t="s">
        <v>1</v>
      </c>
      <c r="B166" s="6" t="n">
        <v>20</v>
      </c>
      <c r="C166" s="6" t="n">
        <v>41165107</v>
      </c>
      <c r="D166" s="6" t="s">
        <v>1282</v>
      </c>
      <c r="E166" s="6" t="s">
        <v>757</v>
      </c>
      <c r="F166" s="6" t="s">
        <v>1283</v>
      </c>
      <c r="G166" s="6" t="s">
        <v>123</v>
      </c>
      <c r="H166" s="6" t="s">
        <v>2681</v>
      </c>
      <c r="I166" s="6"/>
      <c r="J166" s="6" t="s">
        <v>123</v>
      </c>
      <c r="K166" s="6" t="s">
        <v>127</v>
      </c>
      <c r="L166" s="6" t="s">
        <v>2682</v>
      </c>
      <c r="M166" s="6" t="n">
        <v>4162</v>
      </c>
      <c r="N166" s="7" t="n">
        <v>0.14</v>
      </c>
      <c r="O166" s="6"/>
      <c r="P166" s="6" t="s">
        <v>123</v>
      </c>
      <c r="Q166" s="6" t="s">
        <v>123</v>
      </c>
      <c r="R166" s="6" t="s">
        <v>123</v>
      </c>
      <c r="S166" s="10" t="str">
        <f aca="false">HYPERLINK("https://www.ncbi.nlm.nih.gov/snp/rs6016521", "rs6016521")</f>
        <v>rs6016521</v>
      </c>
      <c r="T166" s="10" t="n">
        <f aca="false">HYPERLINK("https://gnomad.broadinstitute.org/variant/20-41165107-G-C?dataset=gnomad_r4", 0.00779988)</f>
        <v>0.00779988</v>
      </c>
      <c r="U166" s="10" t="n">
        <f aca="false">HYPERLINK("https://gnomad.broadinstitute.org/variant/20-41165107-G-C?dataset=gnomad_r4", 0.000801473)</f>
        <v>0.000801473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-29</v>
      </c>
      <c r="AA166" s="6" t="n">
        <v>-6</v>
      </c>
      <c r="AB166" s="6" t="n">
        <v>-6</v>
      </c>
      <c r="AC166" s="6" t="n">
        <v>-4</v>
      </c>
      <c r="AD166" s="6" t="n">
        <v>2.883</v>
      </c>
      <c r="AE166" s="6" t="s">
        <v>124</v>
      </c>
      <c r="AF166" s="6" t="s">
        <v>123</v>
      </c>
      <c r="AG166" s="6" t="s">
        <v>123</v>
      </c>
      <c r="AH166" s="6" t="s">
        <v>123</v>
      </c>
      <c r="AI166" s="6" t="s">
        <v>123</v>
      </c>
      <c r="AJ166" s="8"/>
      <c r="AK166" s="8"/>
      <c r="AL166" s="8"/>
      <c r="AM166" s="8"/>
      <c r="AN166" s="8"/>
      <c r="AO166" s="8"/>
      <c r="AP166" s="9" t="s">
        <v>2683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76.5" hidden="false" customHeight="true" outlineLevel="0" collapsed="false">
      <c r="A167" s="6" t="s">
        <v>1</v>
      </c>
      <c r="B167" s="6" t="n">
        <v>20</v>
      </c>
      <c r="C167" s="6" t="n">
        <v>41169148</v>
      </c>
      <c r="D167" s="6" t="s">
        <v>1282</v>
      </c>
      <c r="E167" s="6" t="s">
        <v>757</v>
      </c>
      <c r="F167" s="6" t="s">
        <v>1283</v>
      </c>
      <c r="G167" s="6" t="s">
        <v>2684</v>
      </c>
      <c r="H167" s="6" t="s">
        <v>2685</v>
      </c>
      <c r="I167" s="6" t="s">
        <v>2686</v>
      </c>
      <c r="J167" s="6" t="s">
        <v>2687</v>
      </c>
      <c r="K167" s="6" t="s">
        <v>1813</v>
      </c>
      <c r="L167" s="6" t="s">
        <v>2688</v>
      </c>
      <c r="M167" s="6" t="n">
        <v>4607</v>
      </c>
      <c r="N167" s="7" t="n">
        <v>0.295</v>
      </c>
      <c r="O167" s="6"/>
      <c r="P167" s="10" t="n">
        <f aca="false">HYPERLINK("https://www.ncbi.nlm.nih.gov/clinvar/variation/713391", 713391)</f>
        <v>713391</v>
      </c>
      <c r="Q167" s="6" t="s">
        <v>418</v>
      </c>
      <c r="R167" s="6" t="s">
        <v>181</v>
      </c>
      <c r="S167" s="10" t="str">
        <f aca="false">HYPERLINK("https://www.ncbi.nlm.nih.gov/snp/rs34012203", "rs34012203")</f>
        <v>rs34012203</v>
      </c>
      <c r="T167" s="10" t="n">
        <f aca="false">HYPERLINK("https://gnomad.broadinstitute.org/variant/20-41169148-C-T?dataset=gnomad_r4", 0.00433972)</f>
        <v>0.00433972</v>
      </c>
      <c r="U167" s="10" t="n">
        <f aca="false">HYPERLINK("https://gnomad.broadinstitute.org/variant/20-41169148-C-T?dataset=gnomad_r4", 0.00528249)</f>
        <v>0.00528249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-10</v>
      </c>
      <c r="AA167" s="6" t="n">
        <v>-38</v>
      </c>
      <c r="AB167" s="6" t="n">
        <v>-6</v>
      </c>
      <c r="AC167" s="6" t="n">
        <v>27</v>
      </c>
      <c r="AD167" s="6" t="n">
        <v>7.357</v>
      </c>
      <c r="AE167" s="6" t="s">
        <v>124</v>
      </c>
      <c r="AF167" s="6" t="s">
        <v>123</v>
      </c>
      <c r="AG167" s="6" t="s">
        <v>123</v>
      </c>
      <c r="AH167" s="6" t="s">
        <v>123</v>
      </c>
      <c r="AI167" s="6" t="s">
        <v>123</v>
      </c>
      <c r="AJ167" s="8"/>
      <c r="AK167" s="8"/>
      <c r="AL167" s="8"/>
      <c r="AM167" s="8"/>
      <c r="AN167" s="8"/>
      <c r="AO167" s="8"/>
      <c r="AP167" s="9" t="s">
        <v>2689</v>
      </c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76.5" hidden="false" customHeight="true" outlineLevel="0" collapsed="false">
      <c r="A168" s="6" t="s">
        <v>1</v>
      </c>
      <c r="B168" s="6" t="n">
        <v>16</v>
      </c>
      <c r="C168" s="6" t="n">
        <v>81870842</v>
      </c>
      <c r="D168" s="6" t="s">
        <v>1290</v>
      </c>
      <c r="E168" s="6" t="s">
        <v>1291</v>
      </c>
      <c r="F168" s="6" t="s">
        <v>1292</v>
      </c>
      <c r="G168" s="6" t="s">
        <v>123</v>
      </c>
      <c r="H168" s="6" t="s">
        <v>2690</v>
      </c>
      <c r="I168" s="6"/>
      <c r="J168" s="6" t="s">
        <v>123</v>
      </c>
      <c r="K168" s="6" t="s">
        <v>141</v>
      </c>
      <c r="L168" s="6" t="s">
        <v>2691</v>
      </c>
      <c r="M168" s="6" t="n">
        <v>3206</v>
      </c>
      <c r="N168" s="7" t="n">
        <v>0.179</v>
      </c>
      <c r="O168" s="6" t="s">
        <v>1879</v>
      </c>
      <c r="P168" s="10" t="n">
        <f aca="false">HYPERLINK("https://www.ncbi.nlm.nih.gov/clinvar/variation/472902", 472902)</f>
        <v>472902</v>
      </c>
      <c r="Q168" s="6" t="s">
        <v>418</v>
      </c>
      <c r="R168" s="6" t="s">
        <v>2692</v>
      </c>
      <c r="S168" s="10" t="str">
        <f aca="false">HYPERLINK("https://www.ncbi.nlm.nih.gov/snp/rs62046684", "rs62046684")</f>
        <v>rs62046684</v>
      </c>
      <c r="T168" s="10" t="n">
        <f aca="false">HYPERLINK("https://gnomad.broadinstitute.org/variant/16-81870842-A-G?dataset=gnomad_r4", 0.0289709)</f>
        <v>0.0289709</v>
      </c>
      <c r="U168" s="10" t="n">
        <f aca="false">HYPERLINK("https://gnomad.broadinstitute.org/variant/16-81870842-A-G?dataset=gnomad_r4", 0.0389851)</f>
        <v>0.0389851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10</v>
      </c>
      <c r="AA168" s="6" t="n">
        <v>17</v>
      </c>
      <c r="AB168" s="6" t="n">
        <v>27</v>
      </c>
      <c r="AC168" s="6" t="n">
        <v>10</v>
      </c>
      <c r="AD168" s="6" t="n">
        <v>0.174</v>
      </c>
      <c r="AE168" s="6" t="s">
        <v>124</v>
      </c>
      <c r="AF168" s="6" t="s">
        <v>123</v>
      </c>
      <c r="AG168" s="6" t="s">
        <v>123</v>
      </c>
      <c r="AH168" s="6" t="s">
        <v>123</v>
      </c>
      <c r="AI168" s="6" t="s">
        <v>123</v>
      </c>
      <c r="AJ168" s="8"/>
      <c r="AK168" s="8"/>
      <c r="AL168" s="8"/>
      <c r="AM168" s="8"/>
      <c r="AN168" s="8"/>
      <c r="AO168" s="8"/>
      <c r="AP168" s="9" t="s">
        <v>2693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76.5" hidden="false" customHeight="true" outlineLevel="0" collapsed="false">
      <c r="A169" s="6" t="s">
        <v>1</v>
      </c>
      <c r="B169" s="6" t="n">
        <v>16</v>
      </c>
      <c r="C169" s="6" t="n">
        <v>81956850</v>
      </c>
      <c r="D169" s="6" t="s">
        <v>1290</v>
      </c>
      <c r="E169" s="6" t="s">
        <v>1291</v>
      </c>
      <c r="F169" s="6" t="s">
        <v>1292</v>
      </c>
      <c r="G169" s="6" t="s">
        <v>2694</v>
      </c>
      <c r="H169" s="6" t="s">
        <v>2695</v>
      </c>
      <c r="I169" s="6" t="s">
        <v>2696</v>
      </c>
      <c r="J169" s="6" t="s">
        <v>2697</v>
      </c>
      <c r="K169" s="6" t="s">
        <v>1813</v>
      </c>
      <c r="L169" s="6" t="s">
        <v>2698</v>
      </c>
      <c r="M169" s="6" t="n">
        <v>3336</v>
      </c>
      <c r="N169" s="7" t="n">
        <v>0.0692</v>
      </c>
      <c r="O169" s="6" t="s">
        <v>1879</v>
      </c>
      <c r="P169" s="10" t="n">
        <f aca="false">HYPERLINK("https://www.ncbi.nlm.nih.gov/clinvar/variation/618327", 618327)</f>
        <v>618327</v>
      </c>
      <c r="Q169" s="6" t="s">
        <v>283</v>
      </c>
      <c r="R169" s="6" t="s">
        <v>2699</v>
      </c>
      <c r="S169" s="10" t="str">
        <f aca="false">HYPERLINK("https://www.ncbi.nlm.nih.gov/snp/rs76506409", "rs76506409")</f>
        <v>rs76506409</v>
      </c>
      <c r="T169" s="10" t="n">
        <f aca="false">HYPERLINK("https://gnomad.broadinstitute.org/variant/16-81956850-C-A?dataset=gnomad_r4", 0.00863337)</f>
        <v>0.00863337</v>
      </c>
      <c r="U169" s="10" t="n">
        <f aca="false">HYPERLINK("https://gnomad.broadinstitute.org/variant/16-81956850-C-A?dataset=gnomad_r4", 0.000844979)</f>
        <v>0.000844979</v>
      </c>
      <c r="V169" s="6" t="n">
        <v>0</v>
      </c>
      <c r="W169" s="6" t="n">
        <v>0</v>
      </c>
      <c r="X169" s="6" t="n">
        <v>0</v>
      </c>
      <c r="Y169" s="6" t="n">
        <v>0</v>
      </c>
      <c r="Z169" s="6" t="n">
        <v>4</v>
      </c>
      <c r="AA169" s="6" t="n">
        <v>-2</v>
      </c>
      <c r="AB169" s="6" t="n">
        <v>33</v>
      </c>
      <c r="AC169" s="6" t="n">
        <v>26</v>
      </c>
      <c r="AD169" s="6" t="n">
        <v>0.448</v>
      </c>
      <c r="AE169" s="6" t="s">
        <v>611</v>
      </c>
      <c r="AF169" s="6" t="s">
        <v>123</v>
      </c>
      <c r="AG169" s="6" t="s">
        <v>123</v>
      </c>
      <c r="AH169" s="6" t="s">
        <v>123</v>
      </c>
      <c r="AI169" s="6" t="s">
        <v>123</v>
      </c>
      <c r="AJ169" s="8"/>
      <c r="AK169" s="8"/>
      <c r="AL169" s="8"/>
      <c r="AM169" s="8"/>
      <c r="AN169" s="8"/>
      <c r="AO169" s="8"/>
      <c r="AP169" s="9" t="s">
        <v>2700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76.5" hidden="false" customHeight="true" outlineLevel="0" collapsed="false">
      <c r="A170" s="6" t="s">
        <v>1</v>
      </c>
      <c r="B170" s="6" t="n">
        <v>16</v>
      </c>
      <c r="C170" s="6" t="n">
        <v>81946172</v>
      </c>
      <c r="D170" s="6" t="s">
        <v>1290</v>
      </c>
      <c r="E170" s="6" t="s">
        <v>1291</v>
      </c>
      <c r="F170" s="6" t="s">
        <v>1292</v>
      </c>
      <c r="G170" s="6" t="s">
        <v>123</v>
      </c>
      <c r="H170" s="6" t="s">
        <v>2701</v>
      </c>
      <c r="I170" s="6"/>
      <c r="J170" s="6" t="s">
        <v>123</v>
      </c>
      <c r="K170" s="6" t="s">
        <v>127</v>
      </c>
      <c r="L170" s="6" t="s">
        <v>2702</v>
      </c>
      <c r="M170" s="6" t="n">
        <v>3036</v>
      </c>
      <c r="N170" s="7" t="n">
        <v>0.0641</v>
      </c>
      <c r="O170" s="6" t="s">
        <v>1879</v>
      </c>
      <c r="P170" s="10" t="n">
        <f aca="false">HYPERLINK("https://www.ncbi.nlm.nih.gov/clinvar/variation/791720", 791720)</f>
        <v>791720</v>
      </c>
      <c r="Q170" s="6" t="s">
        <v>418</v>
      </c>
      <c r="R170" s="6" t="s">
        <v>2699</v>
      </c>
      <c r="S170" s="10" t="str">
        <f aca="false">HYPERLINK("https://www.ncbi.nlm.nih.gov/snp/rs74856898", "rs74856898")</f>
        <v>rs74856898</v>
      </c>
      <c r="T170" s="10" t="n">
        <f aca="false">HYPERLINK("https://gnomad.broadinstitute.org/variant/16-81946172-C-T?dataset=gnomad_r4", 0.00872158)</f>
        <v>0.00872158</v>
      </c>
      <c r="U170" s="10" t="n">
        <f aca="false">HYPERLINK("https://gnomad.broadinstitute.org/variant/16-81946172-C-T?dataset=gnomad_r4", 0.000847974)</f>
        <v>0.000847974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3</v>
      </c>
      <c r="AA170" s="6" t="n">
        <v>10</v>
      </c>
      <c r="AB170" s="6" t="n">
        <v>-48</v>
      </c>
      <c r="AC170" s="6" t="n">
        <v>9</v>
      </c>
      <c r="AD170" s="6" t="n">
        <v>8.124</v>
      </c>
      <c r="AE170" s="6" t="s">
        <v>611</v>
      </c>
      <c r="AF170" s="6" t="s">
        <v>123</v>
      </c>
      <c r="AG170" s="6" t="s">
        <v>123</v>
      </c>
      <c r="AH170" s="6" t="s">
        <v>123</v>
      </c>
      <c r="AI170" s="6" t="s">
        <v>123</v>
      </c>
      <c r="AJ170" s="8"/>
      <c r="AK170" s="8"/>
      <c r="AL170" s="8"/>
      <c r="AM170" s="8"/>
      <c r="AN170" s="8"/>
      <c r="AO170" s="8"/>
      <c r="AP170" s="9" t="s">
        <v>2703</v>
      </c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76.5" hidden="false" customHeight="true" outlineLevel="0" collapsed="false">
      <c r="A171" s="6" t="s">
        <v>1</v>
      </c>
      <c r="B171" s="6" t="n">
        <v>17</v>
      </c>
      <c r="C171" s="6" t="n">
        <v>1676350</v>
      </c>
      <c r="D171" s="6" t="s">
        <v>1346</v>
      </c>
      <c r="E171" s="6" t="s">
        <v>6</v>
      </c>
      <c r="F171" s="6" t="s">
        <v>1347</v>
      </c>
      <c r="G171" s="6" t="s">
        <v>2704</v>
      </c>
      <c r="H171" s="6" t="s">
        <v>2705</v>
      </c>
      <c r="I171" s="6" t="s">
        <v>2706</v>
      </c>
      <c r="J171" s="6" t="s">
        <v>2707</v>
      </c>
      <c r="K171" s="6" t="s">
        <v>1813</v>
      </c>
      <c r="L171" s="6" t="s">
        <v>2708</v>
      </c>
      <c r="M171" s="6" t="n">
        <v>4187</v>
      </c>
      <c r="N171" s="7" t="n">
        <v>0.0657</v>
      </c>
      <c r="O171" s="6"/>
      <c r="P171" s="10" t="n">
        <f aca="false">HYPERLINK("https://www.ncbi.nlm.nih.gov/clinvar/variation/321904", 321904)</f>
        <v>321904</v>
      </c>
      <c r="Q171" s="6" t="s">
        <v>418</v>
      </c>
      <c r="R171" s="6" t="s">
        <v>2709</v>
      </c>
      <c r="S171" s="10" t="str">
        <f aca="false">HYPERLINK("https://www.ncbi.nlm.nih.gov/snp/rs114284408", "rs114284408")</f>
        <v>rs114284408</v>
      </c>
      <c r="T171" s="10" t="n">
        <f aca="false">HYPERLINK("https://gnomad.broadinstitute.org/variant/17-1676350-C-T?dataset=gnomad_r4", 0.0114542)</f>
        <v>0.0114542</v>
      </c>
      <c r="U171" s="10" t="n">
        <f aca="false">HYPERLINK("https://gnomad.broadinstitute.org/variant/17-1676350-C-T?dataset=gnomad_r4", 0.0015357)</f>
        <v>0.0015357</v>
      </c>
      <c r="V171" s="6" t="n">
        <v>0.01</v>
      </c>
      <c r="W171" s="6" t="n">
        <v>0.01</v>
      </c>
      <c r="X171" s="6" t="n">
        <v>0</v>
      </c>
      <c r="Y171" s="6" t="n">
        <v>0</v>
      </c>
      <c r="Z171" s="6" t="n">
        <v>-2</v>
      </c>
      <c r="AA171" s="6" t="n">
        <v>20</v>
      </c>
      <c r="AB171" s="6" t="n">
        <v>-2</v>
      </c>
      <c r="AC171" s="6" t="n">
        <v>-38</v>
      </c>
      <c r="AD171" s="6" t="n">
        <v>3.465</v>
      </c>
      <c r="AE171" s="6" t="s">
        <v>124</v>
      </c>
      <c r="AF171" s="6" t="s">
        <v>123</v>
      </c>
      <c r="AG171" s="6" t="s">
        <v>123</v>
      </c>
      <c r="AH171" s="6" t="s">
        <v>123</v>
      </c>
      <c r="AI171" s="6" t="s">
        <v>123</v>
      </c>
      <c r="AJ171" s="8"/>
      <c r="AK171" s="8"/>
      <c r="AL171" s="8"/>
      <c r="AM171" s="8"/>
      <c r="AN171" s="8"/>
      <c r="AO171" s="8"/>
      <c r="AP171" s="9" t="s">
        <v>2710</v>
      </c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76.5" hidden="false" customHeight="true" outlineLevel="0" collapsed="false">
      <c r="A172" s="6" t="s">
        <v>1</v>
      </c>
      <c r="B172" s="6" t="n">
        <v>17</v>
      </c>
      <c r="C172" s="6" t="n">
        <v>1680838</v>
      </c>
      <c r="D172" s="6" t="s">
        <v>1346</v>
      </c>
      <c r="E172" s="6" t="s">
        <v>6</v>
      </c>
      <c r="F172" s="6" t="s">
        <v>1347</v>
      </c>
      <c r="G172" s="6" t="s">
        <v>123</v>
      </c>
      <c r="H172" s="6" t="s">
        <v>2711</v>
      </c>
      <c r="I172" s="6"/>
      <c r="J172" s="6" t="s">
        <v>123</v>
      </c>
      <c r="K172" s="6" t="s">
        <v>127</v>
      </c>
      <c r="L172" s="6" t="s">
        <v>2712</v>
      </c>
      <c r="M172" s="6" t="n">
        <v>3858</v>
      </c>
      <c r="N172" s="7" t="n">
        <v>0.1</v>
      </c>
      <c r="O172" s="6"/>
      <c r="P172" s="10" t="n">
        <f aca="false">HYPERLINK("https://www.ncbi.nlm.nih.gov/clinvar/variation/321914", 321914)</f>
        <v>321914</v>
      </c>
      <c r="Q172" s="6" t="s">
        <v>418</v>
      </c>
      <c r="R172" s="6" t="s">
        <v>2709</v>
      </c>
      <c r="S172" s="10" t="str">
        <f aca="false">HYPERLINK("https://www.ncbi.nlm.nih.gov/snp/rs62089988", "rs62089988")</f>
        <v>rs62089988</v>
      </c>
      <c r="T172" s="10" t="n">
        <f aca="false">HYPERLINK("https://gnomad.broadinstitute.org/variant/17-1680838-T-C?dataset=gnomad_r4", 0.0249238)</f>
        <v>0.0249238</v>
      </c>
      <c r="U172" s="10" t="n">
        <f aca="false">HYPERLINK("https://gnomad.broadinstitute.org/variant/17-1680838-T-C?dataset=gnomad_r4", 0.0337793)</f>
        <v>0.0337793</v>
      </c>
      <c r="V172" s="6" t="n">
        <v>0</v>
      </c>
      <c r="W172" s="6" t="n">
        <v>0</v>
      </c>
      <c r="X172" s="6" t="n">
        <v>0</v>
      </c>
      <c r="Y172" s="6" t="n">
        <v>0</v>
      </c>
      <c r="Z172" s="6" t="n">
        <v>-7</v>
      </c>
      <c r="AA172" s="6" t="n">
        <v>-44</v>
      </c>
      <c r="AB172" s="6" t="n">
        <v>-25</v>
      </c>
      <c r="AC172" s="6" t="n">
        <v>-6</v>
      </c>
      <c r="AD172" s="6" t="n">
        <v>0.013</v>
      </c>
      <c r="AE172" s="6" t="s">
        <v>124</v>
      </c>
      <c r="AF172" s="6" t="s">
        <v>123</v>
      </c>
      <c r="AG172" s="6" t="s">
        <v>123</v>
      </c>
      <c r="AH172" s="6" t="s">
        <v>123</v>
      </c>
      <c r="AI172" s="6" t="s">
        <v>123</v>
      </c>
      <c r="AJ172" s="8"/>
      <c r="AK172" s="8"/>
      <c r="AL172" s="8"/>
      <c r="AM172" s="8"/>
      <c r="AN172" s="8"/>
      <c r="AO172" s="8"/>
      <c r="AP172" s="9" t="s">
        <v>2713</v>
      </c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76.5" hidden="false" customHeight="true" outlineLevel="0" collapsed="false">
      <c r="A173" s="6" t="s">
        <v>1</v>
      </c>
      <c r="B173" s="6" t="n">
        <v>17</v>
      </c>
      <c r="C173" s="6" t="n">
        <v>1674691</v>
      </c>
      <c r="D173" s="6" t="s">
        <v>1346</v>
      </c>
      <c r="E173" s="6" t="s">
        <v>6</v>
      </c>
      <c r="F173" s="6" t="s">
        <v>1347</v>
      </c>
      <c r="G173" s="6" t="s">
        <v>123</v>
      </c>
      <c r="H173" s="6" t="s">
        <v>2714</v>
      </c>
      <c r="I173" s="6"/>
      <c r="J173" s="6" t="s">
        <v>123</v>
      </c>
      <c r="K173" s="6" t="s">
        <v>141</v>
      </c>
      <c r="L173" s="6" t="s">
        <v>2715</v>
      </c>
      <c r="M173" s="6" t="n">
        <v>2590</v>
      </c>
      <c r="N173" s="7" t="n">
        <v>0.0965</v>
      </c>
      <c r="O173" s="6"/>
      <c r="P173" s="10" t="n">
        <f aca="false">HYPERLINK("https://www.ncbi.nlm.nih.gov/clinvar/variation/321895", 321895)</f>
        <v>321895</v>
      </c>
      <c r="Q173" s="6" t="s">
        <v>418</v>
      </c>
      <c r="R173" s="6" t="s">
        <v>2716</v>
      </c>
      <c r="S173" s="10" t="str">
        <f aca="false">HYPERLINK("https://www.ncbi.nlm.nih.gov/snp/rs11652160", "rs11652160")</f>
        <v>rs11652160</v>
      </c>
      <c r="T173" s="10" t="n">
        <f aca="false">HYPERLINK("https://gnomad.broadinstitute.org/variant/17-1674691-A-C?dataset=gnomad_r4", 0.0103856)</f>
        <v>0.0103856</v>
      </c>
      <c r="U173" s="10" t="n">
        <f aca="false">HYPERLINK("https://gnomad.broadinstitute.org/variant/17-1674691-A-C?dataset=gnomad_r4", 0.0149907)</f>
        <v>0.0149907</v>
      </c>
      <c r="V173" s="6" t="n">
        <v>0.01</v>
      </c>
      <c r="W173" s="6" t="n">
        <v>0</v>
      </c>
      <c r="X173" s="6" t="n">
        <v>0</v>
      </c>
      <c r="Y173" s="6" t="n">
        <v>0</v>
      </c>
      <c r="Z173" s="6" t="n">
        <v>-46</v>
      </c>
      <c r="AA173" s="6" t="n">
        <v>3</v>
      </c>
      <c r="AB173" s="6" t="n">
        <v>-11</v>
      </c>
      <c r="AC173" s="6" t="n">
        <v>-47</v>
      </c>
      <c r="AD173" s="6" t="n">
        <v>14.46</v>
      </c>
      <c r="AE173" s="6" t="s">
        <v>124</v>
      </c>
      <c r="AF173" s="6" t="s">
        <v>123</v>
      </c>
      <c r="AG173" s="6" t="s">
        <v>123</v>
      </c>
      <c r="AH173" s="6" t="s">
        <v>123</v>
      </c>
      <c r="AI173" s="6" t="s">
        <v>123</v>
      </c>
      <c r="AJ173" s="8"/>
      <c r="AK173" s="8"/>
      <c r="AL173" s="8"/>
      <c r="AM173" s="8"/>
      <c r="AN173" s="8"/>
      <c r="AO173" s="8"/>
      <c r="AP173" s="9" t="s">
        <v>2717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76.5" hidden="false" customHeight="true" outlineLevel="0" collapsed="false">
      <c r="A174" s="6" t="s">
        <v>1</v>
      </c>
      <c r="B174" s="6" t="n">
        <v>17</v>
      </c>
      <c r="C174" s="6" t="n">
        <v>1662167</v>
      </c>
      <c r="D174" s="6" t="s">
        <v>1346</v>
      </c>
      <c r="E174" s="6" t="s">
        <v>6</v>
      </c>
      <c r="F174" s="6" t="s">
        <v>1347</v>
      </c>
      <c r="G174" s="6" t="s">
        <v>123</v>
      </c>
      <c r="H174" s="6" t="s">
        <v>2718</v>
      </c>
      <c r="I174" s="6"/>
      <c r="J174" s="6" t="s">
        <v>123</v>
      </c>
      <c r="K174" s="6" t="s">
        <v>141</v>
      </c>
      <c r="L174" s="6" t="s">
        <v>2719</v>
      </c>
      <c r="M174" s="6" t="n">
        <v>2416</v>
      </c>
      <c r="N174" s="7" t="n">
        <v>0.802</v>
      </c>
      <c r="O174" s="6"/>
      <c r="P174" s="10" t="n">
        <f aca="false">HYPERLINK("https://www.ncbi.nlm.nih.gov/clinvar/variation/321888", 321888)</f>
        <v>321888</v>
      </c>
      <c r="Q174" s="6" t="s">
        <v>418</v>
      </c>
      <c r="R174" s="6" t="s">
        <v>2709</v>
      </c>
      <c r="S174" s="10" t="str">
        <f aca="false">HYPERLINK("https://www.ncbi.nlm.nih.gov/snp/rs3814969", "rs3814969")</f>
        <v>rs3814969</v>
      </c>
      <c r="T174" s="10" t="n">
        <f aca="false">HYPERLINK("https://gnomad.broadinstitute.org/variant/17-1662167-A-G?dataset=gnomad_r4", 0.168663)</f>
        <v>0.168663</v>
      </c>
      <c r="U174" s="10" t="n">
        <f aca="false">HYPERLINK("https://gnomad.broadinstitute.org/variant/17-1662167-A-G?dataset=gnomad_r4", 0.0399667)</f>
        <v>0.0399667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-36</v>
      </c>
      <c r="AA174" s="6" t="n">
        <v>-14</v>
      </c>
      <c r="AB174" s="6" t="n">
        <v>-14</v>
      </c>
      <c r="AC174" s="6" t="n">
        <v>17</v>
      </c>
      <c r="AD174" s="6" t="n">
        <v>0.424</v>
      </c>
      <c r="AE174" s="6" t="s">
        <v>124</v>
      </c>
      <c r="AF174" s="6" t="s">
        <v>123</v>
      </c>
      <c r="AG174" s="6" t="s">
        <v>123</v>
      </c>
      <c r="AH174" s="6" t="s">
        <v>123</v>
      </c>
      <c r="AI174" s="6" t="s">
        <v>123</v>
      </c>
      <c r="AJ174" s="8"/>
      <c r="AK174" s="8"/>
      <c r="AL174" s="8"/>
      <c r="AM174" s="8"/>
      <c r="AN174" s="8"/>
      <c r="AO174" s="8"/>
      <c r="AP174" s="9" t="s">
        <v>2720</v>
      </c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76.5" hidden="false" customHeight="true" outlineLevel="0" collapsed="false">
      <c r="A175" s="6" t="s">
        <v>1</v>
      </c>
      <c r="B175" s="6" t="n">
        <v>17</v>
      </c>
      <c r="C175" s="6" t="n">
        <v>1661989</v>
      </c>
      <c r="D175" s="6" t="s">
        <v>1346</v>
      </c>
      <c r="E175" s="6" t="s">
        <v>6</v>
      </c>
      <c r="F175" s="6" t="s">
        <v>1347</v>
      </c>
      <c r="G175" s="6" t="s">
        <v>2721</v>
      </c>
      <c r="H175" s="6" t="s">
        <v>2722</v>
      </c>
      <c r="I175" s="6" t="s">
        <v>2723</v>
      </c>
      <c r="J175" s="6" t="s">
        <v>2724</v>
      </c>
      <c r="K175" s="6" t="s">
        <v>1813</v>
      </c>
      <c r="L175" s="6" t="s">
        <v>2725</v>
      </c>
      <c r="M175" s="6" t="n">
        <v>4493</v>
      </c>
      <c r="N175" s="7" t="n">
        <v>0.0975</v>
      </c>
      <c r="O175" s="6"/>
      <c r="P175" s="10" t="n">
        <f aca="false">HYPERLINK("https://www.ncbi.nlm.nih.gov/clinvar/variation/321887", 321887)</f>
        <v>321887</v>
      </c>
      <c r="Q175" s="6" t="s">
        <v>418</v>
      </c>
      <c r="R175" s="6" t="s">
        <v>2716</v>
      </c>
      <c r="S175" s="10" t="str">
        <f aca="false">HYPERLINK("https://www.ncbi.nlm.nih.gov/snp/rs35169383", "rs35169383")</f>
        <v>rs35169383</v>
      </c>
      <c r="T175" s="10" t="n">
        <f aca="false">HYPERLINK("https://gnomad.broadinstitute.org/variant/17-1661989-C-T?dataset=gnomad_r4", 0.0273713)</f>
        <v>0.0273713</v>
      </c>
      <c r="U175" s="10" t="n">
        <f aca="false">HYPERLINK("https://gnomad.broadinstitute.org/variant/17-1661989-C-T?dataset=gnomad_r4", 0.0350048)</f>
        <v>0.0350048</v>
      </c>
      <c r="V175" s="6" t="n">
        <v>0</v>
      </c>
      <c r="W175" s="6" t="n">
        <v>0</v>
      </c>
      <c r="X175" s="6" t="n">
        <v>0.04</v>
      </c>
      <c r="Y175" s="6" t="n">
        <v>0</v>
      </c>
      <c r="Z175" s="6" t="n">
        <v>-2</v>
      </c>
      <c r="AA175" s="6" t="n">
        <v>-22</v>
      </c>
      <c r="AB175" s="6" t="n">
        <v>14</v>
      </c>
      <c r="AC175" s="6" t="n">
        <v>0</v>
      </c>
      <c r="AD175" s="6" t="n">
        <v>3.813</v>
      </c>
      <c r="AE175" s="6" t="s">
        <v>124</v>
      </c>
      <c r="AF175" s="6" t="s">
        <v>123</v>
      </c>
      <c r="AG175" s="6" t="s">
        <v>123</v>
      </c>
      <c r="AH175" s="6" t="s">
        <v>123</v>
      </c>
      <c r="AI175" s="6" t="s">
        <v>123</v>
      </c>
      <c r="AJ175" s="8"/>
      <c r="AK175" s="8"/>
      <c r="AL175" s="8"/>
      <c r="AM175" s="8"/>
      <c r="AN175" s="8"/>
      <c r="AO175" s="8"/>
      <c r="AP175" s="9" t="s">
        <v>2726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76.5" hidden="false" customHeight="true" outlineLevel="0" collapsed="false">
      <c r="A176" s="6" t="s">
        <v>1</v>
      </c>
      <c r="B176" s="6" t="n">
        <v>17</v>
      </c>
      <c r="C176" s="6" t="n">
        <v>1660591</v>
      </c>
      <c r="D176" s="6" t="s">
        <v>1346</v>
      </c>
      <c r="E176" s="6" t="s">
        <v>6</v>
      </c>
      <c r="F176" s="6" t="s">
        <v>1347</v>
      </c>
      <c r="G176" s="6" t="s">
        <v>123</v>
      </c>
      <c r="H176" s="6" t="s">
        <v>2727</v>
      </c>
      <c r="I176" s="6"/>
      <c r="J176" s="6" t="s">
        <v>123</v>
      </c>
      <c r="K176" s="6" t="s">
        <v>141</v>
      </c>
      <c r="L176" s="6" t="s">
        <v>2728</v>
      </c>
      <c r="M176" s="6" t="n">
        <v>4141</v>
      </c>
      <c r="N176" s="7" t="n">
        <v>0.0945</v>
      </c>
      <c r="O176" s="6"/>
      <c r="P176" s="10" t="n">
        <f aca="false">HYPERLINK("https://www.ncbi.nlm.nih.gov/clinvar/variation/321884", 321884)</f>
        <v>321884</v>
      </c>
      <c r="Q176" s="6" t="s">
        <v>418</v>
      </c>
      <c r="R176" s="6" t="s">
        <v>2709</v>
      </c>
      <c r="S176" s="10" t="str">
        <f aca="false">HYPERLINK("https://www.ncbi.nlm.nih.gov/snp/rs62088058", "rs62088058")</f>
        <v>rs62088058</v>
      </c>
      <c r="T176" s="10" t="n">
        <f aca="false">HYPERLINK("https://gnomad.broadinstitute.org/variant/17-1660591-C-T?dataset=gnomad_r4", 0.0273032)</f>
        <v>0.0273032</v>
      </c>
      <c r="U176" s="10" t="n">
        <f aca="false">HYPERLINK("https://gnomad.broadinstitute.org/variant/17-1660591-C-T?dataset=gnomad_r4", 0.0349772)</f>
        <v>0.0349772</v>
      </c>
      <c r="V176" s="6" t="n">
        <v>0</v>
      </c>
      <c r="W176" s="6" t="n">
        <v>0</v>
      </c>
      <c r="X176" s="6" t="n">
        <v>0</v>
      </c>
      <c r="Y176" s="6" t="n">
        <v>0</v>
      </c>
      <c r="Z176" s="6" t="n">
        <v>-13</v>
      </c>
      <c r="AA176" s="6" t="n">
        <v>-23</v>
      </c>
      <c r="AB176" s="6" t="n">
        <v>41</v>
      </c>
      <c r="AC176" s="6" t="n">
        <v>-12</v>
      </c>
      <c r="AD176" s="6" t="n">
        <v>0.899</v>
      </c>
      <c r="AE176" s="6" t="s">
        <v>124</v>
      </c>
      <c r="AF176" s="6" t="s">
        <v>123</v>
      </c>
      <c r="AG176" s="6" t="s">
        <v>123</v>
      </c>
      <c r="AH176" s="6" t="s">
        <v>123</v>
      </c>
      <c r="AI176" s="6" t="s">
        <v>123</v>
      </c>
      <c r="AJ176" s="8"/>
      <c r="AK176" s="8"/>
      <c r="AL176" s="8"/>
      <c r="AM176" s="8"/>
      <c r="AN176" s="8"/>
      <c r="AO176" s="8"/>
      <c r="AP176" s="9" t="s">
        <v>2729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76.5" hidden="false" customHeight="true" outlineLevel="0" collapsed="false">
      <c r="A177" s="6" t="s">
        <v>1</v>
      </c>
      <c r="B177" s="6" t="n">
        <v>17</v>
      </c>
      <c r="C177" s="6" t="n">
        <v>1653617</v>
      </c>
      <c r="D177" s="6" t="s">
        <v>1346</v>
      </c>
      <c r="E177" s="6" t="s">
        <v>6</v>
      </c>
      <c r="F177" s="6" t="s">
        <v>1347</v>
      </c>
      <c r="G177" s="6" t="s">
        <v>2730</v>
      </c>
      <c r="H177" s="6" t="s">
        <v>2731</v>
      </c>
      <c r="I177" s="6" t="s">
        <v>2732</v>
      </c>
      <c r="J177" s="6" t="s">
        <v>2733</v>
      </c>
      <c r="K177" s="6" t="s">
        <v>1813</v>
      </c>
      <c r="L177" s="6" t="s">
        <v>2734</v>
      </c>
      <c r="M177" s="6" t="n">
        <v>3753</v>
      </c>
      <c r="N177" s="7" t="n">
        <v>0.0883</v>
      </c>
      <c r="O177" s="6"/>
      <c r="P177" s="10" t="n">
        <f aca="false">HYPERLINK("https://www.ncbi.nlm.nih.gov/clinvar/variation/321875", 321875)</f>
        <v>321875</v>
      </c>
      <c r="Q177" s="6" t="s">
        <v>418</v>
      </c>
      <c r="R177" s="6" t="s">
        <v>2716</v>
      </c>
      <c r="S177" s="10" t="str">
        <f aca="false">HYPERLINK("https://www.ncbi.nlm.nih.gov/snp/rs11559309", "rs11559309")</f>
        <v>rs11559309</v>
      </c>
      <c r="T177" s="10" t="n">
        <f aca="false">HYPERLINK("https://gnomad.broadinstitute.org/variant/17-1653617-C-T?dataset=gnomad_r4", 0.0273341)</f>
        <v>0.0273341</v>
      </c>
      <c r="U177" s="10" t="n">
        <f aca="false">HYPERLINK("https://gnomad.broadinstitute.org/variant/17-1653617-C-T?dataset=gnomad_r4", 0.0350006)</f>
        <v>0.0350006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-2</v>
      </c>
      <c r="AA177" s="6" t="n">
        <v>-1</v>
      </c>
      <c r="AB177" s="6" t="n">
        <v>-2</v>
      </c>
      <c r="AC177" s="6" t="n">
        <v>-1</v>
      </c>
      <c r="AD177" s="6" t="n">
        <v>5.712</v>
      </c>
      <c r="AE177" s="6" t="s">
        <v>124</v>
      </c>
      <c r="AF177" s="6" t="s">
        <v>123</v>
      </c>
      <c r="AG177" s="6" t="s">
        <v>123</v>
      </c>
      <c r="AH177" s="6" t="s">
        <v>123</v>
      </c>
      <c r="AI177" s="6" t="s">
        <v>123</v>
      </c>
      <c r="AJ177" s="8"/>
      <c r="AK177" s="8"/>
      <c r="AL177" s="8"/>
      <c r="AM177" s="8"/>
      <c r="AN177" s="8"/>
      <c r="AO177" s="8"/>
      <c r="AP177" s="9" t="s">
        <v>2735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76.5" hidden="false" customHeight="true" outlineLevel="0" collapsed="false">
      <c r="A178" s="6" t="s">
        <v>1</v>
      </c>
      <c r="B178" s="6" t="n">
        <v>17</v>
      </c>
      <c r="C178" s="6" t="n">
        <v>1651476</v>
      </c>
      <c r="D178" s="6" t="s">
        <v>1346</v>
      </c>
      <c r="E178" s="6" t="s">
        <v>6</v>
      </c>
      <c r="F178" s="6" t="s">
        <v>1347</v>
      </c>
      <c r="G178" s="6" t="s">
        <v>2736</v>
      </c>
      <c r="H178" s="6" t="s">
        <v>2737</v>
      </c>
      <c r="I178" s="6" t="s">
        <v>2738</v>
      </c>
      <c r="J178" s="6" t="s">
        <v>2739</v>
      </c>
      <c r="K178" s="6" t="s">
        <v>1813</v>
      </c>
      <c r="L178" s="6" t="s">
        <v>2740</v>
      </c>
      <c r="M178" s="6" t="n">
        <v>4343</v>
      </c>
      <c r="N178" s="7" t="n">
        <v>0.9</v>
      </c>
      <c r="O178" s="6"/>
      <c r="P178" s="10" t="n">
        <f aca="false">HYPERLINK("https://www.ncbi.nlm.nih.gov/clinvar/variation/321874", 321874)</f>
        <v>321874</v>
      </c>
      <c r="Q178" s="6" t="s">
        <v>418</v>
      </c>
      <c r="R178" s="6" t="s">
        <v>2716</v>
      </c>
      <c r="S178" s="10" t="str">
        <f aca="false">HYPERLINK("https://www.ncbi.nlm.nih.gov/snp/rs1802491", "rs1802491")</f>
        <v>rs1802491</v>
      </c>
      <c r="T178" s="10" t="n">
        <f aca="false">HYPERLINK("https://gnomad.broadinstitute.org/variant/17-1651476-A-G?dataset=gnomad_r4", 0.202223)</f>
        <v>0.202223</v>
      </c>
      <c r="U178" s="10" t="n">
        <f aca="false">HYPERLINK("https://gnomad.broadinstitute.org/variant/17-1651476-A-G?dataset=gnomad_r4", 0.0755436)</f>
        <v>0.0755436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26</v>
      </c>
      <c r="AA178" s="6" t="n">
        <v>44</v>
      </c>
      <c r="AB178" s="6" t="n">
        <v>-50</v>
      </c>
      <c r="AC178" s="6" t="n">
        <v>-34</v>
      </c>
      <c r="AD178" s="6" t="n">
        <v>6.137</v>
      </c>
      <c r="AE178" s="6" t="s">
        <v>124</v>
      </c>
      <c r="AF178" s="6" t="s">
        <v>123</v>
      </c>
      <c r="AG178" s="6" t="s">
        <v>123</v>
      </c>
      <c r="AH178" s="6" t="s">
        <v>123</v>
      </c>
      <c r="AI178" s="6" t="s">
        <v>123</v>
      </c>
      <c r="AJ178" s="8"/>
      <c r="AK178" s="8"/>
      <c r="AL178" s="8"/>
      <c r="AM178" s="8"/>
      <c r="AN178" s="8"/>
      <c r="AO178" s="8"/>
      <c r="AP178" s="9" t="s">
        <v>2741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76.5" hidden="false" customHeight="true" outlineLevel="0" collapsed="false">
      <c r="A179" s="6" t="s">
        <v>1</v>
      </c>
      <c r="B179" s="6" t="n">
        <v>17</v>
      </c>
      <c r="C179" s="6" t="n">
        <v>1675976</v>
      </c>
      <c r="D179" s="6" t="s">
        <v>1346</v>
      </c>
      <c r="E179" s="6" t="s">
        <v>6</v>
      </c>
      <c r="F179" s="6" t="s">
        <v>1347</v>
      </c>
      <c r="G179" s="6" t="s">
        <v>2742</v>
      </c>
      <c r="H179" s="6" t="s">
        <v>2743</v>
      </c>
      <c r="I179" s="6" t="s">
        <v>2744</v>
      </c>
      <c r="J179" s="6" t="s">
        <v>2745</v>
      </c>
      <c r="K179" s="6" t="s">
        <v>1813</v>
      </c>
      <c r="L179" s="6" t="s">
        <v>2746</v>
      </c>
      <c r="M179" s="6" t="n">
        <v>4020</v>
      </c>
      <c r="N179" s="7" t="n">
        <v>0.0737</v>
      </c>
      <c r="O179" s="6" t="s">
        <v>1879</v>
      </c>
      <c r="P179" s="10" t="n">
        <f aca="false">HYPERLINK("https://www.ncbi.nlm.nih.gov/clinvar/variation/321901", 321901)</f>
        <v>321901</v>
      </c>
      <c r="Q179" s="6" t="s">
        <v>418</v>
      </c>
      <c r="R179" s="6" t="s">
        <v>2747</v>
      </c>
      <c r="S179" s="10" t="str">
        <f aca="false">HYPERLINK("https://www.ncbi.nlm.nih.gov/snp/rs35420265", "rs35420265")</f>
        <v>rs35420265</v>
      </c>
      <c r="T179" s="10" t="n">
        <f aca="false">HYPERLINK("https://gnomad.broadinstitute.org/variant/17-1675976-C-T?dataset=gnomad_r4", 0.013202)</f>
        <v>0.013202</v>
      </c>
      <c r="U179" s="10" t="n">
        <f aca="false">HYPERLINK("https://gnomad.broadinstitute.org/variant/17-1675976-C-T?dataset=gnomad_r4", 0.00138462)</f>
        <v>0.00138462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-34</v>
      </c>
      <c r="AA179" s="6" t="n">
        <v>23</v>
      </c>
      <c r="AB179" s="6" t="n">
        <v>38</v>
      </c>
      <c r="AC179" s="6" t="n">
        <v>-48</v>
      </c>
      <c r="AD179" s="6" t="n">
        <v>1.935</v>
      </c>
      <c r="AE179" s="6" t="s">
        <v>124</v>
      </c>
      <c r="AF179" s="6" t="s">
        <v>123</v>
      </c>
      <c r="AG179" s="6" t="s">
        <v>123</v>
      </c>
      <c r="AH179" s="6" t="s">
        <v>123</v>
      </c>
      <c r="AI179" s="6" t="s">
        <v>123</v>
      </c>
      <c r="AJ179" s="8"/>
      <c r="AK179" s="8"/>
      <c r="AL179" s="8"/>
      <c r="AM179" s="8"/>
      <c r="AN179" s="8"/>
      <c r="AO179" s="8"/>
      <c r="AP179" s="9" t="s">
        <v>2748</v>
      </c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76.5" hidden="false" customHeight="true" outlineLevel="0" collapsed="false">
      <c r="A180" s="6" t="s">
        <v>1</v>
      </c>
      <c r="B180" s="6" t="n">
        <v>10</v>
      </c>
      <c r="C180" s="6" t="n">
        <v>87960876</v>
      </c>
      <c r="D180" s="6" t="s">
        <v>1351</v>
      </c>
      <c r="E180" s="6" t="s">
        <v>1352</v>
      </c>
      <c r="F180" s="6" t="s">
        <v>1353</v>
      </c>
      <c r="G180" s="6" t="s">
        <v>123</v>
      </c>
      <c r="H180" s="6" t="s">
        <v>2749</v>
      </c>
      <c r="I180" s="6"/>
      <c r="J180" s="6" t="s">
        <v>123</v>
      </c>
      <c r="K180" s="6" t="s">
        <v>127</v>
      </c>
      <c r="L180" s="6" t="s">
        <v>2750</v>
      </c>
      <c r="M180" s="6" t="n">
        <v>1878</v>
      </c>
      <c r="N180" s="7" t="n">
        <v>0.212</v>
      </c>
      <c r="O180" s="6" t="s">
        <v>1820</v>
      </c>
      <c r="P180" s="10" t="n">
        <f aca="false">HYPERLINK("https://www.ncbi.nlm.nih.gov/clinvar/variation/92833", 92833)</f>
        <v>92833</v>
      </c>
      <c r="Q180" s="6" t="s">
        <v>283</v>
      </c>
      <c r="R180" s="6" t="s">
        <v>2751</v>
      </c>
      <c r="S180" s="10" t="str">
        <f aca="false">HYPERLINK("https://www.ncbi.nlm.nih.gov/snp/rs34003473", "rs34003473")</f>
        <v>rs34003473</v>
      </c>
      <c r="T180" s="10" t="n">
        <f aca="false">HYPERLINK("https://gnomad.broadinstitute.org/variant/10-87960876-CTT-C?dataset=gnomad_r4", 0.000127963)</f>
        <v>0.000127963</v>
      </c>
      <c r="U180" s="10" t="n">
        <f aca="false">HYPERLINK("https://gnomad.broadinstitute.org/variant/10-87960876-CTT-C?dataset=gnomad_r4", 0.00445966)</f>
        <v>0.00445966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18</v>
      </c>
      <c r="AA180" s="6" t="n">
        <v>47</v>
      </c>
      <c r="AB180" s="6" t="n">
        <v>33</v>
      </c>
      <c r="AC180" s="6" t="n">
        <v>38</v>
      </c>
      <c r="AD180" s="6" t="n">
        <v>1.303</v>
      </c>
      <c r="AE180" s="6" t="s">
        <v>124</v>
      </c>
      <c r="AF180" s="6" t="s">
        <v>123</v>
      </c>
      <c r="AG180" s="6" t="s">
        <v>123</v>
      </c>
      <c r="AH180" s="6" t="s">
        <v>123</v>
      </c>
      <c r="AI180" s="6" t="s">
        <v>123</v>
      </c>
      <c r="AJ180" s="8"/>
      <c r="AK180" s="8"/>
      <c r="AL180" s="8"/>
      <c r="AM180" s="8"/>
      <c r="AN180" s="8"/>
      <c r="AO180" s="8"/>
      <c r="AP180" s="9" t="s">
        <v>2752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76.5" hidden="false" customHeight="true" outlineLevel="0" collapsed="false">
      <c r="A181" s="6" t="s">
        <v>1</v>
      </c>
      <c r="B181" s="6" t="n">
        <v>10</v>
      </c>
      <c r="C181" s="6" t="n">
        <v>87960876</v>
      </c>
      <c r="D181" s="6" t="s">
        <v>1351</v>
      </c>
      <c r="E181" s="6" t="s">
        <v>1352</v>
      </c>
      <c r="F181" s="6" t="s">
        <v>1353</v>
      </c>
      <c r="G181" s="6" t="s">
        <v>123</v>
      </c>
      <c r="H181" s="6" t="s">
        <v>2753</v>
      </c>
      <c r="I181" s="6"/>
      <c r="J181" s="6" t="s">
        <v>123</v>
      </c>
      <c r="K181" s="6" t="s">
        <v>127</v>
      </c>
      <c r="L181" s="6" t="s">
        <v>2754</v>
      </c>
      <c r="M181" s="6" t="n">
        <v>1878</v>
      </c>
      <c r="N181" s="7" t="n">
        <v>0.0623</v>
      </c>
      <c r="O181" s="6" t="s">
        <v>1820</v>
      </c>
      <c r="P181" s="10" t="n">
        <f aca="false">HYPERLINK("https://www.ncbi.nlm.nih.gov/clinvar/variation/229653", 229653)</f>
        <v>229653</v>
      </c>
      <c r="Q181" s="6" t="s">
        <v>283</v>
      </c>
      <c r="R181" s="6" t="s">
        <v>2755</v>
      </c>
      <c r="S181" s="10" t="str">
        <f aca="false">HYPERLINK("https://www.ncbi.nlm.nih.gov/snp/rs34003473", "rs34003473")</f>
        <v>rs34003473</v>
      </c>
      <c r="T181" s="10" t="n">
        <f aca="false">HYPERLINK("https://gnomad.broadinstitute.org/variant/10-87960876-CT-C?dataset=gnomad_r4", 0.0157)</f>
        <v>0.0157</v>
      </c>
      <c r="U181" s="6" t="s">
        <v>123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18</v>
      </c>
      <c r="AA181" s="6" t="n">
        <v>47</v>
      </c>
      <c r="AB181" s="6" t="n">
        <v>33</v>
      </c>
      <c r="AC181" s="6" t="n">
        <v>38</v>
      </c>
      <c r="AD181" s="6" t="n">
        <v>1.306</v>
      </c>
      <c r="AE181" s="6" t="s">
        <v>124</v>
      </c>
      <c r="AF181" s="6" t="s">
        <v>123</v>
      </c>
      <c r="AG181" s="6" t="s">
        <v>123</v>
      </c>
      <c r="AH181" s="6" t="s">
        <v>123</v>
      </c>
      <c r="AI181" s="6" t="s">
        <v>123</v>
      </c>
      <c r="AJ181" s="8"/>
      <c r="AK181" s="8"/>
      <c r="AL181" s="8"/>
      <c r="AM181" s="8"/>
      <c r="AN181" s="8"/>
      <c r="AO181" s="8"/>
      <c r="AP181" s="9" t="s">
        <v>2756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63.75" hidden="false" customHeight="true" outlineLevel="0" collapsed="false">
      <c r="A182" s="6" t="s">
        <v>1</v>
      </c>
      <c r="B182" s="6" t="n">
        <v>12</v>
      </c>
      <c r="C182" s="6" t="n">
        <v>112453321</v>
      </c>
      <c r="D182" s="6" t="s">
        <v>1368</v>
      </c>
      <c r="E182" s="6" t="s">
        <v>531</v>
      </c>
      <c r="F182" s="6" t="s">
        <v>1369</v>
      </c>
      <c r="G182" s="6" t="s">
        <v>1830</v>
      </c>
      <c r="H182" s="6" t="s">
        <v>2757</v>
      </c>
      <c r="I182" s="6" t="s">
        <v>2758</v>
      </c>
      <c r="J182" s="6" t="s">
        <v>2759</v>
      </c>
      <c r="K182" s="6" t="s">
        <v>1813</v>
      </c>
      <c r="L182" s="6" t="s">
        <v>2760</v>
      </c>
      <c r="M182" s="6" t="n">
        <v>3645</v>
      </c>
      <c r="N182" s="7" t="n">
        <v>0.286</v>
      </c>
      <c r="O182" s="6"/>
      <c r="P182" s="6" t="s">
        <v>123</v>
      </c>
      <c r="Q182" s="6" t="s">
        <v>123</v>
      </c>
      <c r="R182" s="6" t="s">
        <v>123</v>
      </c>
      <c r="S182" s="6" t="s">
        <v>123</v>
      </c>
      <c r="T182" s="6" t="s">
        <v>123</v>
      </c>
      <c r="U182" s="6" t="s">
        <v>123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14</v>
      </c>
      <c r="AA182" s="6" t="n">
        <v>21</v>
      </c>
      <c r="AB182" s="6" t="n">
        <v>28</v>
      </c>
      <c r="AC182" s="6" t="n">
        <v>-9</v>
      </c>
      <c r="AD182" s="6" t="n">
        <v>2.651</v>
      </c>
      <c r="AE182" s="6" t="s">
        <v>124</v>
      </c>
      <c r="AF182" s="6" t="s">
        <v>123</v>
      </c>
      <c r="AG182" s="6" t="s">
        <v>123</v>
      </c>
      <c r="AH182" s="6" t="s">
        <v>123</v>
      </c>
      <c r="AI182" s="6" t="s">
        <v>123</v>
      </c>
      <c r="AJ182" s="8"/>
      <c r="AK182" s="8"/>
      <c r="AL182" s="8"/>
      <c r="AM182" s="8"/>
      <c r="AN182" s="8"/>
      <c r="AO182" s="8"/>
      <c r="AP182" s="9" t="s">
        <v>2761</v>
      </c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76.5" hidden="false" customHeight="true" outlineLevel="0" collapsed="false">
      <c r="A183" s="6" t="s">
        <v>1</v>
      </c>
      <c r="B183" s="6" t="n">
        <v>12</v>
      </c>
      <c r="C183" s="6" t="n">
        <v>112482065</v>
      </c>
      <c r="D183" s="6" t="s">
        <v>1368</v>
      </c>
      <c r="E183" s="6" t="s">
        <v>531</v>
      </c>
      <c r="F183" s="6" t="s">
        <v>1369</v>
      </c>
      <c r="G183" s="6" t="s">
        <v>123</v>
      </c>
      <c r="H183" s="6" t="s">
        <v>2762</v>
      </c>
      <c r="I183" s="6"/>
      <c r="J183" s="6" t="s">
        <v>123</v>
      </c>
      <c r="K183" s="6" t="s">
        <v>141</v>
      </c>
      <c r="L183" s="6" t="s">
        <v>2763</v>
      </c>
      <c r="M183" s="6" t="n">
        <v>2582</v>
      </c>
      <c r="N183" s="7" t="n">
        <v>0.0649</v>
      </c>
      <c r="O183" s="6"/>
      <c r="P183" s="10" t="n">
        <f aca="false">HYPERLINK("https://www.ncbi.nlm.nih.gov/clinvar/variation/40542", 40542)</f>
        <v>40542</v>
      </c>
      <c r="Q183" s="6" t="s">
        <v>418</v>
      </c>
      <c r="R183" s="6" t="s">
        <v>2764</v>
      </c>
      <c r="S183" s="10" t="str">
        <f aca="false">HYPERLINK("https://www.ncbi.nlm.nih.gov/snp/rs12301915", "rs12301915")</f>
        <v>rs12301915</v>
      </c>
      <c r="T183" s="10" t="n">
        <f aca="false">HYPERLINK("https://gnomad.broadinstitute.org/variant/12-112482065-C-A?dataset=gnomad_r4", 0.0391028)</f>
        <v>0.0391028</v>
      </c>
      <c r="U183" s="10" t="n">
        <f aca="false">HYPERLINK("https://gnomad.broadinstitute.org/variant/12-112482065-C-A?dataset=gnomad_r4", 0.0138626)</f>
        <v>0.0138626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11</v>
      </c>
      <c r="AA183" s="6" t="n">
        <v>9</v>
      </c>
      <c r="AB183" s="6" t="n">
        <v>9</v>
      </c>
      <c r="AC183" s="6" t="n">
        <v>37</v>
      </c>
      <c r="AD183" s="6" t="n">
        <v>14.34</v>
      </c>
      <c r="AE183" s="6" t="s">
        <v>124</v>
      </c>
      <c r="AF183" s="6" t="s">
        <v>123</v>
      </c>
      <c r="AG183" s="6" t="s">
        <v>123</v>
      </c>
      <c r="AH183" s="6" t="s">
        <v>123</v>
      </c>
      <c r="AI183" s="6" t="s">
        <v>123</v>
      </c>
      <c r="AJ183" s="8"/>
      <c r="AK183" s="8"/>
      <c r="AL183" s="8"/>
      <c r="AM183" s="8"/>
      <c r="AN183" s="8"/>
      <c r="AO183" s="8"/>
      <c r="AP183" s="9" t="s">
        <v>2765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76.5" hidden="false" customHeight="true" outlineLevel="0" collapsed="false">
      <c r="A184" s="6" t="s">
        <v>1</v>
      </c>
      <c r="B184" s="6" t="n">
        <v>8</v>
      </c>
      <c r="C184" s="6" t="n">
        <v>116856292</v>
      </c>
      <c r="D184" s="6" t="s">
        <v>1373</v>
      </c>
      <c r="E184" s="6" t="s">
        <v>6</v>
      </c>
      <c r="F184" s="6" t="s">
        <v>1374</v>
      </c>
      <c r="G184" s="6" t="s">
        <v>123</v>
      </c>
      <c r="H184" s="6" t="s">
        <v>2766</v>
      </c>
      <c r="I184" s="6"/>
      <c r="J184" s="6" t="s">
        <v>123</v>
      </c>
      <c r="K184" s="6" t="s">
        <v>127</v>
      </c>
      <c r="L184" s="6" t="s">
        <v>2767</v>
      </c>
      <c r="M184" s="6" t="n">
        <v>2865</v>
      </c>
      <c r="N184" s="7" t="n">
        <v>0.051</v>
      </c>
      <c r="O184" s="6" t="s">
        <v>1820</v>
      </c>
      <c r="P184" s="10" t="n">
        <f aca="false">HYPERLINK("https://www.ncbi.nlm.nih.gov/clinvar/variation/770383", 770383)</f>
        <v>770383</v>
      </c>
      <c r="Q184" s="6" t="s">
        <v>418</v>
      </c>
      <c r="R184" s="6" t="s">
        <v>181</v>
      </c>
      <c r="S184" s="10" t="str">
        <f aca="false">HYPERLINK("https://www.ncbi.nlm.nih.gov/snp/rs35902828", "rs35902828")</f>
        <v>rs35902828</v>
      </c>
      <c r="T184" s="10" t="n">
        <f aca="false">HYPERLINK("https://gnomad.broadinstitute.org/variant/8-116856292-TAAAAA-T?dataset=gnomad_r4", 0.0000336474)</f>
        <v>3.36474E-005</v>
      </c>
      <c r="U184" s="10" t="n">
        <f aca="false">HYPERLINK("https://gnomad.broadinstitute.org/variant/8-116856292-TAAAAA-T?dataset=gnomad_r4", 0.00115064)</f>
        <v>0.00115064</v>
      </c>
      <c r="V184" s="6" t="s">
        <v>123</v>
      </c>
      <c r="W184" s="6" t="s">
        <v>123</v>
      </c>
      <c r="X184" s="6" t="s">
        <v>123</v>
      </c>
      <c r="Y184" s="6" t="s">
        <v>123</v>
      </c>
      <c r="Z184" s="6" t="s">
        <v>123</v>
      </c>
      <c r="AA184" s="6" t="s">
        <v>123</v>
      </c>
      <c r="AB184" s="6" t="s">
        <v>123</v>
      </c>
      <c r="AC184" s="6" t="s">
        <v>123</v>
      </c>
      <c r="AD184" s="6" t="n">
        <v>1.572</v>
      </c>
      <c r="AE184" s="6" t="s">
        <v>2768</v>
      </c>
      <c r="AF184" s="6" t="s">
        <v>123</v>
      </c>
      <c r="AG184" s="6" t="s">
        <v>123</v>
      </c>
      <c r="AH184" s="6" t="s">
        <v>123</v>
      </c>
      <c r="AI184" s="6" t="s">
        <v>123</v>
      </c>
      <c r="AJ184" s="8"/>
      <c r="AK184" s="8"/>
      <c r="AL184" s="8"/>
      <c r="AM184" s="8"/>
      <c r="AN184" s="8"/>
      <c r="AO184" s="8"/>
      <c r="AP184" s="9" t="s">
        <v>2769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76.5" hidden="false" customHeight="true" outlineLevel="0" collapsed="false">
      <c r="A185" s="6" t="s">
        <v>1</v>
      </c>
      <c r="B185" s="6" t="n">
        <v>8</v>
      </c>
      <c r="C185" s="6" t="n">
        <v>116856292</v>
      </c>
      <c r="D185" s="6" t="s">
        <v>1373</v>
      </c>
      <c r="E185" s="6" t="s">
        <v>6</v>
      </c>
      <c r="F185" s="6" t="s">
        <v>1374</v>
      </c>
      <c r="G185" s="6" t="s">
        <v>123</v>
      </c>
      <c r="H185" s="6" t="s">
        <v>2770</v>
      </c>
      <c r="I185" s="6"/>
      <c r="J185" s="6" t="s">
        <v>123</v>
      </c>
      <c r="K185" s="6" t="s">
        <v>127</v>
      </c>
      <c r="L185" s="6" t="s">
        <v>2771</v>
      </c>
      <c r="M185" s="6" t="n">
        <v>2865</v>
      </c>
      <c r="N185" s="7" t="n">
        <v>0.0336</v>
      </c>
      <c r="O185" s="6" t="s">
        <v>1820</v>
      </c>
      <c r="P185" s="6" t="s">
        <v>123</v>
      </c>
      <c r="Q185" s="6" t="s">
        <v>123</v>
      </c>
      <c r="R185" s="6" t="s">
        <v>123</v>
      </c>
      <c r="S185" s="10" t="str">
        <f aca="false">HYPERLINK("https://www.ncbi.nlm.nih.gov/snp/rs35902828", "rs35902828")</f>
        <v>rs35902828</v>
      </c>
      <c r="T185" s="10" t="n">
        <f aca="false">HYPERLINK("https://gnomad.broadinstitute.org/variant/8-116856292-TAAAA-T?dataset=gnomad_r4", 0.0000336361)</f>
        <v>3.36361E-005</v>
      </c>
      <c r="U185" s="10" t="n">
        <f aca="false">HYPERLINK("https://gnomad.broadinstitute.org/variant/8-116856292-TAAAA-T?dataset=gnomad_r4", 0.00517111)</f>
        <v>0.00517111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-4</v>
      </c>
      <c r="AA185" s="6" t="n">
        <v>-20</v>
      </c>
      <c r="AB185" s="6" t="n">
        <v>-25</v>
      </c>
      <c r="AC185" s="6" t="n">
        <v>-20</v>
      </c>
      <c r="AD185" s="6" t="n">
        <v>1.79</v>
      </c>
      <c r="AE185" s="6" t="s">
        <v>2772</v>
      </c>
      <c r="AF185" s="6" t="s">
        <v>123</v>
      </c>
      <c r="AG185" s="6" t="s">
        <v>123</v>
      </c>
      <c r="AH185" s="6" t="s">
        <v>123</v>
      </c>
      <c r="AI185" s="6" t="s">
        <v>123</v>
      </c>
      <c r="AJ185" s="8"/>
      <c r="AK185" s="8"/>
      <c r="AL185" s="8"/>
      <c r="AM185" s="8"/>
      <c r="AN185" s="8"/>
      <c r="AO185" s="8"/>
      <c r="AP185" s="9" t="s">
        <v>2773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76.5" hidden="false" customHeight="true" outlineLevel="0" collapsed="false">
      <c r="A186" s="6" t="s">
        <v>1</v>
      </c>
      <c r="B186" s="6" t="n">
        <v>1</v>
      </c>
      <c r="C186" s="6" t="n">
        <v>23694734</v>
      </c>
      <c r="D186" s="6" t="s">
        <v>2774</v>
      </c>
      <c r="E186" s="6" t="s">
        <v>1415</v>
      </c>
      <c r="F186" s="6" t="s">
        <v>2775</v>
      </c>
      <c r="G186" s="6" t="s">
        <v>1340</v>
      </c>
      <c r="H186" s="6" t="s">
        <v>2776</v>
      </c>
      <c r="I186" s="6" t="s">
        <v>2777</v>
      </c>
      <c r="J186" s="6" t="s">
        <v>2778</v>
      </c>
      <c r="K186" s="6" t="s">
        <v>1813</v>
      </c>
      <c r="L186" s="6" t="s">
        <v>2779</v>
      </c>
      <c r="M186" s="6" t="n">
        <v>3479</v>
      </c>
      <c r="N186" s="7" t="n">
        <v>0.305</v>
      </c>
      <c r="O186" s="6"/>
      <c r="P186" s="10" t="n">
        <f aca="false">HYPERLINK("https://www.ncbi.nlm.nih.gov/clinvar/variation/296821", 296821)</f>
        <v>296821</v>
      </c>
      <c r="Q186" s="6" t="s">
        <v>283</v>
      </c>
      <c r="R186" s="6" t="s">
        <v>2780</v>
      </c>
      <c r="S186" s="10" t="str">
        <f aca="false">HYPERLINK("https://www.ncbi.nlm.nih.gov/snp/rs8880", "rs8880")</f>
        <v>rs8880</v>
      </c>
      <c r="T186" s="10" t="n">
        <f aca="false">HYPERLINK("https://gnomad.broadinstitute.org/variant/1-23694734-C-T?dataset=gnomad_r4", 0.0249087)</f>
        <v>0.0249087</v>
      </c>
      <c r="U186" s="10" t="n">
        <f aca="false">HYPERLINK("https://gnomad.broadinstitute.org/variant/1-23694734-C-T?dataset=gnomad_r4", 0.0367902)</f>
        <v>0.0367902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27</v>
      </c>
      <c r="AA186" s="6" t="n">
        <v>-8</v>
      </c>
      <c r="AB186" s="6" t="n">
        <v>-38</v>
      </c>
      <c r="AC186" s="6" t="n">
        <v>31</v>
      </c>
      <c r="AD186" s="6" t="n">
        <v>12.27</v>
      </c>
      <c r="AE186" s="6" t="s">
        <v>124</v>
      </c>
      <c r="AF186" s="6" t="s">
        <v>123</v>
      </c>
      <c r="AG186" s="6" t="s">
        <v>123</v>
      </c>
      <c r="AH186" s="6" t="s">
        <v>123</v>
      </c>
      <c r="AI186" s="6" t="s">
        <v>123</v>
      </c>
      <c r="AJ186" s="8"/>
      <c r="AK186" s="8"/>
      <c r="AL186" s="8"/>
      <c r="AM186" s="8"/>
      <c r="AN186" s="8"/>
      <c r="AO186" s="8"/>
      <c r="AP186" s="9" t="s">
        <v>2781</v>
      </c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63.75" hidden="false" customHeight="true" outlineLevel="0" collapsed="false">
      <c r="A187" s="6" t="s">
        <v>1</v>
      </c>
      <c r="B187" s="6" t="n">
        <v>21</v>
      </c>
      <c r="C187" s="6" t="n">
        <v>34792308</v>
      </c>
      <c r="D187" s="6" t="s">
        <v>1435</v>
      </c>
      <c r="E187" s="6" t="s">
        <v>531</v>
      </c>
      <c r="F187" s="6" t="s">
        <v>1436</v>
      </c>
      <c r="G187" s="6" t="s">
        <v>1072</v>
      </c>
      <c r="H187" s="6" t="s">
        <v>2782</v>
      </c>
      <c r="I187" s="6" t="s">
        <v>2783</v>
      </c>
      <c r="J187" s="6" t="s">
        <v>2784</v>
      </c>
      <c r="K187" s="6" t="s">
        <v>120</v>
      </c>
      <c r="L187" s="6" t="s">
        <v>2785</v>
      </c>
      <c r="M187" s="6" t="n">
        <v>1031</v>
      </c>
      <c r="N187" s="7" t="n">
        <v>0.0686</v>
      </c>
      <c r="O187" s="6" t="s">
        <v>2786</v>
      </c>
      <c r="P187" s="10" t="n">
        <f aca="false">HYPERLINK("https://www.ncbi.nlm.nih.gov/clinvar/variation/970259", 970259)</f>
        <v>970259</v>
      </c>
      <c r="Q187" s="6" t="s">
        <v>253</v>
      </c>
      <c r="R187" s="6" t="s">
        <v>2787</v>
      </c>
      <c r="S187" s="6" t="s">
        <v>123</v>
      </c>
      <c r="T187" s="6" t="s">
        <v>123</v>
      </c>
      <c r="U187" s="10" t="n">
        <f aca="false">HYPERLINK("https://gnomad.broadinstitute.org/variant/21-34792308-A-G?dataset=gnomad_r4", 0.0059485)</f>
        <v>0.0059485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7</v>
      </c>
      <c r="AA187" s="6" t="n">
        <v>24</v>
      </c>
      <c r="AB187" s="6" t="n">
        <v>16</v>
      </c>
      <c r="AC187" s="6" t="n">
        <v>2</v>
      </c>
      <c r="AD187" s="6" t="n">
        <v>28.5</v>
      </c>
      <c r="AE187" s="6" t="s">
        <v>2788</v>
      </c>
      <c r="AF187" s="6" t="s">
        <v>123</v>
      </c>
      <c r="AG187" s="6" t="s">
        <v>123</v>
      </c>
      <c r="AH187" s="6" t="s">
        <v>123</v>
      </c>
      <c r="AI187" s="6" t="s">
        <v>123</v>
      </c>
      <c r="AJ187" s="8"/>
      <c r="AK187" s="8"/>
      <c r="AL187" s="8"/>
      <c r="AM187" s="8"/>
      <c r="AN187" s="8"/>
      <c r="AO187" s="8"/>
      <c r="AP187" s="9" t="s">
        <v>2789</v>
      </c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76.5" hidden="false" customHeight="true" outlineLevel="0" collapsed="false">
      <c r="A188" s="6" t="s">
        <v>1</v>
      </c>
      <c r="B188" s="6" t="n">
        <v>21</v>
      </c>
      <c r="C188" s="6" t="n">
        <v>34792189</v>
      </c>
      <c r="D188" s="6" t="s">
        <v>1435</v>
      </c>
      <c r="E188" s="6" t="s">
        <v>531</v>
      </c>
      <c r="F188" s="6" t="s">
        <v>1436</v>
      </c>
      <c r="G188" s="6" t="s">
        <v>1072</v>
      </c>
      <c r="H188" s="6" t="s">
        <v>2790</v>
      </c>
      <c r="I188" s="6" t="s">
        <v>2791</v>
      </c>
      <c r="J188" s="6" t="s">
        <v>2792</v>
      </c>
      <c r="K188" s="6" t="s">
        <v>1813</v>
      </c>
      <c r="L188" s="6" t="s">
        <v>2793</v>
      </c>
      <c r="M188" s="6" t="n">
        <v>3522</v>
      </c>
      <c r="N188" s="7" t="n">
        <v>0.0607</v>
      </c>
      <c r="O188" s="6"/>
      <c r="P188" s="10" t="n">
        <f aca="false">HYPERLINK("https://www.ncbi.nlm.nih.gov/clinvar/variation/258184", 258184)</f>
        <v>258184</v>
      </c>
      <c r="Q188" s="6" t="s">
        <v>418</v>
      </c>
      <c r="R188" s="6" t="s">
        <v>1442</v>
      </c>
      <c r="S188" s="10" t="str">
        <f aca="false">HYPERLINK("https://www.ncbi.nlm.nih.gov/snp/rs61750222", "rs61750222")</f>
        <v>rs61750222</v>
      </c>
      <c r="T188" s="10" t="n">
        <f aca="false">HYPERLINK("https://gnomad.broadinstitute.org/variant/21-34792189-G-C?dataset=gnomad_r4", 0.0454408)</f>
        <v>0.0454408</v>
      </c>
      <c r="U188" s="10" t="n">
        <f aca="false">HYPERLINK("https://gnomad.broadinstitute.org/variant/21-34792189-G-C?dataset=gnomad_r4", 0.0157393)</f>
        <v>0.0157393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41</v>
      </c>
      <c r="AA188" s="6" t="n">
        <v>-31</v>
      </c>
      <c r="AB188" s="6" t="n">
        <v>-33</v>
      </c>
      <c r="AC188" s="6" t="n">
        <v>33</v>
      </c>
      <c r="AD188" s="6" t="n">
        <v>10.11</v>
      </c>
      <c r="AE188" s="6" t="s">
        <v>2794</v>
      </c>
      <c r="AF188" s="6" t="s">
        <v>123</v>
      </c>
      <c r="AG188" s="6" t="s">
        <v>123</v>
      </c>
      <c r="AH188" s="6" t="s">
        <v>123</v>
      </c>
      <c r="AI188" s="6" t="s">
        <v>123</v>
      </c>
      <c r="AJ188" s="8"/>
      <c r="AK188" s="8"/>
      <c r="AL188" s="8"/>
      <c r="AM188" s="8"/>
      <c r="AN188" s="8"/>
      <c r="AO188" s="8"/>
      <c r="AP188" s="9" t="s">
        <v>2795</v>
      </c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76.5" hidden="false" customHeight="true" outlineLevel="0" collapsed="false">
      <c r="A189" s="6" t="s">
        <v>1</v>
      </c>
      <c r="B189" s="6" t="n">
        <v>18</v>
      </c>
      <c r="C189" s="6" t="n">
        <v>44950309</v>
      </c>
      <c r="D189" s="6" t="s">
        <v>1463</v>
      </c>
      <c r="E189" s="6" t="s">
        <v>6</v>
      </c>
      <c r="F189" s="6" t="s">
        <v>1464</v>
      </c>
      <c r="G189" s="6" t="s">
        <v>1340</v>
      </c>
      <c r="H189" s="6" t="s">
        <v>2796</v>
      </c>
      <c r="I189" s="6" t="s">
        <v>2797</v>
      </c>
      <c r="J189" s="6" t="s">
        <v>2798</v>
      </c>
      <c r="K189" s="6" t="s">
        <v>1813</v>
      </c>
      <c r="L189" s="6" t="s">
        <v>2799</v>
      </c>
      <c r="M189" s="6" t="n">
        <v>4097</v>
      </c>
      <c r="N189" s="7" t="n">
        <v>0.681</v>
      </c>
      <c r="O189" s="6"/>
      <c r="P189" s="10" t="n">
        <f aca="false">HYPERLINK("https://www.ncbi.nlm.nih.gov/clinvar/variation/326732", 326732)</f>
        <v>326732</v>
      </c>
      <c r="Q189" s="6" t="s">
        <v>215</v>
      </c>
      <c r="R189" s="6" t="s">
        <v>2800</v>
      </c>
      <c r="S189" s="10" t="str">
        <f aca="false">HYPERLINK("https://www.ncbi.nlm.nih.gov/snp/rs138913968", "rs138913968")</f>
        <v>rs138913968</v>
      </c>
      <c r="T189" s="10" t="n">
        <f aca="false">HYPERLINK("https://gnomad.broadinstitute.org/variant/18-44950309-G-A?dataset=gnomad_r4", 0.000203709)</f>
        <v>0.000203709</v>
      </c>
      <c r="U189" s="10" t="n">
        <f aca="false">HYPERLINK("https://gnomad.broadinstitute.org/variant/18-44950309-G-A?dataset=gnomad_r4", 0.000277071)</f>
        <v>0.000277071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2</v>
      </c>
      <c r="AA189" s="6" t="n">
        <v>1</v>
      </c>
      <c r="AB189" s="6" t="n">
        <v>-8</v>
      </c>
      <c r="AC189" s="6" t="n">
        <v>21</v>
      </c>
      <c r="AD189" s="6" t="n">
        <v>8.592</v>
      </c>
      <c r="AE189" s="6" t="s">
        <v>1407</v>
      </c>
      <c r="AF189" s="6" t="s">
        <v>123</v>
      </c>
      <c r="AG189" s="6" t="s">
        <v>123</v>
      </c>
      <c r="AH189" s="6" t="s">
        <v>123</v>
      </c>
      <c r="AI189" s="6" t="s">
        <v>123</v>
      </c>
      <c r="AJ189" s="8"/>
      <c r="AK189" s="8"/>
      <c r="AL189" s="8"/>
      <c r="AM189" s="8"/>
      <c r="AN189" s="8"/>
      <c r="AO189" s="8"/>
      <c r="AP189" s="9" t="s">
        <v>2801</v>
      </c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76.5" hidden="false" customHeight="true" outlineLevel="0" collapsed="false">
      <c r="A190" s="6" t="s">
        <v>1</v>
      </c>
      <c r="B190" s="6" t="n">
        <v>2</v>
      </c>
      <c r="C190" s="6" t="n">
        <v>197398035</v>
      </c>
      <c r="D190" s="6" t="s">
        <v>1496</v>
      </c>
      <c r="E190" s="6" t="s">
        <v>371</v>
      </c>
      <c r="F190" s="6" t="s">
        <v>1497</v>
      </c>
      <c r="G190" s="6" t="s">
        <v>454</v>
      </c>
      <c r="H190" s="6" t="s">
        <v>2802</v>
      </c>
      <c r="I190" s="6" t="s">
        <v>2803</v>
      </c>
      <c r="J190" s="6" t="s">
        <v>2804</v>
      </c>
      <c r="K190" s="6" t="s">
        <v>1813</v>
      </c>
      <c r="L190" s="6" t="s">
        <v>2805</v>
      </c>
      <c r="M190" s="6" t="n">
        <v>3110</v>
      </c>
      <c r="N190" s="7" t="n">
        <v>0.0841</v>
      </c>
      <c r="O190" s="6" t="s">
        <v>1879</v>
      </c>
      <c r="P190" s="10" t="n">
        <f aca="false">HYPERLINK("https://www.ncbi.nlm.nih.gov/clinvar/variation/715640", 715640)</f>
        <v>715640</v>
      </c>
      <c r="Q190" s="6" t="s">
        <v>283</v>
      </c>
      <c r="R190" s="6" t="s">
        <v>181</v>
      </c>
      <c r="S190" s="10" t="str">
        <f aca="false">HYPERLINK("https://www.ncbi.nlm.nih.gov/snp/rs111736429", "rs111736429")</f>
        <v>rs111736429</v>
      </c>
      <c r="T190" s="10" t="n">
        <f aca="false">HYPERLINK("https://gnomad.broadinstitute.org/variant/2-197398035-A-G?dataset=gnomad_r4", 0.00456957)</f>
        <v>0.00456957</v>
      </c>
      <c r="U190" s="10" t="n">
        <f aca="false">HYPERLINK("https://gnomad.broadinstitute.org/variant/2-197398035-A-G?dataset=gnomad_r4", 0.00687609)</f>
        <v>0.00687609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25</v>
      </c>
      <c r="AA190" s="6" t="n">
        <v>-9</v>
      </c>
      <c r="AB190" s="6" t="n">
        <v>-50</v>
      </c>
      <c r="AC190" s="6" t="n">
        <v>2</v>
      </c>
      <c r="AD190" s="6" t="n">
        <v>13.44</v>
      </c>
      <c r="AE190" s="6" t="s">
        <v>723</v>
      </c>
      <c r="AF190" s="6" t="s">
        <v>123</v>
      </c>
      <c r="AG190" s="6" t="s">
        <v>123</v>
      </c>
      <c r="AH190" s="6" t="s">
        <v>123</v>
      </c>
      <c r="AI190" s="6" t="s">
        <v>123</v>
      </c>
      <c r="AJ190" s="8"/>
      <c r="AK190" s="8"/>
      <c r="AL190" s="8"/>
      <c r="AM190" s="8"/>
      <c r="AN190" s="8"/>
      <c r="AO190" s="8"/>
      <c r="AP190" s="9" t="s">
        <v>2806</v>
      </c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76.5" hidden="false" customHeight="true" outlineLevel="0" collapsed="false">
      <c r="A191" s="6" t="s">
        <v>1</v>
      </c>
      <c r="B191" s="6" t="n">
        <v>12</v>
      </c>
      <c r="C191" s="6" t="n">
        <v>111418383</v>
      </c>
      <c r="D191" s="6" t="s">
        <v>2807</v>
      </c>
      <c r="E191" s="6" t="s">
        <v>841</v>
      </c>
      <c r="F191" s="6" t="s">
        <v>2808</v>
      </c>
      <c r="G191" s="6" t="s">
        <v>2809</v>
      </c>
      <c r="H191" s="6" t="s">
        <v>2810</v>
      </c>
      <c r="I191" s="6" t="s">
        <v>2811</v>
      </c>
      <c r="J191" s="6" t="s">
        <v>2812</v>
      </c>
      <c r="K191" s="6" t="s">
        <v>120</v>
      </c>
      <c r="L191" s="6" t="s">
        <v>2813</v>
      </c>
      <c r="M191" s="6" t="n">
        <v>4006</v>
      </c>
      <c r="N191" s="7" t="n">
        <v>0.0728</v>
      </c>
      <c r="O191" s="6" t="s">
        <v>1879</v>
      </c>
      <c r="P191" s="10" t="n">
        <f aca="false">HYPERLINK("https://www.ncbi.nlm.nih.gov/clinvar/variation/3352709", 3352709)</f>
        <v>3352709</v>
      </c>
      <c r="Q191" s="6" t="s">
        <v>418</v>
      </c>
      <c r="R191" s="6" t="s">
        <v>2814</v>
      </c>
      <c r="S191" s="10" t="str">
        <f aca="false">HYPERLINK("https://www.ncbi.nlm.nih.gov/snp/rs73428142", "rs73428142")</f>
        <v>rs73428142</v>
      </c>
      <c r="T191" s="10" t="n">
        <f aca="false">HYPERLINK("https://gnomad.broadinstitute.org/variant/12-111418383-C-T?dataset=gnomad_r4", 0.00814834)</f>
        <v>0.00814834</v>
      </c>
      <c r="U191" s="10" t="n">
        <f aca="false">HYPERLINK("https://gnomad.broadinstitute.org/variant/12-111418383-C-T?dataset=gnomad_r4", 0.000872286)</f>
        <v>0.000872286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-39</v>
      </c>
      <c r="AA191" s="6" t="n">
        <v>-4</v>
      </c>
      <c r="AB191" s="6" t="n">
        <v>-2</v>
      </c>
      <c r="AC191" s="6" t="n">
        <v>-4</v>
      </c>
      <c r="AD191" s="6" t="n">
        <v>25.1</v>
      </c>
      <c r="AE191" s="6" t="s">
        <v>611</v>
      </c>
      <c r="AF191" s="6" t="s">
        <v>123</v>
      </c>
      <c r="AG191" s="6" t="s">
        <v>123</v>
      </c>
      <c r="AH191" s="6" t="s">
        <v>123</v>
      </c>
      <c r="AI191" s="6" t="s">
        <v>123</v>
      </c>
      <c r="AJ191" s="8"/>
      <c r="AK191" s="8"/>
      <c r="AL191" s="8"/>
      <c r="AM191" s="8"/>
      <c r="AN191" s="8"/>
      <c r="AO191" s="8"/>
      <c r="AP191" s="9" t="s">
        <v>2815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63.75" hidden="false" customHeight="true" outlineLevel="0" collapsed="false">
      <c r="A192" s="6" t="s">
        <v>1</v>
      </c>
      <c r="B192" s="6" t="n">
        <v>12</v>
      </c>
      <c r="C192" s="6" t="n">
        <v>111448215</v>
      </c>
      <c r="D192" s="6" t="s">
        <v>2807</v>
      </c>
      <c r="E192" s="6" t="s">
        <v>841</v>
      </c>
      <c r="F192" s="6" t="s">
        <v>2808</v>
      </c>
      <c r="G192" s="6" t="s">
        <v>2359</v>
      </c>
      <c r="H192" s="6" t="s">
        <v>2816</v>
      </c>
      <c r="I192" s="6" t="s">
        <v>2817</v>
      </c>
      <c r="J192" s="6" t="s">
        <v>2818</v>
      </c>
      <c r="K192" s="6" t="s">
        <v>1813</v>
      </c>
      <c r="L192" s="6" t="s">
        <v>2819</v>
      </c>
      <c r="M192" s="6" t="n">
        <v>4823</v>
      </c>
      <c r="N192" s="7" t="n">
        <v>0.101</v>
      </c>
      <c r="O192" s="6"/>
      <c r="P192" s="6" t="s">
        <v>123</v>
      </c>
      <c r="Q192" s="6" t="s">
        <v>123</v>
      </c>
      <c r="R192" s="6" t="s">
        <v>123</v>
      </c>
      <c r="S192" s="6" t="s">
        <v>123</v>
      </c>
      <c r="T192" s="6" t="s">
        <v>123</v>
      </c>
      <c r="U192" s="10" t="n">
        <f aca="false">HYPERLINK("https://gnomad.broadinstitute.org/variant/12-111448215-G-A?dataset=gnomad_r4", 0.000000684049)</f>
        <v>6.84049E-007</v>
      </c>
      <c r="V192" s="6" t="n">
        <v>0</v>
      </c>
      <c r="W192" s="6" t="n">
        <v>0</v>
      </c>
      <c r="X192" s="6" t="n">
        <v>0</v>
      </c>
      <c r="Y192" s="6" t="n">
        <v>0</v>
      </c>
      <c r="Z192" s="6" t="n">
        <v>-3</v>
      </c>
      <c r="AA192" s="6" t="n">
        <v>-40</v>
      </c>
      <c r="AB192" s="6" t="n">
        <v>-3</v>
      </c>
      <c r="AC192" s="6" t="n">
        <v>6</v>
      </c>
      <c r="AD192" s="6" t="n">
        <v>3.945</v>
      </c>
      <c r="AE192" s="6" t="s">
        <v>124</v>
      </c>
      <c r="AF192" s="6" t="s">
        <v>123</v>
      </c>
      <c r="AG192" s="6" t="s">
        <v>123</v>
      </c>
      <c r="AH192" s="6" t="s">
        <v>123</v>
      </c>
      <c r="AI192" s="6" t="s">
        <v>123</v>
      </c>
      <c r="AJ192" s="8"/>
      <c r="AK192" s="8"/>
      <c r="AL192" s="8"/>
      <c r="AM192" s="8"/>
      <c r="AN192" s="8"/>
      <c r="AO192" s="8"/>
      <c r="AP192" s="9" t="s">
        <v>2820</v>
      </c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76.5" hidden="false" customHeight="true" outlineLevel="0" collapsed="false">
      <c r="A193" s="6" t="s">
        <v>1</v>
      </c>
      <c r="B193" s="6" t="s">
        <v>145</v>
      </c>
      <c r="C193" s="6" t="n">
        <v>53403898</v>
      </c>
      <c r="D193" s="6" t="s">
        <v>1501</v>
      </c>
      <c r="E193" s="6" t="s">
        <v>6</v>
      </c>
      <c r="F193" s="6" t="s">
        <v>1502</v>
      </c>
      <c r="G193" s="6" t="s">
        <v>123</v>
      </c>
      <c r="H193" s="6" t="s">
        <v>2821</v>
      </c>
      <c r="I193" s="6"/>
      <c r="J193" s="6" t="s">
        <v>123</v>
      </c>
      <c r="K193" s="6" t="s">
        <v>127</v>
      </c>
      <c r="L193" s="6" t="s">
        <v>2822</v>
      </c>
      <c r="M193" s="6" t="n">
        <v>2139</v>
      </c>
      <c r="N193" s="7" t="n">
        <v>0.0902</v>
      </c>
      <c r="O193" s="6"/>
      <c r="P193" s="10" t="n">
        <f aca="false">HYPERLINK("https://www.ncbi.nlm.nih.gov/clinvar/variation/95365", 95365)</f>
        <v>95365</v>
      </c>
      <c r="Q193" s="6" t="s">
        <v>283</v>
      </c>
      <c r="R193" s="6" t="s">
        <v>2823</v>
      </c>
      <c r="S193" s="10" t="str">
        <f aca="false">HYPERLINK("https://www.ncbi.nlm.nih.gov/snp/rs2297104", "rs2297104")</f>
        <v>rs2297104</v>
      </c>
      <c r="T193" s="10" t="n">
        <f aca="false">HYPERLINK("https://gnomad.broadinstitute.org/variant/X-53403898-A-G?dataset=gnomad_r4", 0.00983337)</f>
        <v>0.00983337</v>
      </c>
      <c r="U193" s="10" t="n">
        <f aca="false">HYPERLINK("https://gnomad.broadinstitute.org/variant/X-53403898-A-G?dataset=gnomad_r4", 0.00808734)</f>
        <v>0.00808734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35</v>
      </c>
      <c r="AA193" s="6" t="n">
        <v>-5</v>
      </c>
      <c r="AB193" s="6" t="n">
        <v>29</v>
      </c>
      <c r="AC193" s="6" t="n">
        <v>-23</v>
      </c>
      <c r="AD193" s="6" t="n">
        <v>9.617</v>
      </c>
      <c r="AE193" s="6" t="s">
        <v>124</v>
      </c>
      <c r="AF193" s="6" t="s">
        <v>123</v>
      </c>
      <c r="AG193" s="6" t="s">
        <v>123</v>
      </c>
      <c r="AH193" s="6" t="s">
        <v>123</v>
      </c>
      <c r="AI193" s="6" t="s">
        <v>123</v>
      </c>
      <c r="AJ193" s="8"/>
      <c r="AK193" s="8"/>
      <c r="AL193" s="8"/>
      <c r="AM193" s="8"/>
      <c r="AN193" s="8"/>
      <c r="AO193" s="8"/>
      <c r="AP193" s="9" t="s">
        <v>2824</v>
      </c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76.5" hidden="false" customHeight="true" outlineLevel="0" collapsed="false">
      <c r="A194" s="6" t="s">
        <v>1</v>
      </c>
      <c r="B194" s="6" t="n">
        <v>10</v>
      </c>
      <c r="C194" s="6" t="n">
        <v>110589664</v>
      </c>
      <c r="D194" s="6" t="s">
        <v>1510</v>
      </c>
      <c r="E194" s="6" t="s">
        <v>6</v>
      </c>
      <c r="F194" s="6" t="s">
        <v>1511</v>
      </c>
      <c r="G194" s="6" t="s">
        <v>2825</v>
      </c>
      <c r="H194" s="6" t="s">
        <v>2826</v>
      </c>
      <c r="I194" s="6" t="s">
        <v>2827</v>
      </c>
      <c r="J194" s="6" t="s">
        <v>2828</v>
      </c>
      <c r="K194" s="6" t="s">
        <v>1813</v>
      </c>
      <c r="L194" s="6" t="s">
        <v>2829</v>
      </c>
      <c r="M194" s="6" t="n">
        <v>3365</v>
      </c>
      <c r="N194" s="7" t="n">
        <v>0.393</v>
      </c>
      <c r="O194" s="6"/>
      <c r="P194" s="10" t="n">
        <f aca="false">HYPERLINK("https://www.ncbi.nlm.nih.gov/clinvar/variation/159967", 159967)</f>
        <v>159967</v>
      </c>
      <c r="Q194" s="6" t="s">
        <v>418</v>
      </c>
      <c r="R194" s="6" t="s">
        <v>2830</v>
      </c>
      <c r="S194" s="10" t="str">
        <f aca="false">HYPERLINK("https://www.ncbi.nlm.nih.gov/snp/rs75323904", "rs75323904")</f>
        <v>rs75323904</v>
      </c>
      <c r="T194" s="10" t="n">
        <f aca="false">HYPERLINK("https://gnomad.broadinstitute.org/variant/10-110589664-T-C?dataset=gnomad_r4", 0.0593224)</f>
        <v>0.0593224</v>
      </c>
      <c r="U194" s="10" t="n">
        <f aca="false">HYPERLINK("https://gnomad.broadinstitute.org/variant/10-110589664-T-C?dataset=gnomad_r4", 0.0441962)</f>
        <v>0.0441962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-47</v>
      </c>
      <c r="AA194" s="6" t="n">
        <v>42</v>
      </c>
      <c r="AB194" s="6" t="n">
        <v>34</v>
      </c>
      <c r="AC194" s="6" t="n">
        <v>6</v>
      </c>
      <c r="AD194" s="6" t="n">
        <v>5.896</v>
      </c>
      <c r="AE194" s="6" t="s">
        <v>124</v>
      </c>
      <c r="AF194" s="6" t="s">
        <v>123</v>
      </c>
      <c r="AG194" s="6" t="s">
        <v>123</v>
      </c>
      <c r="AH194" s="6" t="s">
        <v>123</v>
      </c>
      <c r="AI194" s="6" t="s">
        <v>123</v>
      </c>
      <c r="AJ194" s="8"/>
      <c r="AK194" s="8"/>
      <c r="AL194" s="8"/>
      <c r="AM194" s="8"/>
      <c r="AN194" s="8"/>
      <c r="AO194" s="8"/>
      <c r="AP194" s="9" t="s">
        <v>2831</v>
      </c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76.5" hidden="false" customHeight="true" outlineLevel="0" collapsed="false">
      <c r="A195" s="6" t="s">
        <v>1</v>
      </c>
      <c r="B195" s="6" t="n">
        <v>10</v>
      </c>
      <c r="C195" s="6" t="n">
        <v>110578619</v>
      </c>
      <c r="D195" s="6" t="s">
        <v>1510</v>
      </c>
      <c r="E195" s="6" t="s">
        <v>6</v>
      </c>
      <c r="F195" s="6" t="s">
        <v>1511</v>
      </c>
      <c r="G195" s="6" t="s">
        <v>123</v>
      </c>
      <c r="H195" s="6" t="s">
        <v>2832</v>
      </c>
      <c r="I195" s="6"/>
      <c r="J195" s="6" t="s">
        <v>123</v>
      </c>
      <c r="K195" s="6" t="s">
        <v>141</v>
      </c>
      <c r="L195" s="6" t="s">
        <v>2833</v>
      </c>
      <c r="M195" s="6" t="n">
        <v>3000</v>
      </c>
      <c r="N195" s="7" t="n">
        <v>0.382</v>
      </c>
      <c r="O195" s="6"/>
      <c r="P195" s="10" t="n">
        <f aca="false">HYPERLINK("https://www.ncbi.nlm.nih.gov/clinvar/variation/159986", 159986)</f>
        <v>159986</v>
      </c>
      <c r="Q195" s="6" t="s">
        <v>418</v>
      </c>
      <c r="R195" s="6" t="s">
        <v>2834</v>
      </c>
      <c r="S195" s="10" t="str">
        <f aca="false">HYPERLINK("https://www.ncbi.nlm.nih.gov/snp/rs78663177", "rs78663177")</f>
        <v>rs78663177</v>
      </c>
      <c r="T195" s="10" t="n">
        <f aca="false">HYPERLINK("https://gnomad.broadinstitute.org/variant/10-110578619-T-C?dataset=gnomad_r4", 0.0592751)</f>
        <v>0.0592751</v>
      </c>
      <c r="U195" s="10" t="n">
        <f aca="false">HYPERLINK("https://gnomad.broadinstitute.org/variant/10-110578619-T-C?dataset=gnomad_r4", 0.0441166)</f>
        <v>0.0441166</v>
      </c>
      <c r="V195" s="6" t="n">
        <v>0</v>
      </c>
      <c r="W195" s="6" t="n">
        <v>0.01</v>
      </c>
      <c r="X195" s="6" t="n">
        <v>0</v>
      </c>
      <c r="Y195" s="6" t="n">
        <v>0</v>
      </c>
      <c r="Z195" s="6" t="n">
        <v>-13</v>
      </c>
      <c r="AA195" s="6" t="n">
        <v>9</v>
      </c>
      <c r="AB195" s="6" t="n">
        <v>18</v>
      </c>
      <c r="AC195" s="6" t="n">
        <v>43</v>
      </c>
      <c r="AD195" s="6" t="n">
        <v>22.9</v>
      </c>
      <c r="AE195" s="6" t="s">
        <v>124</v>
      </c>
      <c r="AF195" s="6" t="s">
        <v>123</v>
      </c>
      <c r="AG195" s="6" t="s">
        <v>123</v>
      </c>
      <c r="AH195" s="6" t="s">
        <v>123</v>
      </c>
      <c r="AI195" s="6" t="s">
        <v>123</v>
      </c>
      <c r="AJ195" s="8"/>
      <c r="AK195" s="8"/>
      <c r="AL195" s="8"/>
      <c r="AM195" s="8"/>
      <c r="AN195" s="8"/>
      <c r="AO195" s="8"/>
      <c r="AP195" s="9" t="s">
        <v>2835</v>
      </c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76.5" hidden="false" customHeight="true" outlineLevel="0" collapsed="false">
      <c r="A196" s="6" t="s">
        <v>1</v>
      </c>
      <c r="B196" s="6" t="n">
        <v>10</v>
      </c>
      <c r="C196" s="6" t="n">
        <v>110581915</v>
      </c>
      <c r="D196" s="6" t="s">
        <v>1510</v>
      </c>
      <c r="E196" s="6" t="s">
        <v>6</v>
      </c>
      <c r="F196" s="6" t="s">
        <v>1511</v>
      </c>
      <c r="G196" s="6" t="s">
        <v>123</v>
      </c>
      <c r="H196" s="6" t="s">
        <v>2836</v>
      </c>
      <c r="I196" s="6"/>
      <c r="J196" s="6" t="s">
        <v>123</v>
      </c>
      <c r="K196" s="6" t="s">
        <v>127</v>
      </c>
      <c r="L196" s="6" t="s">
        <v>2837</v>
      </c>
      <c r="M196" s="6" t="n">
        <v>2961</v>
      </c>
      <c r="N196" s="7" t="n">
        <v>0.397</v>
      </c>
      <c r="O196" s="6"/>
      <c r="P196" s="10" t="n">
        <f aca="false">HYPERLINK("https://www.ncbi.nlm.nih.gov/clinvar/variation/159989", 159989)</f>
        <v>159989</v>
      </c>
      <c r="Q196" s="6" t="s">
        <v>283</v>
      </c>
      <c r="R196" s="6" t="s">
        <v>2838</v>
      </c>
      <c r="S196" s="10" t="str">
        <f aca="false">HYPERLINK("https://www.ncbi.nlm.nih.gov/snp/rs199906378", "rs199906378")</f>
        <v>rs199906378</v>
      </c>
      <c r="T196" s="10" t="n">
        <f aca="false">HYPERLINK("https://gnomad.broadinstitute.org/variant/10-110581915-C-CTT?dataset=gnomad_r4", 0.0591857)</f>
        <v>0.0591857</v>
      </c>
      <c r="U196" s="10" t="n">
        <f aca="false">HYPERLINK("https://gnomad.broadinstitute.org/variant/10-110581915-C-CTT?dataset=gnomad_r4", 0.0442366)</f>
        <v>0.0442366</v>
      </c>
      <c r="V196" s="6" t="s">
        <v>123</v>
      </c>
      <c r="W196" s="6" t="s">
        <v>123</v>
      </c>
      <c r="X196" s="6" t="s">
        <v>123</v>
      </c>
      <c r="Y196" s="6" t="s">
        <v>123</v>
      </c>
      <c r="Z196" s="6" t="s">
        <v>123</v>
      </c>
      <c r="AA196" s="6" t="s">
        <v>123</v>
      </c>
      <c r="AB196" s="6" t="s">
        <v>123</v>
      </c>
      <c r="AC196" s="6" t="s">
        <v>123</v>
      </c>
      <c r="AD196" s="6" t="n">
        <v>4.628</v>
      </c>
      <c r="AE196" s="6" t="s">
        <v>124</v>
      </c>
      <c r="AF196" s="6" t="s">
        <v>123</v>
      </c>
      <c r="AG196" s="6" t="s">
        <v>123</v>
      </c>
      <c r="AH196" s="6" t="s">
        <v>123</v>
      </c>
      <c r="AI196" s="6" t="s">
        <v>123</v>
      </c>
      <c r="AJ196" s="8"/>
      <c r="AK196" s="8"/>
      <c r="AL196" s="8"/>
      <c r="AM196" s="8"/>
      <c r="AN196" s="8"/>
      <c r="AO196" s="8"/>
      <c r="AP196" s="9" t="s">
        <v>2839</v>
      </c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76.5" hidden="false" customHeight="true" outlineLevel="0" collapsed="false">
      <c r="A197" s="6" t="s">
        <v>1</v>
      </c>
      <c r="B197" s="6" t="n">
        <v>10</v>
      </c>
      <c r="C197" s="6" t="n">
        <v>110582548</v>
      </c>
      <c r="D197" s="6" t="s">
        <v>1510</v>
      </c>
      <c r="E197" s="6" t="s">
        <v>6</v>
      </c>
      <c r="F197" s="6" t="s">
        <v>1511</v>
      </c>
      <c r="G197" s="6" t="s">
        <v>123</v>
      </c>
      <c r="H197" s="6" t="s">
        <v>2840</v>
      </c>
      <c r="I197" s="6"/>
      <c r="J197" s="6" t="s">
        <v>123</v>
      </c>
      <c r="K197" s="6" t="s">
        <v>127</v>
      </c>
      <c r="L197" s="6" t="s">
        <v>2841</v>
      </c>
      <c r="M197" s="6" t="n">
        <v>2593</v>
      </c>
      <c r="N197" s="7" t="n">
        <v>0.0929</v>
      </c>
      <c r="O197" s="6" t="s">
        <v>1958</v>
      </c>
      <c r="P197" s="10" t="n">
        <f aca="false">HYPERLINK("https://www.ncbi.nlm.nih.gov/clinvar/variation/159991", 159991)</f>
        <v>159991</v>
      </c>
      <c r="Q197" s="6" t="s">
        <v>418</v>
      </c>
      <c r="R197" s="6" t="s">
        <v>2842</v>
      </c>
      <c r="S197" s="10" t="str">
        <f aca="false">HYPERLINK("https://www.ncbi.nlm.nih.gov/snp/rs11380915", "rs11380915")</f>
        <v>rs11380915</v>
      </c>
      <c r="T197" s="10" t="n">
        <f aca="false">HYPERLINK("https://gnomad.broadinstitute.org/variant/10-110582548-G-GT?dataset=gnomad_r4", 0.100446)</f>
        <v>0.100446</v>
      </c>
      <c r="U197" s="10" t="n">
        <f aca="false">HYPERLINK("https://gnomad.broadinstitute.org/variant/10-110582548-G-GT?dataset=gnomad_r4", 0.0491233)</f>
        <v>0.0491233</v>
      </c>
      <c r="V197" s="6" t="n">
        <v>0.01</v>
      </c>
      <c r="W197" s="6" t="n">
        <v>0</v>
      </c>
      <c r="X197" s="6" t="n">
        <v>0</v>
      </c>
      <c r="Y197" s="6" t="n">
        <v>0</v>
      </c>
      <c r="Z197" s="6" t="n">
        <v>-12</v>
      </c>
      <c r="AA197" s="6" t="n">
        <v>-2</v>
      </c>
      <c r="AB197" s="6" t="n">
        <v>25</v>
      </c>
      <c r="AC197" s="6" t="n">
        <v>26</v>
      </c>
      <c r="AD197" s="6" t="n">
        <v>0.777</v>
      </c>
      <c r="AE197" s="6" t="s">
        <v>124</v>
      </c>
      <c r="AF197" s="6" t="s">
        <v>123</v>
      </c>
      <c r="AG197" s="6" t="s">
        <v>123</v>
      </c>
      <c r="AH197" s="6" t="s">
        <v>123</v>
      </c>
      <c r="AI197" s="6" t="s">
        <v>123</v>
      </c>
      <c r="AJ197" s="8"/>
      <c r="AK197" s="8"/>
      <c r="AL197" s="8"/>
      <c r="AM197" s="8"/>
      <c r="AN197" s="8"/>
      <c r="AO197" s="8"/>
      <c r="AP197" s="9" t="s">
        <v>2843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76.5" hidden="false" customHeight="true" outlineLevel="0" collapsed="false">
      <c r="A198" s="6" t="s">
        <v>1</v>
      </c>
      <c r="B198" s="6" t="n">
        <v>10</v>
      </c>
      <c r="C198" s="6" t="n">
        <v>110602112</v>
      </c>
      <c r="D198" s="6" t="s">
        <v>1510</v>
      </c>
      <c r="E198" s="6" t="s">
        <v>6</v>
      </c>
      <c r="F198" s="6" t="s">
        <v>1511</v>
      </c>
      <c r="G198" s="6" t="s">
        <v>2844</v>
      </c>
      <c r="H198" s="6" t="s">
        <v>2845</v>
      </c>
      <c r="I198" s="6" t="s">
        <v>2846</v>
      </c>
      <c r="J198" s="6" t="s">
        <v>2847</v>
      </c>
      <c r="K198" s="6" t="s">
        <v>1813</v>
      </c>
      <c r="L198" s="6" t="s">
        <v>2848</v>
      </c>
      <c r="M198" s="6" t="n">
        <v>3785</v>
      </c>
      <c r="N198" s="7" t="n">
        <v>0.999</v>
      </c>
      <c r="O198" s="6"/>
      <c r="P198" s="10" t="n">
        <f aca="false">HYPERLINK("https://www.ncbi.nlm.nih.gov/clinvar/variation/159985", 159985)</f>
        <v>159985</v>
      </c>
      <c r="Q198" s="6" t="s">
        <v>418</v>
      </c>
      <c r="R198" s="6" t="s">
        <v>2830</v>
      </c>
      <c r="S198" s="10" t="str">
        <f aca="false">HYPERLINK("https://www.ncbi.nlm.nih.gov/snp/rs2419565", "rs2419565")</f>
        <v>rs2419565</v>
      </c>
      <c r="T198" s="10" t="n">
        <f aca="false">HYPERLINK("https://gnomad.broadinstitute.org/variant/10-110602112-A-G?dataset=gnomad_r4", 0.989483)</f>
        <v>0.989483</v>
      </c>
      <c r="U198" s="6" t="s">
        <v>123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-50</v>
      </c>
      <c r="AA198" s="6" t="n">
        <v>2</v>
      </c>
      <c r="AB198" s="6" t="n">
        <v>18</v>
      </c>
      <c r="AC198" s="6" t="n">
        <v>-43</v>
      </c>
      <c r="AD198" s="6" t="n">
        <v>2.886</v>
      </c>
      <c r="AE198" s="6" t="s">
        <v>124</v>
      </c>
      <c r="AF198" s="6" t="s">
        <v>123</v>
      </c>
      <c r="AG198" s="6" t="s">
        <v>123</v>
      </c>
      <c r="AH198" s="6" t="s">
        <v>123</v>
      </c>
      <c r="AI198" s="6" t="s">
        <v>123</v>
      </c>
      <c r="AJ198" s="8"/>
      <c r="AK198" s="8"/>
      <c r="AL198" s="8"/>
      <c r="AM198" s="8"/>
      <c r="AN198" s="8"/>
      <c r="AO198" s="8"/>
      <c r="AP198" s="9" t="s">
        <v>2849</v>
      </c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76.5" hidden="false" customHeight="true" outlineLevel="0" collapsed="false">
      <c r="A199" s="6" t="s">
        <v>1</v>
      </c>
      <c r="B199" s="6" t="n">
        <v>16</v>
      </c>
      <c r="C199" s="6" t="n">
        <v>30739484</v>
      </c>
      <c r="D199" s="6" t="s">
        <v>1553</v>
      </c>
      <c r="E199" s="6" t="s">
        <v>6</v>
      </c>
      <c r="F199" s="6" t="s">
        <v>1554</v>
      </c>
      <c r="G199" s="6" t="s">
        <v>1159</v>
      </c>
      <c r="H199" s="6" t="s">
        <v>2850</v>
      </c>
      <c r="I199" s="6" t="s">
        <v>2851</v>
      </c>
      <c r="J199" s="6" t="s">
        <v>2852</v>
      </c>
      <c r="K199" s="6" t="s">
        <v>1813</v>
      </c>
      <c r="L199" s="6" t="s">
        <v>2853</v>
      </c>
      <c r="M199" s="6" t="n">
        <v>4347</v>
      </c>
      <c r="N199" s="7" t="n">
        <v>0.0743</v>
      </c>
      <c r="O199" s="6"/>
      <c r="P199" s="10" t="n">
        <f aca="false">HYPERLINK("https://www.ncbi.nlm.nih.gov/clinvar/variation/196909", 196909)</f>
        <v>196909</v>
      </c>
      <c r="Q199" s="6" t="s">
        <v>283</v>
      </c>
      <c r="R199" s="6" t="s">
        <v>2854</v>
      </c>
      <c r="S199" s="10" t="str">
        <f aca="false">HYPERLINK("https://www.ncbi.nlm.nih.gov/snp/rs142948420", "rs142948420")</f>
        <v>rs142948420</v>
      </c>
      <c r="T199" s="10" t="n">
        <f aca="false">HYPERLINK("https://gnomad.broadinstitute.org/variant/16-30739484-T-C?dataset=gnomad_r4", 0.00201751)</f>
        <v>0.00201751</v>
      </c>
      <c r="U199" s="10" t="n">
        <f aca="false">HYPERLINK("https://gnomad.broadinstitute.org/variant/16-30739484-T-C?dataset=gnomad_r4", 0.000213465)</f>
        <v>0.000213465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-19</v>
      </c>
      <c r="AA199" s="6" t="n">
        <v>-49</v>
      </c>
      <c r="AB199" s="6" t="n">
        <v>0</v>
      </c>
      <c r="AC199" s="6" t="n">
        <v>-8</v>
      </c>
      <c r="AD199" s="6" t="n">
        <v>6.521</v>
      </c>
      <c r="AE199" s="6" t="s">
        <v>124</v>
      </c>
      <c r="AF199" s="6" t="s">
        <v>123</v>
      </c>
      <c r="AG199" s="6" t="s">
        <v>123</v>
      </c>
      <c r="AH199" s="6" t="s">
        <v>123</v>
      </c>
      <c r="AI199" s="6" t="s">
        <v>123</v>
      </c>
      <c r="AJ199" s="8"/>
      <c r="AK199" s="8"/>
      <c r="AL199" s="8"/>
      <c r="AM199" s="8"/>
      <c r="AN199" s="8"/>
      <c r="AO199" s="8"/>
      <c r="AP199" s="9" t="s">
        <v>2855</v>
      </c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76.5" hidden="false" customHeight="true" outlineLevel="0" collapsed="false">
      <c r="A200" s="6" t="s">
        <v>1</v>
      </c>
      <c r="B200" s="6" t="n">
        <v>16</v>
      </c>
      <c r="C200" s="6" t="n">
        <v>30723717</v>
      </c>
      <c r="D200" s="6" t="s">
        <v>1553</v>
      </c>
      <c r="E200" s="6" t="s">
        <v>6</v>
      </c>
      <c r="F200" s="6" t="s">
        <v>1554</v>
      </c>
      <c r="G200" s="6" t="s">
        <v>2856</v>
      </c>
      <c r="H200" s="6" t="s">
        <v>2857</v>
      </c>
      <c r="I200" s="6" t="s">
        <v>2858</v>
      </c>
      <c r="J200" s="6" t="s">
        <v>2859</v>
      </c>
      <c r="K200" s="6" t="s">
        <v>1813</v>
      </c>
      <c r="L200" s="6" t="s">
        <v>2860</v>
      </c>
      <c r="M200" s="6" t="n">
        <v>3770</v>
      </c>
      <c r="N200" s="7" t="n">
        <v>0.0966</v>
      </c>
      <c r="O200" s="6"/>
      <c r="P200" s="10" t="n">
        <f aca="false">HYPERLINK("https://www.ncbi.nlm.nih.gov/clinvar/variation/160034", 160034)</f>
        <v>160034</v>
      </c>
      <c r="Q200" s="6" t="s">
        <v>283</v>
      </c>
      <c r="R200" s="6" t="s">
        <v>2854</v>
      </c>
      <c r="S200" s="10" t="str">
        <f aca="false">HYPERLINK("https://www.ncbi.nlm.nih.gov/snp/rs79597785", "rs79597785")</f>
        <v>rs79597785</v>
      </c>
      <c r="T200" s="10" t="n">
        <f aca="false">HYPERLINK("https://gnomad.broadinstitute.org/variant/16-30723717-C-G?dataset=gnomad_r4", 0.0146541)</f>
        <v>0.0146541</v>
      </c>
      <c r="U200" s="10" t="n">
        <f aca="false">HYPERLINK("https://gnomad.broadinstitute.org/variant/16-30723717-C-G?dataset=gnomad_r4", 0.0230545)</f>
        <v>0.0230545</v>
      </c>
      <c r="V200" s="6" t="n">
        <v>0</v>
      </c>
      <c r="W200" s="6" t="n">
        <v>0</v>
      </c>
      <c r="X200" s="6" t="n">
        <v>0.01</v>
      </c>
      <c r="Y200" s="6" t="n">
        <v>0</v>
      </c>
      <c r="Z200" s="6" t="n">
        <v>-1</v>
      </c>
      <c r="AA200" s="6" t="n">
        <v>-48</v>
      </c>
      <c r="AB200" s="6" t="n">
        <v>-1</v>
      </c>
      <c r="AC200" s="6" t="n">
        <v>-15</v>
      </c>
      <c r="AD200" s="6" t="n">
        <v>2.008</v>
      </c>
      <c r="AE200" s="6" t="s">
        <v>124</v>
      </c>
      <c r="AF200" s="6" t="s">
        <v>123</v>
      </c>
      <c r="AG200" s="6" t="s">
        <v>123</v>
      </c>
      <c r="AH200" s="6" t="s">
        <v>123</v>
      </c>
      <c r="AI200" s="6" t="s">
        <v>123</v>
      </c>
      <c r="AJ200" s="8"/>
      <c r="AK200" s="8"/>
      <c r="AL200" s="8"/>
      <c r="AM200" s="8"/>
      <c r="AN200" s="8"/>
      <c r="AO200" s="8"/>
      <c r="AP200" s="9" t="s">
        <v>2861</v>
      </c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63.75" hidden="false" customHeight="true" outlineLevel="0" collapsed="false">
      <c r="A201" s="6" t="s">
        <v>1</v>
      </c>
      <c r="B201" s="6" t="n">
        <v>16</v>
      </c>
      <c r="C201" s="6" t="n">
        <v>30712067</v>
      </c>
      <c r="D201" s="6" t="s">
        <v>1553</v>
      </c>
      <c r="E201" s="6" t="s">
        <v>6</v>
      </c>
      <c r="F201" s="6" t="s">
        <v>1554</v>
      </c>
      <c r="G201" s="6" t="s">
        <v>1206</v>
      </c>
      <c r="H201" s="6" t="s">
        <v>2862</v>
      </c>
      <c r="I201" s="6" t="s">
        <v>2863</v>
      </c>
      <c r="J201" s="6" t="s">
        <v>2864</v>
      </c>
      <c r="K201" s="6" t="s">
        <v>1813</v>
      </c>
      <c r="L201" s="6" t="s">
        <v>2865</v>
      </c>
      <c r="M201" s="6" t="n">
        <v>3626</v>
      </c>
      <c r="N201" s="7" t="n">
        <v>0.344</v>
      </c>
      <c r="O201" s="6" t="s">
        <v>1879</v>
      </c>
      <c r="P201" s="6" t="s">
        <v>123</v>
      </c>
      <c r="Q201" s="6" t="s">
        <v>123</v>
      </c>
      <c r="R201" s="6" t="s">
        <v>123</v>
      </c>
      <c r="S201" s="6" t="s">
        <v>123</v>
      </c>
      <c r="T201" s="6" t="s">
        <v>123</v>
      </c>
      <c r="U201" s="6" t="s">
        <v>123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11</v>
      </c>
      <c r="AA201" s="6" t="n">
        <v>44</v>
      </c>
      <c r="AB201" s="6" t="n">
        <v>10</v>
      </c>
      <c r="AC201" s="6" t="n">
        <v>-41</v>
      </c>
      <c r="AD201" s="6" t="n">
        <v>6.299</v>
      </c>
      <c r="AE201" s="6" t="s">
        <v>124</v>
      </c>
      <c r="AF201" s="6" t="s">
        <v>123</v>
      </c>
      <c r="AG201" s="6" t="s">
        <v>123</v>
      </c>
      <c r="AH201" s="6" t="s">
        <v>123</v>
      </c>
      <c r="AI201" s="6" t="s">
        <v>123</v>
      </c>
      <c r="AJ201" s="8"/>
      <c r="AK201" s="8"/>
      <c r="AL201" s="8"/>
      <c r="AM201" s="8"/>
      <c r="AN201" s="8"/>
      <c r="AO201" s="8"/>
      <c r="AP201" s="9" t="s">
        <v>2866</v>
      </c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63.75" hidden="false" customHeight="true" outlineLevel="0" collapsed="false">
      <c r="A202" s="6" t="s">
        <v>1</v>
      </c>
      <c r="B202" s="6" t="s">
        <v>145</v>
      </c>
      <c r="C202" s="6" t="n">
        <v>124066143</v>
      </c>
      <c r="D202" s="6" t="s">
        <v>1561</v>
      </c>
      <c r="E202" s="6" t="s">
        <v>6</v>
      </c>
      <c r="F202" s="6" t="s">
        <v>1562</v>
      </c>
      <c r="G202" s="6" t="s">
        <v>123</v>
      </c>
      <c r="H202" s="6" t="s">
        <v>2867</v>
      </c>
      <c r="I202" s="6"/>
      <c r="J202" s="6" t="s">
        <v>123</v>
      </c>
      <c r="K202" s="6" t="s">
        <v>127</v>
      </c>
      <c r="L202" s="6" t="s">
        <v>2868</v>
      </c>
      <c r="M202" s="6" t="n">
        <v>1944</v>
      </c>
      <c r="N202" s="7" t="n">
        <v>0.037</v>
      </c>
      <c r="O202" s="6" t="s">
        <v>1820</v>
      </c>
      <c r="P202" s="6" t="s">
        <v>123</v>
      </c>
      <c r="Q202" s="6" t="s">
        <v>123</v>
      </c>
      <c r="R202" s="6" t="s">
        <v>123</v>
      </c>
      <c r="S202" s="6" t="s">
        <v>123</v>
      </c>
      <c r="T202" s="6" t="s">
        <v>123</v>
      </c>
      <c r="U202" s="10" t="n">
        <f aca="false">HYPERLINK("https://gnomad.broadinstitute.org/variant/X-124066143-ATTTTT-A?dataset=gnomad_r4", 0.00593365)</f>
        <v>0.00593365</v>
      </c>
      <c r="V202" s="6" t="s">
        <v>123</v>
      </c>
      <c r="W202" s="6" t="s">
        <v>123</v>
      </c>
      <c r="X202" s="6" t="s">
        <v>123</v>
      </c>
      <c r="Y202" s="6" t="s">
        <v>123</v>
      </c>
      <c r="Z202" s="6" t="s">
        <v>123</v>
      </c>
      <c r="AA202" s="6" t="s">
        <v>123</v>
      </c>
      <c r="AB202" s="6" t="s">
        <v>123</v>
      </c>
      <c r="AC202" s="6" t="s">
        <v>123</v>
      </c>
      <c r="AD202" s="6" t="n">
        <v>2.379</v>
      </c>
      <c r="AE202" s="6" t="s">
        <v>124</v>
      </c>
      <c r="AF202" s="6" t="s">
        <v>123</v>
      </c>
      <c r="AG202" s="6" t="s">
        <v>123</v>
      </c>
      <c r="AH202" s="6" t="s">
        <v>123</v>
      </c>
      <c r="AI202" s="6" t="s">
        <v>123</v>
      </c>
      <c r="AJ202" s="8"/>
      <c r="AK202" s="8"/>
      <c r="AL202" s="8"/>
      <c r="AM202" s="8"/>
      <c r="AN202" s="8"/>
      <c r="AO202" s="8"/>
      <c r="AP202" s="9" t="s">
        <v>2869</v>
      </c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76.5" hidden="false" customHeight="true" outlineLevel="0" collapsed="false">
      <c r="A203" s="6" t="s">
        <v>1</v>
      </c>
      <c r="B203" s="6" t="s">
        <v>145</v>
      </c>
      <c r="C203" s="6" t="n">
        <v>124066143</v>
      </c>
      <c r="D203" s="6" t="s">
        <v>1561</v>
      </c>
      <c r="E203" s="6" t="s">
        <v>6</v>
      </c>
      <c r="F203" s="6" t="s">
        <v>1562</v>
      </c>
      <c r="G203" s="6" t="s">
        <v>123</v>
      </c>
      <c r="H203" s="6" t="s">
        <v>2870</v>
      </c>
      <c r="I203" s="6"/>
      <c r="J203" s="6" t="s">
        <v>123</v>
      </c>
      <c r="K203" s="6" t="s">
        <v>127</v>
      </c>
      <c r="L203" s="6" t="s">
        <v>2871</v>
      </c>
      <c r="M203" s="6" t="n">
        <v>1944</v>
      </c>
      <c r="N203" s="7" t="n">
        <v>0.0591</v>
      </c>
      <c r="O203" s="6" t="s">
        <v>1820</v>
      </c>
      <c r="P203" s="6" t="s">
        <v>123</v>
      </c>
      <c r="Q203" s="6" t="s">
        <v>123</v>
      </c>
      <c r="R203" s="6" t="s">
        <v>123</v>
      </c>
      <c r="S203" s="10" t="str">
        <f aca="false">HYPERLINK("https://www.ncbi.nlm.nih.gov/snp/rs748906058", "rs748906058")</f>
        <v>rs748906058</v>
      </c>
      <c r="T203" s="10" t="n">
        <f aca="false">HYPERLINK("https://gnomad.broadinstitute.org/variant/X-124066143-ATTTTTT-A?dataset=gnomad_r4", 0.00185488)</f>
        <v>0.00185488</v>
      </c>
      <c r="U203" s="10" t="n">
        <f aca="false">HYPERLINK("https://gnomad.broadinstitute.org/variant/X-124066143-ATTTTTT-A?dataset=gnomad_r4", 0.00265132)</f>
        <v>0.00265132</v>
      </c>
      <c r="V203" s="6" t="s">
        <v>123</v>
      </c>
      <c r="W203" s="6" t="s">
        <v>123</v>
      </c>
      <c r="X203" s="6" t="s">
        <v>123</v>
      </c>
      <c r="Y203" s="6" t="s">
        <v>123</v>
      </c>
      <c r="Z203" s="6" t="s">
        <v>123</v>
      </c>
      <c r="AA203" s="6" t="s">
        <v>123</v>
      </c>
      <c r="AB203" s="6" t="s">
        <v>123</v>
      </c>
      <c r="AC203" s="6" t="s">
        <v>123</v>
      </c>
      <c r="AD203" s="6" t="n">
        <v>2.336</v>
      </c>
      <c r="AE203" s="6" t="s">
        <v>124</v>
      </c>
      <c r="AF203" s="6" t="s">
        <v>123</v>
      </c>
      <c r="AG203" s="6" t="s">
        <v>123</v>
      </c>
      <c r="AH203" s="6" t="s">
        <v>123</v>
      </c>
      <c r="AI203" s="6" t="s">
        <v>123</v>
      </c>
      <c r="AJ203" s="8"/>
      <c r="AK203" s="8"/>
      <c r="AL203" s="8"/>
      <c r="AM203" s="8"/>
      <c r="AN203" s="8"/>
      <c r="AO203" s="8"/>
      <c r="AP203" s="9" t="s">
        <v>2872</v>
      </c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76.5" hidden="false" customHeight="true" outlineLevel="0" collapsed="false">
      <c r="A204" s="6" t="s">
        <v>1</v>
      </c>
      <c r="B204" s="6" t="s">
        <v>145</v>
      </c>
      <c r="C204" s="6" t="n">
        <v>124061743</v>
      </c>
      <c r="D204" s="6" t="s">
        <v>1561</v>
      </c>
      <c r="E204" s="6" t="s">
        <v>6</v>
      </c>
      <c r="F204" s="6" t="s">
        <v>1562</v>
      </c>
      <c r="G204" s="6" t="s">
        <v>123</v>
      </c>
      <c r="H204" s="6" t="s">
        <v>2873</v>
      </c>
      <c r="I204" s="6"/>
      <c r="J204" s="6" t="s">
        <v>123</v>
      </c>
      <c r="K204" s="6" t="s">
        <v>127</v>
      </c>
      <c r="L204" s="6" t="s">
        <v>2874</v>
      </c>
      <c r="M204" s="6" t="n">
        <v>1779</v>
      </c>
      <c r="N204" s="7" t="n">
        <v>0.252</v>
      </c>
      <c r="O204" s="6" t="s">
        <v>1820</v>
      </c>
      <c r="P204" s="10" t="n">
        <f aca="false">HYPERLINK("https://www.ncbi.nlm.nih.gov/clinvar/variation/1637301", 1637301)</f>
        <v>1637301</v>
      </c>
      <c r="Q204" s="6" t="s">
        <v>283</v>
      </c>
      <c r="R204" s="6" t="s">
        <v>2875</v>
      </c>
      <c r="S204" s="10" t="str">
        <f aca="false">HYPERLINK("https://www.ncbi.nlm.nih.gov/snp/rs36097834", "rs36097834")</f>
        <v>rs36097834</v>
      </c>
      <c r="T204" s="10" t="n">
        <f aca="false">HYPERLINK("https://gnomad.broadinstitute.org/variant/X-124061743-CTTTTTTTTTT-C?dataset=gnomad_r4", 0.00975192)</f>
        <v>0.00975192</v>
      </c>
      <c r="U204" s="10" t="n">
        <f aca="false">HYPERLINK("https://gnomad.broadinstitute.org/variant/X-124061743-CTTTTTTTTTT-C?dataset=gnomad_r4", 0.000948178)</f>
        <v>0.000948178</v>
      </c>
      <c r="V204" s="6" t="s">
        <v>123</v>
      </c>
      <c r="W204" s="6" t="s">
        <v>123</v>
      </c>
      <c r="X204" s="6" t="s">
        <v>123</v>
      </c>
      <c r="Y204" s="6" t="s">
        <v>123</v>
      </c>
      <c r="Z204" s="6" t="s">
        <v>123</v>
      </c>
      <c r="AA204" s="6" t="s">
        <v>123</v>
      </c>
      <c r="AB204" s="6" t="s">
        <v>123</v>
      </c>
      <c r="AC204" s="6" t="s">
        <v>123</v>
      </c>
      <c r="AD204" s="6" t="n">
        <v>0.636</v>
      </c>
      <c r="AE204" s="6" t="s">
        <v>124</v>
      </c>
      <c r="AF204" s="6" t="s">
        <v>123</v>
      </c>
      <c r="AG204" s="6" t="s">
        <v>123</v>
      </c>
      <c r="AH204" s="6" t="s">
        <v>123</v>
      </c>
      <c r="AI204" s="6" t="s">
        <v>123</v>
      </c>
      <c r="AJ204" s="8"/>
      <c r="AK204" s="8"/>
      <c r="AL204" s="8"/>
      <c r="AM204" s="8"/>
      <c r="AN204" s="8"/>
      <c r="AO204" s="8"/>
      <c r="AP204" s="9" t="s">
        <v>2876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76.5" hidden="false" customHeight="true" outlineLevel="0" collapsed="false">
      <c r="A205" s="6" t="s">
        <v>1</v>
      </c>
      <c r="B205" s="6" t="s">
        <v>145</v>
      </c>
      <c r="C205" s="6" t="n">
        <v>124051099</v>
      </c>
      <c r="D205" s="6" t="s">
        <v>1561</v>
      </c>
      <c r="E205" s="6" t="s">
        <v>6</v>
      </c>
      <c r="F205" s="6" t="s">
        <v>1562</v>
      </c>
      <c r="G205" s="6" t="s">
        <v>123</v>
      </c>
      <c r="H205" s="6" t="s">
        <v>2877</v>
      </c>
      <c r="I205" s="6"/>
      <c r="J205" s="6" t="s">
        <v>123</v>
      </c>
      <c r="K205" s="6" t="s">
        <v>127</v>
      </c>
      <c r="L205" s="6" t="s">
        <v>2878</v>
      </c>
      <c r="M205" s="6" t="n">
        <v>1627</v>
      </c>
      <c r="N205" s="7" t="n">
        <v>0.169</v>
      </c>
      <c r="O205" s="6" t="s">
        <v>1820</v>
      </c>
      <c r="P205" s="6" t="s">
        <v>123</v>
      </c>
      <c r="Q205" s="6" t="s">
        <v>123</v>
      </c>
      <c r="R205" s="6" t="s">
        <v>123</v>
      </c>
      <c r="S205" s="10" t="str">
        <f aca="false">HYPERLINK("https://www.ncbi.nlm.nih.gov/snp/rs747648873", "rs747648873")</f>
        <v>rs747648873</v>
      </c>
      <c r="T205" s="10" t="n">
        <f aca="false">HYPERLINK("https://gnomad.broadinstitute.org/variant/X-124051099-CTT-C?dataset=gnomad_r4", 0.00640724)</f>
        <v>0.00640724</v>
      </c>
      <c r="U205" s="10" t="n">
        <f aca="false">HYPERLINK("https://gnomad.broadinstitute.org/variant/X-124051099-CTT-C?dataset=gnomad_r4", 0.0405191)</f>
        <v>0.0405191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25</v>
      </c>
      <c r="AA205" s="6" t="n">
        <v>26</v>
      </c>
      <c r="AB205" s="6" t="n">
        <v>30</v>
      </c>
      <c r="AC205" s="6" t="n">
        <v>25</v>
      </c>
      <c r="AD205" s="6" t="n">
        <v>0.816</v>
      </c>
      <c r="AE205" s="6" t="s">
        <v>124</v>
      </c>
      <c r="AF205" s="6" t="s">
        <v>123</v>
      </c>
      <c r="AG205" s="6" t="s">
        <v>123</v>
      </c>
      <c r="AH205" s="6" t="s">
        <v>123</v>
      </c>
      <c r="AI205" s="6" t="s">
        <v>123</v>
      </c>
      <c r="AJ205" s="8"/>
      <c r="AK205" s="8"/>
      <c r="AL205" s="8"/>
      <c r="AM205" s="8"/>
      <c r="AN205" s="8"/>
      <c r="AO205" s="8"/>
      <c r="AP205" s="9" t="s">
        <v>2879</v>
      </c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76.5" hidden="false" customHeight="true" outlineLevel="0" collapsed="false">
      <c r="A206" s="6" t="s">
        <v>1</v>
      </c>
      <c r="B206" s="6" t="s">
        <v>145</v>
      </c>
      <c r="C206" s="6" t="n">
        <v>124051099</v>
      </c>
      <c r="D206" s="6" t="s">
        <v>1561</v>
      </c>
      <c r="E206" s="6" t="s">
        <v>6</v>
      </c>
      <c r="F206" s="6" t="s">
        <v>1562</v>
      </c>
      <c r="G206" s="6" t="s">
        <v>123</v>
      </c>
      <c r="H206" s="6" t="s">
        <v>2880</v>
      </c>
      <c r="I206" s="6"/>
      <c r="J206" s="6" t="s">
        <v>123</v>
      </c>
      <c r="K206" s="6" t="s">
        <v>127</v>
      </c>
      <c r="L206" s="6" t="s">
        <v>2881</v>
      </c>
      <c r="M206" s="6" t="n">
        <v>1627</v>
      </c>
      <c r="N206" s="7" t="n">
        <v>0.29</v>
      </c>
      <c r="O206" s="6" t="s">
        <v>1820</v>
      </c>
      <c r="P206" s="6" t="s">
        <v>123</v>
      </c>
      <c r="Q206" s="6" t="s">
        <v>123</v>
      </c>
      <c r="R206" s="6" t="s">
        <v>123</v>
      </c>
      <c r="S206" s="10" t="str">
        <f aca="false">HYPERLINK("https://www.ncbi.nlm.nih.gov/snp/rs747648873", "rs747648873")</f>
        <v>rs747648873</v>
      </c>
      <c r="T206" s="10" t="n">
        <f aca="false">HYPERLINK("https://gnomad.broadinstitute.org/variant/X-124051099-CTTT-C?dataset=gnomad_r4", 0.0000247255)</f>
        <v>2.47255E-005</v>
      </c>
      <c r="U206" s="10" t="n">
        <f aca="false">HYPERLINK("https://gnomad.broadinstitute.org/variant/X-124051099-CTTT-C?dataset=gnomad_r4", 0.00973541)</f>
        <v>0.00973541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26</v>
      </c>
      <c r="AA206" s="6" t="n">
        <v>22</v>
      </c>
      <c r="AB206" s="6" t="n">
        <v>26</v>
      </c>
      <c r="AC206" s="6" t="n">
        <v>25</v>
      </c>
      <c r="AD206" s="6" t="n">
        <v>1.065</v>
      </c>
      <c r="AE206" s="6" t="s">
        <v>124</v>
      </c>
      <c r="AF206" s="6" t="s">
        <v>123</v>
      </c>
      <c r="AG206" s="6" t="s">
        <v>123</v>
      </c>
      <c r="AH206" s="6" t="s">
        <v>123</v>
      </c>
      <c r="AI206" s="6" t="s">
        <v>123</v>
      </c>
      <c r="AJ206" s="8"/>
      <c r="AK206" s="8"/>
      <c r="AL206" s="8"/>
      <c r="AM206" s="8"/>
      <c r="AN206" s="8"/>
      <c r="AO206" s="8"/>
      <c r="AP206" s="9" t="s">
        <v>2882</v>
      </c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76.5" hidden="false" customHeight="true" outlineLevel="0" collapsed="false">
      <c r="A207" s="6" t="s">
        <v>1</v>
      </c>
      <c r="B207" s="6" t="s">
        <v>145</v>
      </c>
      <c r="C207" s="6" t="n">
        <v>124051099</v>
      </c>
      <c r="D207" s="6" t="s">
        <v>1561</v>
      </c>
      <c r="E207" s="6" t="s">
        <v>6</v>
      </c>
      <c r="F207" s="6" t="s">
        <v>1562</v>
      </c>
      <c r="G207" s="6" t="s">
        <v>123</v>
      </c>
      <c r="H207" s="6" t="s">
        <v>2883</v>
      </c>
      <c r="I207" s="6"/>
      <c r="J207" s="6" t="s">
        <v>123</v>
      </c>
      <c r="K207" s="6" t="s">
        <v>127</v>
      </c>
      <c r="L207" s="6" t="s">
        <v>2884</v>
      </c>
      <c r="M207" s="6" t="n">
        <v>1627</v>
      </c>
      <c r="N207" s="7" t="n">
        <v>0.177</v>
      </c>
      <c r="O207" s="6" t="s">
        <v>1820</v>
      </c>
      <c r="P207" s="6" t="s">
        <v>123</v>
      </c>
      <c r="Q207" s="6" t="s">
        <v>123</v>
      </c>
      <c r="R207" s="6" t="s">
        <v>123</v>
      </c>
      <c r="S207" s="10" t="str">
        <f aca="false">HYPERLINK("https://www.ncbi.nlm.nih.gov/snp/rs747648873", "rs747648873")</f>
        <v>rs747648873</v>
      </c>
      <c r="T207" s="10" t="n">
        <f aca="false">HYPERLINK("https://gnomad.broadinstitute.org/variant/X-124051099-CTTTT-C?dataset=gnomad_r4", 0.0000494694)</f>
        <v>4.94694E-005</v>
      </c>
      <c r="U207" s="10" t="n">
        <f aca="false">HYPERLINK("https://gnomad.broadinstitute.org/variant/X-124051099-CTTTT-C?dataset=gnomad_r4", 0.00266933)</f>
        <v>0.00266933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-21</v>
      </c>
      <c r="AA207" s="6" t="n">
        <v>26</v>
      </c>
      <c r="AB207" s="6" t="n">
        <v>30</v>
      </c>
      <c r="AC207" s="6" t="n">
        <v>25</v>
      </c>
      <c r="AD207" s="6" t="n">
        <v>1.276</v>
      </c>
      <c r="AE207" s="6" t="s">
        <v>124</v>
      </c>
      <c r="AF207" s="6" t="s">
        <v>123</v>
      </c>
      <c r="AG207" s="6" t="s">
        <v>123</v>
      </c>
      <c r="AH207" s="6" t="s">
        <v>123</v>
      </c>
      <c r="AI207" s="6" t="s">
        <v>123</v>
      </c>
      <c r="AJ207" s="8"/>
      <c r="AK207" s="8"/>
      <c r="AL207" s="8"/>
      <c r="AM207" s="8"/>
      <c r="AN207" s="8"/>
      <c r="AO207" s="8"/>
      <c r="AP207" s="9" t="s">
        <v>2885</v>
      </c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76.5" hidden="false" customHeight="true" outlineLevel="0" collapsed="false">
      <c r="A208" s="6" t="s">
        <v>1</v>
      </c>
      <c r="B208" s="6" t="n">
        <v>17</v>
      </c>
      <c r="C208" s="6" t="n">
        <v>31966130</v>
      </c>
      <c r="D208" s="6" t="s">
        <v>1655</v>
      </c>
      <c r="E208" s="6" t="s">
        <v>531</v>
      </c>
      <c r="F208" s="6" t="s">
        <v>1656</v>
      </c>
      <c r="G208" s="6" t="s">
        <v>123</v>
      </c>
      <c r="H208" s="6" t="s">
        <v>2886</v>
      </c>
      <c r="I208" s="6"/>
      <c r="J208" s="6" t="s">
        <v>123</v>
      </c>
      <c r="K208" s="6" t="s">
        <v>127</v>
      </c>
      <c r="L208" s="6" t="s">
        <v>2887</v>
      </c>
      <c r="M208" s="6" t="n">
        <v>2226</v>
      </c>
      <c r="N208" s="7" t="n">
        <v>0.0817</v>
      </c>
      <c r="O208" s="6" t="s">
        <v>1820</v>
      </c>
      <c r="P208" s="6" t="s">
        <v>123</v>
      </c>
      <c r="Q208" s="6" t="s">
        <v>123</v>
      </c>
      <c r="R208" s="6" t="s">
        <v>123</v>
      </c>
      <c r="S208" s="10" t="str">
        <f aca="false">HYPERLINK("https://www.ncbi.nlm.nih.gov/snp/rs79205882", "rs79205882")</f>
        <v>rs79205882</v>
      </c>
      <c r="T208" s="10" t="n">
        <f aca="false">HYPERLINK("https://gnomad.broadinstitute.org/variant/17-31966130-CT-C?dataset=gnomad_r4", 0.00285443)</f>
        <v>0.00285443</v>
      </c>
      <c r="U208" s="6" t="s">
        <v>123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25</v>
      </c>
      <c r="AA208" s="6" t="n">
        <v>17</v>
      </c>
      <c r="AB208" s="6" t="n">
        <v>29</v>
      </c>
      <c r="AC208" s="6" t="n">
        <v>36</v>
      </c>
      <c r="AD208" s="6" t="n">
        <v>6.278</v>
      </c>
      <c r="AE208" s="6" t="s">
        <v>124</v>
      </c>
      <c r="AF208" s="6" t="s">
        <v>123</v>
      </c>
      <c r="AG208" s="6" t="s">
        <v>123</v>
      </c>
      <c r="AH208" s="6" t="s">
        <v>123</v>
      </c>
      <c r="AI208" s="6" t="s">
        <v>123</v>
      </c>
      <c r="AJ208" s="8"/>
      <c r="AK208" s="8"/>
      <c r="AL208" s="8"/>
      <c r="AM208" s="8"/>
      <c r="AN208" s="8"/>
      <c r="AO208" s="8"/>
      <c r="AP208" s="9" t="s">
        <v>2888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76.5" hidden="false" customHeight="true" outlineLevel="0" collapsed="false">
      <c r="A209" s="6" t="s">
        <v>1</v>
      </c>
      <c r="B209" s="6" t="n">
        <v>17</v>
      </c>
      <c r="C209" s="6" t="n">
        <v>31975717</v>
      </c>
      <c r="D209" s="6" t="s">
        <v>1655</v>
      </c>
      <c r="E209" s="6" t="s">
        <v>531</v>
      </c>
      <c r="F209" s="6" t="s">
        <v>1656</v>
      </c>
      <c r="G209" s="6" t="s">
        <v>123</v>
      </c>
      <c r="H209" s="6" t="s">
        <v>2889</v>
      </c>
      <c r="I209" s="6"/>
      <c r="J209" s="6" t="s">
        <v>123</v>
      </c>
      <c r="K209" s="6" t="s">
        <v>141</v>
      </c>
      <c r="L209" s="6" t="s">
        <v>2890</v>
      </c>
      <c r="M209" s="6" t="n">
        <v>2380</v>
      </c>
      <c r="N209" s="7" t="n">
        <v>0.639</v>
      </c>
      <c r="O209" s="6" t="s">
        <v>1820</v>
      </c>
      <c r="P209" s="6" t="s">
        <v>123</v>
      </c>
      <c r="Q209" s="6" t="s">
        <v>123</v>
      </c>
      <c r="R209" s="6" t="s">
        <v>123</v>
      </c>
      <c r="S209" s="10" t="str">
        <f aca="false">HYPERLINK("https://www.ncbi.nlm.nih.gov/snp/rs763857580", "rs763857580")</f>
        <v>rs763857580</v>
      </c>
      <c r="T209" s="10" t="n">
        <f aca="false">HYPERLINK("https://gnomad.broadinstitute.org/variant/17-31975717-AT-A?dataset=gnomad_r4", 0.0024235)</f>
        <v>0.0024235</v>
      </c>
      <c r="U209" s="6" t="s">
        <v>123</v>
      </c>
      <c r="V209" s="6" t="n">
        <v>0</v>
      </c>
      <c r="W209" s="6" t="n">
        <v>0</v>
      </c>
      <c r="X209" s="6" t="n">
        <v>0</v>
      </c>
      <c r="Y209" s="6" t="n">
        <v>0.02</v>
      </c>
      <c r="Z209" s="6" t="n">
        <v>-4</v>
      </c>
      <c r="AA209" s="6" t="n">
        <v>17</v>
      </c>
      <c r="AB209" s="6" t="n">
        <v>-10</v>
      </c>
      <c r="AC209" s="6" t="n">
        <v>-4</v>
      </c>
      <c r="AD209" s="6" t="n">
        <v>11.53</v>
      </c>
      <c r="AE209" s="6" t="s">
        <v>124</v>
      </c>
      <c r="AF209" s="6" t="s">
        <v>123</v>
      </c>
      <c r="AG209" s="6" t="s">
        <v>123</v>
      </c>
      <c r="AH209" s="6" t="s">
        <v>123</v>
      </c>
      <c r="AI209" s="6" t="s">
        <v>123</v>
      </c>
      <c r="AJ209" s="8"/>
      <c r="AK209" s="8"/>
      <c r="AL209" s="8"/>
      <c r="AM209" s="8"/>
      <c r="AN209" s="8"/>
      <c r="AO209" s="8"/>
      <c r="AP209" s="9" t="s">
        <v>2891</v>
      </c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76.5" hidden="false" customHeight="true" outlineLevel="0" collapsed="false">
      <c r="A210" s="6" t="s">
        <v>1</v>
      </c>
      <c r="B210" s="6" t="n">
        <v>4</v>
      </c>
      <c r="C210" s="6" t="n">
        <v>105275843</v>
      </c>
      <c r="D210" s="6" t="s">
        <v>1689</v>
      </c>
      <c r="E210" s="6" t="s">
        <v>832</v>
      </c>
      <c r="F210" s="6" t="s">
        <v>1690</v>
      </c>
      <c r="G210" s="6" t="s">
        <v>1697</v>
      </c>
      <c r="H210" s="6" t="s">
        <v>2892</v>
      </c>
      <c r="I210" s="6" t="s">
        <v>2893</v>
      </c>
      <c r="J210" s="6" t="s">
        <v>2894</v>
      </c>
      <c r="K210" s="6" t="s">
        <v>120</v>
      </c>
      <c r="L210" s="6" t="s">
        <v>2895</v>
      </c>
      <c r="M210" s="6" t="n">
        <v>3933</v>
      </c>
      <c r="N210" s="7" t="n">
        <v>0.0659</v>
      </c>
      <c r="O210" s="6"/>
      <c r="P210" s="10" t="n">
        <f aca="false">HYPERLINK("https://www.ncbi.nlm.nih.gov/clinvar/variation/135289", 135289)</f>
        <v>135289</v>
      </c>
      <c r="Q210" s="6" t="s">
        <v>418</v>
      </c>
      <c r="R210" s="6" t="s">
        <v>2277</v>
      </c>
      <c r="S210" s="10" t="str">
        <f aca="false">HYPERLINK("https://www.ncbi.nlm.nih.gov/snp/rs62621450", "rs62621450")</f>
        <v>rs62621450</v>
      </c>
      <c r="T210" s="10" t="n">
        <f aca="false">HYPERLINK("https://gnomad.broadinstitute.org/variant/4-105275843-A-G?dataset=gnomad_r4", 0.0783295)</f>
        <v>0.0783295</v>
      </c>
      <c r="U210" s="10" t="n">
        <f aca="false">HYPERLINK("https://gnomad.broadinstitute.org/variant/4-105275843-A-G?dataset=gnomad_r4", 0.0346615)</f>
        <v>0.0346615</v>
      </c>
      <c r="V210" s="6" t="s">
        <v>123</v>
      </c>
      <c r="W210" s="6" t="s">
        <v>123</v>
      </c>
      <c r="X210" s="6" t="s">
        <v>123</v>
      </c>
      <c r="Y210" s="6" t="s">
        <v>123</v>
      </c>
      <c r="Z210" s="6" t="s">
        <v>123</v>
      </c>
      <c r="AA210" s="6" t="s">
        <v>123</v>
      </c>
      <c r="AB210" s="6" t="s">
        <v>123</v>
      </c>
      <c r="AC210" s="6" t="s">
        <v>123</v>
      </c>
      <c r="AD210" s="6" t="n">
        <v>23</v>
      </c>
      <c r="AE210" s="6" t="s">
        <v>2896</v>
      </c>
      <c r="AF210" s="6" t="s">
        <v>123</v>
      </c>
      <c r="AG210" s="6" t="s">
        <v>123</v>
      </c>
      <c r="AH210" s="6" t="s">
        <v>123</v>
      </c>
      <c r="AI210" s="6" t="s">
        <v>123</v>
      </c>
      <c r="AJ210" s="8"/>
      <c r="AK210" s="8"/>
      <c r="AL210" s="8"/>
      <c r="AM210" s="8"/>
      <c r="AN210" s="8"/>
      <c r="AO210" s="8"/>
      <c r="AP210" s="9" t="s">
        <v>2897</v>
      </c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76.5" hidden="false" customHeight="true" outlineLevel="0" collapsed="false">
      <c r="A211" s="6" t="s">
        <v>1</v>
      </c>
      <c r="B211" s="6" t="n">
        <v>4</v>
      </c>
      <c r="C211" s="6" t="n">
        <v>105269705</v>
      </c>
      <c r="D211" s="6" t="s">
        <v>1689</v>
      </c>
      <c r="E211" s="6" t="s">
        <v>832</v>
      </c>
      <c r="F211" s="6" t="s">
        <v>1690</v>
      </c>
      <c r="G211" s="6" t="s">
        <v>2898</v>
      </c>
      <c r="H211" s="6" t="s">
        <v>2899</v>
      </c>
      <c r="I211" s="6" t="s">
        <v>2900</v>
      </c>
      <c r="J211" s="6" t="s">
        <v>2901</v>
      </c>
      <c r="K211" s="6" t="s">
        <v>1813</v>
      </c>
      <c r="L211" s="6" t="s">
        <v>2902</v>
      </c>
      <c r="M211" s="6" t="n">
        <v>3853</v>
      </c>
      <c r="N211" s="7" t="n">
        <v>0.074</v>
      </c>
      <c r="O211" s="6"/>
      <c r="P211" s="10" t="n">
        <f aca="false">HYPERLINK("https://www.ncbi.nlm.nih.gov/clinvar/variation/2115803", 2115803)</f>
        <v>2115803</v>
      </c>
      <c r="Q211" s="6" t="s">
        <v>418</v>
      </c>
      <c r="R211" s="6" t="s">
        <v>2277</v>
      </c>
      <c r="S211" s="10" t="str">
        <f aca="false">HYPERLINK("https://www.ncbi.nlm.nih.gov/snp/rs3733609", "rs3733609")</f>
        <v>rs3733609</v>
      </c>
      <c r="T211" s="10" t="n">
        <f aca="false">HYPERLINK("https://gnomad.broadinstitute.org/variant/4-105269705-T-C?dataset=gnomad_r4", 0.108597)</f>
        <v>0.108597</v>
      </c>
      <c r="U211" s="10" t="n">
        <f aca="false">HYPERLINK("https://gnomad.broadinstitute.org/variant/4-105269705-T-C?dataset=gnomad_r4", 0.015092)</f>
        <v>0.015092</v>
      </c>
      <c r="V211" s="6" t="s">
        <v>123</v>
      </c>
      <c r="W211" s="6" t="s">
        <v>123</v>
      </c>
      <c r="X211" s="6" t="s">
        <v>123</v>
      </c>
      <c r="Y211" s="6" t="s">
        <v>123</v>
      </c>
      <c r="Z211" s="6" t="s">
        <v>123</v>
      </c>
      <c r="AA211" s="6" t="s">
        <v>123</v>
      </c>
      <c r="AB211" s="6" t="s">
        <v>123</v>
      </c>
      <c r="AC211" s="6" t="s">
        <v>123</v>
      </c>
      <c r="AD211" s="6" t="n">
        <v>0.509</v>
      </c>
      <c r="AE211" s="6" t="s">
        <v>995</v>
      </c>
      <c r="AF211" s="6" t="s">
        <v>123</v>
      </c>
      <c r="AG211" s="6" t="s">
        <v>123</v>
      </c>
      <c r="AH211" s="6" t="s">
        <v>123</v>
      </c>
      <c r="AI211" s="6" t="s">
        <v>123</v>
      </c>
      <c r="AJ211" s="8"/>
      <c r="AK211" s="8"/>
      <c r="AL211" s="8"/>
      <c r="AM211" s="8"/>
      <c r="AN211" s="8"/>
      <c r="AO211" s="8"/>
      <c r="AP211" s="9" t="s">
        <v>2903</v>
      </c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76.5" hidden="false" customHeight="true" outlineLevel="0" collapsed="false">
      <c r="A212" s="6" t="s">
        <v>1</v>
      </c>
      <c r="B212" s="6" t="n">
        <v>4</v>
      </c>
      <c r="C212" s="6" t="n">
        <v>105243566</v>
      </c>
      <c r="D212" s="6" t="s">
        <v>1689</v>
      </c>
      <c r="E212" s="6" t="s">
        <v>832</v>
      </c>
      <c r="F212" s="6" t="s">
        <v>1690</v>
      </c>
      <c r="G212" s="6" t="s">
        <v>123</v>
      </c>
      <c r="H212" s="6" t="s">
        <v>2904</v>
      </c>
      <c r="I212" s="6"/>
      <c r="J212" s="6" t="s">
        <v>123</v>
      </c>
      <c r="K212" s="6" t="s">
        <v>127</v>
      </c>
      <c r="L212" s="6" t="s">
        <v>2905</v>
      </c>
      <c r="M212" s="6" t="n">
        <v>2480</v>
      </c>
      <c r="N212" s="7" t="n">
        <v>0.0725</v>
      </c>
      <c r="O212" s="6"/>
      <c r="P212" s="10" t="n">
        <f aca="false">HYPERLINK("https://www.ncbi.nlm.nih.gov/clinvar/variation/716821", 716821)</f>
        <v>716821</v>
      </c>
      <c r="Q212" s="6" t="s">
        <v>418</v>
      </c>
      <c r="R212" s="6" t="s">
        <v>2906</v>
      </c>
      <c r="S212" s="10" t="str">
        <f aca="false">HYPERLINK("https://www.ncbi.nlm.nih.gov/snp/rs72963007", "rs72963007")</f>
        <v>rs72963007</v>
      </c>
      <c r="T212" s="10" t="n">
        <f aca="false">HYPERLINK("https://gnomad.broadinstitute.org/variant/4-105243566-G-A?dataset=gnomad_r4", 0.00966669)</f>
        <v>0.00966669</v>
      </c>
      <c r="U212" s="10" t="n">
        <f aca="false">HYPERLINK("https://gnomad.broadinstitute.org/variant/4-105243566-G-A?dataset=gnomad_r4", 0.00159799)</f>
        <v>0.00159799</v>
      </c>
      <c r="V212" s="6" t="s">
        <v>123</v>
      </c>
      <c r="W212" s="6" t="s">
        <v>123</v>
      </c>
      <c r="X212" s="6" t="s">
        <v>123</v>
      </c>
      <c r="Y212" s="6" t="s">
        <v>123</v>
      </c>
      <c r="Z212" s="6" t="s">
        <v>123</v>
      </c>
      <c r="AA212" s="6" t="s">
        <v>123</v>
      </c>
      <c r="AB212" s="6" t="s">
        <v>123</v>
      </c>
      <c r="AC212" s="6" t="s">
        <v>123</v>
      </c>
      <c r="AD212" s="6" t="n">
        <v>6.476</v>
      </c>
      <c r="AE212" s="6" t="s">
        <v>611</v>
      </c>
      <c r="AF212" s="6" t="s">
        <v>123</v>
      </c>
      <c r="AG212" s="6" t="s">
        <v>123</v>
      </c>
      <c r="AH212" s="6" t="s">
        <v>123</v>
      </c>
      <c r="AI212" s="6" t="s">
        <v>123</v>
      </c>
      <c r="AJ212" s="8"/>
      <c r="AK212" s="8"/>
      <c r="AL212" s="8"/>
      <c r="AM212" s="8"/>
      <c r="AN212" s="8"/>
      <c r="AO212" s="8"/>
      <c r="AP212" s="9" t="s">
        <v>2907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76.5" hidden="false" customHeight="true" outlineLevel="0" collapsed="false">
      <c r="A213" s="6" t="s">
        <v>1</v>
      </c>
      <c r="B213" s="6" t="n">
        <v>4</v>
      </c>
      <c r="C213" s="6" t="n">
        <v>105237059</v>
      </c>
      <c r="D213" s="6" t="s">
        <v>1689</v>
      </c>
      <c r="E213" s="6" t="s">
        <v>832</v>
      </c>
      <c r="F213" s="6" t="s">
        <v>1690</v>
      </c>
      <c r="G213" s="6" t="s">
        <v>1037</v>
      </c>
      <c r="H213" s="6" t="s">
        <v>2908</v>
      </c>
      <c r="I213" s="6" t="s">
        <v>2909</v>
      </c>
      <c r="J213" s="6" t="s">
        <v>2910</v>
      </c>
      <c r="K213" s="6" t="s">
        <v>1813</v>
      </c>
      <c r="L213" s="6" t="s">
        <v>2911</v>
      </c>
      <c r="M213" s="6" t="n">
        <v>3724</v>
      </c>
      <c r="N213" s="7" t="n">
        <v>0.076</v>
      </c>
      <c r="O213" s="6"/>
      <c r="P213" s="10" t="n">
        <f aca="false">HYPERLINK("https://www.ncbi.nlm.nih.gov/clinvar/variation/2115801", 2115801)</f>
        <v>2115801</v>
      </c>
      <c r="Q213" s="6" t="s">
        <v>418</v>
      </c>
      <c r="R213" s="6" t="s">
        <v>2277</v>
      </c>
      <c r="S213" s="10" t="str">
        <f aca="false">HYPERLINK("https://www.ncbi.nlm.nih.gov/snp/rs3796927", "rs3796927")</f>
        <v>rs3796927</v>
      </c>
      <c r="T213" s="10" t="n">
        <f aca="false">HYPERLINK("https://gnomad.broadinstitute.org/variant/4-105237059-G-A?dataset=gnomad_r4", 0.0863324)</f>
        <v>0.0863324</v>
      </c>
      <c r="U213" s="10" t="n">
        <f aca="false">HYPERLINK("https://gnomad.broadinstitute.org/variant/4-105237059-G-A?dataset=gnomad_r4", 0.0136077)</f>
        <v>0.0136077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16</v>
      </c>
      <c r="AA213" s="6" t="n">
        <v>37</v>
      </c>
      <c r="AB213" s="6" t="n">
        <v>-4</v>
      </c>
      <c r="AC213" s="6" t="n">
        <v>38</v>
      </c>
      <c r="AD213" s="6" t="n">
        <v>0.028</v>
      </c>
      <c r="AE213" s="6" t="s">
        <v>995</v>
      </c>
      <c r="AF213" s="6" t="s">
        <v>123</v>
      </c>
      <c r="AG213" s="6" t="s">
        <v>123</v>
      </c>
      <c r="AH213" s="6" t="s">
        <v>123</v>
      </c>
      <c r="AI213" s="6" t="s">
        <v>123</v>
      </c>
      <c r="AJ213" s="8"/>
      <c r="AK213" s="8"/>
      <c r="AL213" s="8"/>
      <c r="AM213" s="8"/>
      <c r="AN213" s="8"/>
      <c r="AO213" s="8"/>
      <c r="AP213" s="9" t="s">
        <v>2912</v>
      </c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76.5" hidden="false" customHeight="true" outlineLevel="0" collapsed="false">
      <c r="A214" s="6" t="s">
        <v>1</v>
      </c>
      <c r="B214" s="6" t="n">
        <v>4</v>
      </c>
      <c r="C214" s="6" t="n">
        <v>105234594</v>
      </c>
      <c r="D214" s="6" t="s">
        <v>1689</v>
      </c>
      <c r="E214" s="6" t="s">
        <v>832</v>
      </c>
      <c r="F214" s="6" t="s">
        <v>1690</v>
      </c>
      <c r="G214" s="6" t="s">
        <v>1037</v>
      </c>
      <c r="H214" s="6" t="s">
        <v>2913</v>
      </c>
      <c r="I214" s="6" t="s">
        <v>2914</v>
      </c>
      <c r="J214" s="6" t="s">
        <v>2915</v>
      </c>
      <c r="K214" s="6" t="s">
        <v>120</v>
      </c>
      <c r="L214" s="6" t="s">
        <v>2916</v>
      </c>
      <c r="M214" s="6" t="n">
        <v>3634</v>
      </c>
      <c r="N214" s="7" t="n">
        <v>0.0819</v>
      </c>
      <c r="O214" s="6"/>
      <c r="P214" s="10" t="n">
        <f aca="false">HYPERLINK("https://www.ncbi.nlm.nih.gov/clinvar/variation/135321", 135321)</f>
        <v>135321</v>
      </c>
      <c r="Q214" s="6" t="s">
        <v>418</v>
      </c>
      <c r="R214" s="6" t="s">
        <v>2277</v>
      </c>
      <c r="S214" s="10" t="str">
        <f aca="false">HYPERLINK("https://www.ncbi.nlm.nih.gov/snp/rs6843141", "rs6843141")</f>
        <v>rs6843141</v>
      </c>
      <c r="T214" s="10" t="n">
        <f aca="false">HYPERLINK("https://gnomad.broadinstitute.org/variant/4-105234594-G-A?dataset=gnomad_r4", 0.104571)</f>
        <v>0.104571</v>
      </c>
      <c r="U214" s="10" t="n">
        <f aca="false">HYPERLINK("https://gnomad.broadinstitute.org/variant/4-105234594-G-A?dataset=gnomad_r4", 0.032181)</f>
        <v>0.032181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16</v>
      </c>
      <c r="AA214" s="6" t="n">
        <v>-14</v>
      </c>
      <c r="AB214" s="6" t="n">
        <v>-24</v>
      </c>
      <c r="AC214" s="6" t="n">
        <v>15</v>
      </c>
      <c r="AD214" s="6" t="n">
        <v>5.577</v>
      </c>
      <c r="AE214" s="6" t="s">
        <v>2917</v>
      </c>
      <c r="AF214" s="6" t="s">
        <v>123</v>
      </c>
      <c r="AG214" s="6" t="s">
        <v>123</v>
      </c>
      <c r="AH214" s="6" t="s">
        <v>123</v>
      </c>
      <c r="AI214" s="6" t="s">
        <v>123</v>
      </c>
      <c r="AJ214" s="8"/>
      <c r="AK214" s="8"/>
      <c r="AL214" s="8"/>
      <c r="AM214" s="8"/>
      <c r="AN214" s="8"/>
      <c r="AO214" s="8"/>
      <c r="AP214" s="9" t="s">
        <v>2918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76.5" hidden="false" customHeight="true" outlineLevel="0" collapsed="false">
      <c r="A215" s="6" t="s">
        <v>1</v>
      </c>
      <c r="B215" s="6" t="n">
        <v>19</v>
      </c>
      <c r="C215" s="6" t="n">
        <v>55668553</v>
      </c>
      <c r="D215" s="6" t="s">
        <v>2919</v>
      </c>
      <c r="E215" s="6" t="s">
        <v>6</v>
      </c>
      <c r="F215" s="6" t="s">
        <v>2920</v>
      </c>
      <c r="G215" s="6" t="s">
        <v>2921</v>
      </c>
      <c r="H215" s="6" t="s">
        <v>2922</v>
      </c>
      <c r="I215" s="6" t="s">
        <v>2923</v>
      </c>
      <c r="J215" s="6" t="s">
        <v>2924</v>
      </c>
      <c r="K215" s="6" t="s">
        <v>1813</v>
      </c>
      <c r="L215" s="6" t="s">
        <v>2925</v>
      </c>
      <c r="M215" s="6" t="n">
        <v>2698</v>
      </c>
      <c r="N215" s="7" t="n">
        <v>0.0785</v>
      </c>
      <c r="O215" s="6"/>
      <c r="P215" s="6" t="s">
        <v>123</v>
      </c>
      <c r="Q215" s="6" t="s">
        <v>123</v>
      </c>
      <c r="R215" s="6" t="s">
        <v>123</v>
      </c>
      <c r="S215" s="10" t="str">
        <f aca="false">HYPERLINK("https://www.ncbi.nlm.nih.gov/snp/rs80011152", "rs80011152")</f>
        <v>rs80011152</v>
      </c>
      <c r="T215" s="10" t="n">
        <f aca="false">HYPERLINK("https://gnomad.broadinstitute.org/variant/19-55668553-C-T?dataset=gnomad_r4", 0.0101935)</f>
        <v>0.0101935</v>
      </c>
      <c r="U215" s="10" t="n">
        <f aca="false">HYPERLINK("https://gnomad.broadinstitute.org/variant/19-55668553-C-T?dataset=gnomad_r4", 0.00103014)</f>
        <v>0.00103014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34</v>
      </c>
      <c r="AA215" s="6" t="n">
        <v>-46</v>
      </c>
      <c r="AB215" s="6" t="n">
        <v>36</v>
      </c>
      <c r="AC215" s="6" t="n">
        <v>33</v>
      </c>
      <c r="AD215" s="6" t="n">
        <v>6.914</v>
      </c>
      <c r="AE215" s="6" t="s">
        <v>124</v>
      </c>
      <c r="AF215" s="6" t="s">
        <v>123</v>
      </c>
      <c r="AG215" s="6" t="s">
        <v>123</v>
      </c>
      <c r="AH215" s="6" t="s">
        <v>123</v>
      </c>
      <c r="AI215" s="6" t="s">
        <v>123</v>
      </c>
      <c r="AJ215" s="8"/>
      <c r="AK215" s="8"/>
      <c r="AL215" s="8"/>
      <c r="AM215" s="8"/>
      <c r="AN215" s="8"/>
      <c r="AO215" s="8"/>
      <c r="AP215" s="9" t="s">
        <v>2926</v>
      </c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63.75" hidden="false" customHeight="true" outlineLevel="0" collapsed="false">
      <c r="A216" s="6" t="s">
        <v>1</v>
      </c>
      <c r="B216" s="6" t="s">
        <v>145</v>
      </c>
      <c r="C216" s="6" t="n">
        <v>47213092</v>
      </c>
      <c r="D216" s="6" t="s">
        <v>1719</v>
      </c>
      <c r="E216" s="6" t="s">
        <v>6</v>
      </c>
      <c r="F216" s="6" t="s">
        <v>1720</v>
      </c>
      <c r="G216" s="6" t="s">
        <v>2927</v>
      </c>
      <c r="H216" s="6" t="s">
        <v>2928</v>
      </c>
      <c r="I216" s="6" t="s">
        <v>2929</v>
      </c>
      <c r="J216" s="6" t="s">
        <v>2930</v>
      </c>
      <c r="K216" s="6" t="s">
        <v>1813</v>
      </c>
      <c r="L216" s="6" t="s">
        <v>2931</v>
      </c>
      <c r="M216" s="6" t="n">
        <v>2543</v>
      </c>
      <c r="N216" s="7" t="n">
        <v>0.124</v>
      </c>
      <c r="O216" s="6"/>
      <c r="P216" s="6" t="s">
        <v>123</v>
      </c>
      <c r="Q216" s="6" t="s">
        <v>123</v>
      </c>
      <c r="R216" s="6" t="s">
        <v>123</v>
      </c>
      <c r="S216" s="6" t="s">
        <v>123</v>
      </c>
      <c r="T216" s="6" t="s">
        <v>123</v>
      </c>
      <c r="U216" s="6" t="s">
        <v>123</v>
      </c>
      <c r="V216" s="6" t="n">
        <v>0</v>
      </c>
      <c r="W216" s="6" t="n">
        <v>0</v>
      </c>
      <c r="X216" s="6" t="n">
        <v>0.06</v>
      </c>
      <c r="Y216" s="6" t="n">
        <v>0</v>
      </c>
      <c r="Z216" s="6" t="n">
        <v>21</v>
      </c>
      <c r="AA216" s="6" t="n">
        <v>6</v>
      </c>
      <c r="AB216" s="6" t="n">
        <v>-16</v>
      </c>
      <c r="AC216" s="6" t="n">
        <v>24</v>
      </c>
      <c r="AD216" s="6" t="n">
        <v>12.52</v>
      </c>
      <c r="AE216" s="6" t="s">
        <v>124</v>
      </c>
      <c r="AF216" s="6" t="s">
        <v>123</v>
      </c>
      <c r="AG216" s="6" t="s">
        <v>123</v>
      </c>
      <c r="AH216" s="6" t="s">
        <v>123</v>
      </c>
      <c r="AI216" s="6" t="s">
        <v>123</v>
      </c>
      <c r="AJ216" s="8"/>
      <c r="AK216" s="8"/>
      <c r="AL216" s="8"/>
      <c r="AM216" s="8"/>
      <c r="AN216" s="8"/>
      <c r="AO216" s="8"/>
      <c r="AP216" s="9" t="s">
        <v>2932</v>
      </c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76.5" hidden="false" customHeight="true" outlineLevel="0" collapsed="false">
      <c r="A217" s="6" t="s">
        <v>1</v>
      </c>
      <c r="B217" s="6" t="n">
        <v>19</v>
      </c>
      <c r="C217" s="6" t="n">
        <v>6850756</v>
      </c>
      <c r="D217" s="6" t="s">
        <v>1738</v>
      </c>
      <c r="E217" s="6" t="s">
        <v>757</v>
      </c>
      <c r="F217" s="6" t="s">
        <v>1739</v>
      </c>
      <c r="G217" s="6" t="s">
        <v>2933</v>
      </c>
      <c r="H217" s="6" t="s">
        <v>2934</v>
      </c>
      <c r="I217" s="6" t="s">
        <v>2935</v>
      </c>
      <c r="J217" s="6" t="s">
        <v>2936</v>
      </c>
      <c r="K217" s="6" t="s">
        <v>2937</v>
      </c>
      <c r="L217" s="6" t="s">
        <v>2938</v>
      </c>
      <c r="M217" s="6" t="n">
        <v>3589</v>
      </c>
      <c r="N217" s="7" t="n">
        <v>0.339</v>
      </c>
      <c r="O217" s="6"/>
      <c r="P217" s="10" t="n">
        <f aca="false">HYPERLINK("https://www.ncbi.nlm.nih.gov/clinvar/variation/810928", 810928)</f>
        <v>810928</v>
      </c>
      <c r="Q217" s="6" t="s">
        <v>418</v>
      </c>
      <c r="R217" s="6" t="s">
        <v>2939</v>
      </c>
      <c r="S217" s="10" t="str">
        <f aca="false">HYPERLINK("https://www.ncbi.nlm.nih.gov/snp/rs36097961", "rs36097961")</f>
        <v>rs36097961</v>
      </c>
      <c r="T217" s="10" t="n">
        <f aca="false">HYPERLINK("https://gnomad.broadinstitute.org/variant/19-6850756-C-T?dataset=gnomad_r4", 0.0501775)</f>
        <v>0.0501775</v>
      </c>
      <c r="U217" s="10" t="n">
        <f aca="false">HYPERLINK("https://gnomad.broadinstitute.org/variant/19-6850756-C-T?dataset=gnomad_r4", 0.068908)</f>
        <v>0.068908</v>
      </c>
      <c r="V217" s="6" t="n">
        <v>0</v>
      </c>
      <c r="W217" s="6" t="n">
        <v>0</v>
      </c>
      <c r="X217" s="6" t="n">
        <v>0</v>
      </c>
      <c r="Y217" s="6" t="n">
        <v>0.12</v>
      </c>
      <c r="Z217" s="6" t="n">
        <v>1</v>
      </c>
      <c r="AA217" s="6" t="n">
        <v>-48</v>
      </c>
      <c r="AB217" s="6" t="n">
        <v>-39</v>
      </c>
      <c r="AC217" s="6" t="n">
        <v>1</v>
      </c>
      <c r="AD217" s="6" t="n">
        <v>3.222</v>
      </c>
      <c r="AE217" s="6" t="s">
        <v>124</v>
      </c>
      <c r="AF217" s="6" t="s">
        <v>123</v>
      </c>
      <c r="AG217" s="6" t="s">
        <v>123</v>
      </c>
      <c r="AH217" s="6" t="s">
        <v>123</v>
      </c>
      <c r="AI217" s="6" t="s">
        <v>123</v>
      </c>
      <c r="AJ217" s="8"/>
      <c r="AK217" s="8"/>
      <c r="AL217" s="8"/>
      <c r="AM217" s="8"/>
      <c r="AN217" s="8"/>
      <c r="AO217" s="8"/>
      <c r="AP217" s="9" t="s">
        <v>2940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76.5" hidden="false" customHeight="true" outlineLevel="0" collapsed="false">
      <c r="A218" s="6" t="s">
        <v>1</v>
      </c>
      <c r="B218" s="6" t="n">
        <v>19</v>
      </c>
      <c r="C218" s="6" t="n">
        <v>6825296</v>
      </c>
      <c r="D218" s="6" t="s">
        <v>1738</v>
      </c>
      <c r="E218" s="6" t="s">
        <v>757</v>
      </c>
      <c r="F218" s="6" t="s">
        <v>1739</v>
      </c>
      <c r="G218" s="6" t="s">
        <v>123</v>
      </c>
      <c r="H218" s="6" t="s">
        <v>2941</v>
      </c>
      <c r="I218" s="6"/>
      <c r="J218" s="6" t="s">
        <v>123</v>
      </c>
      <c r="K218" s="6" t="s">
        <v>127</v>
      </c>
      <c r="L218" s="6" t="s">
        <v>2942</v>
      </c>
      <c r="M218" s="6" t="n">
        <v>3637</v>
      </c>
      <c r="N218" s="7" t="n">
        <v>0.0779</v>
      </c>
      <c r="O218" s="6"/>
      <c r="P218" s="10" t="n">
        <f aca="false">HYPERLINK("https://www.ncbi.nlm.nih.gov/clinvar/variation/1167885", 1167885)</f>
        <v>1167885</v>
      </c>
      <c r="Q218" s="6" t="s">
        <v>418</v>
      </c>
      <c r="R218" s="6" t="s">
        <v>181</v>
      </c>
      <c r="S218" s="10" t="str">
        <f aca="false">HYPERLINK("https://www.ncbi.nlm.nih.gov/snp/rs2288545", "rs2288545")</f>
        <v>rs2288545</v>
      </c>
      <c r="T218" s="10" t="n">
        <f aca="false">HYPERLINK("https://gnomad.broadinstitute.org/variant/19-6825296-C-T?dataset=gnomad_r4", 0.0168322)</f>
        <v>0.0168322</v>
      </c>
      <c r="U218" s="10" t="n">
        <f aca="false">HYPERLINK("https://gnomad.broadinstitute.org/variant/19-6825296-C-T?dataset=gnomad_r4", 0.0106252)</f>
        <v>0.0106252</v>
      </c>
      <c r="V218" s="6" t="n">
        <v>0.17</v>
      </c>
      <c r="W218" s="6" t="n">
        <v>0.09</v>
      </c>
      <c r="X218" s="6" t="n">
        <v>0</v>
      </c>
      <c r="Y218" s="6" t="n">
        <v>0</v>
      </c>
      <c r="Z218" s="6" t="n">
        <v>40</v>
      </c>
      <c r="AA218" s="6" t="n">
        <v>7</v>
      </c>
      <c r="AB218" s="6" t="n">
        <v>40</v>
      </c>
      <c r="AC218" s="6" t="n">
        <v>2</v>
      </c>
      <c r="AD218" s="6" t="n">
        <v>1.713</v>
      </c>
      <c r="AE218" s="6" t="s">
        <v>124</v>
      </c>
      <c r="AF218" s="6" t="s">
        <v>123</v>
      </c>
      <c r="AG218" s="6" t="s">
        <v>123</v>
      </c>
      <c r="AH218" s="6" t="s">
        <v>123</v>
      </c>
      <c r="AI218" s="6" t="s">
        <v>123</v>
      </c>
      <c r="AJ218" s="8"/>
      <c r="AK218" s="8"/>
      <c r="AL218" s="8"/>
      <c r="AM218" s="8"/>
      <c r="AN218" s="8"/>
      <c r="AO218" s="8"/>
      <c r="AP218" s="9" t="s">
        <v>2943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76.5" hidden="false" customHeight="true" outlineLevel="0" collapsed="false">
      <c r="A219" s="6" t="s">
        <v>1</v>
      </c>
      <c r="B219" s="6" t="n">
        <v>14</v>
      </c>
      <c r="C219" s="6" t="n">
        <v>74763543</v>
      </c>
      <c r="D219" s="6" t="s">
        <v>1754</v>
      </c>
      <c r="E219" s="6" t="s">
        <v>6</v>
      </c>
      <c r="F219" s="6" t="s">
        <v>1755</v>
      </c>
      <c r="G219" s="6" t="s">
        <v>1761</v>
      </c>
      <c r="H219" s="6" t="s">
        <v>2944</v>
      </c>
      <c r="I219" s="6" t="s">
        <v>2945</v>
      </c>
      <c r="J219" s="6" t="s">
        <v>2946</v>
      </c>
      <c r="K219" s="6" t="s">
        <v>1813</v>
      </c>
      <c r="L219" s="6" t="s">
        <v>2947</v>
      </c>
      <c r="M219" s="6" t="n">
        <v>4524</v>
      </c>
      <c r="N219" s="7" t="n">
        <v>0.039</v>
      </c>
      <c r="O219" s="6"/>
      <c r="P219" s="6" t="s">
        <v>123</v>
      </c>
      <c r="Q219" s="6" t="s">
        <v>123</v>
      </c>
      <c r="R219" s="6" t="s">
        <v>123</v>
      </c>
      <c r="S219" s="10" t="str">
        <f aca="false">HYPERLINK("https://www.ncbi.nlm.nih.gov/snp/rs777005603", "rs777005603")</f>
        <v>rs777005603</v>
      </c>
      <c r="T219" s="10" t="n">
        <f aca="false">HYPERLINK("https://gnomad.broadinstitute.org/variant/14-74763543-G-A?dataset=gnomad_r4", 0.00000657903)</f>
        <v>6.57903E-006</v>
      </c>
      <c r="U219" s="6" t="s">
        <v>123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2</v>
      </c>
      <c r="AA219" s="6" t="n">
        <v>34</v>
      </c>
      <c r="AB219" s="6" t="n">
        <v>50</v>
      </c>
      <c r="AC219" s="6" t="n">
        <v>-34</v>
      </c>
      <c r="AD219" s="6" t="n">
        <v>14.48</v>
      </c>
      <c r="AE219" s="6" t="s">
        <v>124</v>
      </c>
      <c r="AF219" s="6" t="s">
        <v>123</v>
      </c>
      <c r="AG219" s="6" t="s">
        <v>123</v>
      </c>
      <c r="AH219" s="6" t="s">
        <v>123</v>
      </c>
      <c r="AI219" s="6" t="s">
        <v>123</v>
      </c>
      <c r="AJ219" s="8"/>
      <c r="AK219" s="8"/>
      <c r="AL219" s="8"/>
      <c r="AM219" s="8"/>
      <c r="AN219" s="8"/>
      <c r="AO219" s="8"/>
      <c r="AP219" s="9" t="s">
        <v>2948</v>
      </c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76.5" hidden="false" customHeight="true" outlineLevel="0" collapsed="false">
      <c r="A220" s="6" t="s">
        <v>1</v>
      </c>
      <c r="B220" s="6" t="n">
        <v>6</v>
      </c>
      <c r="C220" s="6" t="n">
        <v>43339399</v>
      </c>
      <c r="D220" s="6" t="s">
        <v>1785</v>
      </c>
      <c r="E220" s="6" t="s">
        <v>6</v>
      </c>
      <c r="F220" s="6" t="s">
        <v>1786</v>
      </c>
      <c r="G220" s="6" t="s">
        <v>1787</v>
      </c>
      <c r="H220" s="6" t="s">
        <v>2949</v>
      </c>
      <c r="I220" s="6" t="s">
        <v>2950</v>
      </c>
      <c r="J220" s="6" t="s">
        <v>2951</v>
      </c>
      <c r="K220" s="6" t="s">
        <v>1813</v>
      </c>
      <c r="L220" s="6" t="s">
        <v>2952</v>
      </c>
      <c r="M220" s="6" t="n">
        <v>4074</v>
      </c>
      <c r="N220" s="7" t="n">
        <v>0.144</v>
      </c>
      <c r="O220" s="6" t="s">
        <v>1879</v>
      </c>
      <c r="P220" s="6" t="s">
        <v>123</v>
      </c>
      <c r="Q220" s="6" t="s">
        <v>123</v>
      </c>
      <c r="R220" s="6" t="s">
        <v>123</v>
      </c>
      <c r="S220" s="10" t="str">
        <f aca="false">HYPERLINK("https://www.ncbi.nlm.nih.gov/snp/rs9472035", "rs9472035")</f>
        <v>rs9472035</v>
      </c>
      <c r="T220" s="10" t="n">
        <f aca="false">HYPERLINK("https://gnomad.broadinstitute.org/variant/6-43339399-A-G?dataset=gnomad_r4", 0.0196279)</f>
        <v>0.0196279</v>
      </c>
      <c r="U220" s="10" t="n">
        <f aca="false">HYPERLINK("https://gnomad.broadinstitute.org/variant/6-43339399-A-G?dataset=gnomad_r4", 0.00192697)</f>
        <v>0.00192697</v>
      </c>
      <c r="V220" s="6" t="n">
        <v>0</v>
      </c>
      <c r="W220" s="6" t="n">
        <v>0</v>
      </c>
      <c r="X220" s="6" t="n">
        <v>0</v>
      </c>
      <c r="Y220" s="6" t="n">
        <v>0</v>
      </c>
      <c r="Z220" s="6" t="n">
        <v>43</v>
      </c>
      <c r="AA220" s="6" t="n">
        <v>36</v>
      </c>
      <c r="AB220" s="6" t="n">
        <v>-2</v>
      </c>
      <c r="AC220" s="6" t="n">
        <v>36</v>
      </c>
      <c r="AD220" s="6" t="n">
        <v>11.04</v>
      </c>
      <c r="AE220" s="6" t="s">
        <v>124</v>
      </c>
      <c r="AF220" s="6" t="s">
        <v>123</v>
      </c>
      <c r="AG220" s="6" t="s">
        <v>123</v>
      </c>
      <c r="AH220" s="6" t="s">
        <v>123</v>
      </c>
      <c r="AI220" s="6" t="s">
        <v>123</v>
      </c>
      <c r="AJ220" s="8"/>
      <c r="AK220" s="8"/>
      <c r="AL220" s="8"/>
      <c r="AM220" s="8"/>
      <c r="AN220" s="8"/>
      <c r="AO220" s="8"/>
      <c r="AP220" s="9" t="s">
        <v>2953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76.5" hidden="false" customHeight="true" outlineLevel="0" collapsed="false">
      <c r="A221" s="6" t="s">
        <v>1</v>
      </c>
      <c r="B221" s="6" t="n">
        <v>6</v>
      </c>
      <c r="C221" s="6" t="n">
        <v>43340519</v>
      </c>
      <c r="D221" s="6" t="s">
        <v>1785</v>
      </c>
      <c r="E221" s="6" t="s">
        <v>6</v>
      </c>
      <c r="F221" s="6" t="s">
        <v>1786</v>
      </c>
      <c r="G221" s="6" t="s">
        <v>123</v>
      </c>
      <c r="H221" s="6" t="s">
        <v>2954</v>
      </c>
      <c r="I221" s="6"/>
      <c r="J221" s="6" t="s">
        <v>123</v>
      </c>
      <c r="K221" s="6" t="s">
        <v>141</v>
      </c>
      <c r="L221" s="6" t="s">
        <v>2955</v>
      </c>
      <c r="M221" s="6" t="n">
        <v>2420</v>
      </c>
      <c r="N221" s="7" t="n">
        <v>0.139</v>
      </c>
      <c r="O221" s="6" t="s">
        <v>1879</v>
      </c>
      <c r="P221" s="6" t="s">
        <v>123</v>
      </c>
      <c r="Q221" s="6" t="s">
        <v>123</v>
      </c>
      <c r="R221" s="6" t="s">
        <v>123</v>
      </c>
      <c r="S221" s="10" t="str">
        <f aca="false">HYPERLINK("https://www.ncbi.nlm.nih.gov/snp/rs9472036", "rs9472036")</f>
        <v>rs9472036</v>
      </c>
      <c r="T221" s="10" t="n">
        <f aca="false">HYPERLINK("https://gnomad.broadinstitute.org/variant/6-43340519-T-C?dataset=gnomad_r4", 0.0136209)</f>
        <v>0.0136209</v>
      </c>
      <c r="U221" s="10" t="n">
        <f aca="false">HYPERLINK("https://gnomad.broadinstitute.org/variant/6-43340519-T-C?dataset=gnomad_r4", 0.00123077)</f>
        <v>0.00123077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13</v>
      </c>
      <c r="AA221" s="6" t="n">
        <v>-20</v>
      </c>
      <c r="AB221" s="6" t="n">
        <v>-30</v>
      </c>
      <c r="AC221" s="6" t="n">
        <v>7</v>
      </c>
      <c r="AD221" s="6" t="n">
        <v>13.27</v>
      </c>
      <c r="AE221" s="6" t="s">
        <v>124</v>
      </c>
      <c r="AF221" s="6" t="s">
        <v>123</v>
      </c>
      <c r="AG221" s="6" t="s">
        <v>123</v>
      </c>
      <c r="AH221" s="6" t="s">
        <v>123</v>
      </c>
      <c r="AI221" s="6" t="s">
        <v>123</v>
      </c>
      <c r="AJ221" s="8"/>
      <c r="AK221" s="8"/>
      <c r="AL221" s="8"/>
      <c r="AM221" s="8"/>
      <c r="AN221" s="8"/>
      <c r="AO221" s="8"/>
      <c r="AP221" s="9" t="s">
        <v>2956</v>
      </c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76.5" hidden="false" customHeight="true" outlineLevel="0" collapsed="false">
      <c r="A222" s="6" t="s">
        <v>1</v>
      </c>
      <c r="B222" s="6" t="s">
        <v>145</v>
      </c>
      <c r="C222" s="6" t="n">
        <v>15820243</v>
      </c>
      <c r="D222" s="6" t="s">
        <v>1802</v>
      </c>
      <c r="E222" s="6" t="s">
        <v>6</v>
      </c>
      <c r="F222" s="6" t="s">
        <v>1803</v>
      </c>
      <c r="G222" s="6" t="s">
        <v>1044</v>
      </c>
      <c r="H222" s="6" t="s">
        <v>2957</v>
      </c>
      <c r="I222" s="6" t="s">
        <v>2958</v>
      </c>
      <c r="J222" s="6" t="s">
        <v>2959</v>
      </c>
      <c r="K222" s="6" t="s">
        <v>1813</v>
      </c>
      <c r="L222" s="6" t="s">
        <v>2960</v>
      </c>
      <c r="M222" s="6" t="n">
        <v>2140</v>
      </c>
      <c r="N222" s="7" t="n">
        <v>0.633</v>
      </c>
      <c r="O222" s="6"/>
      <c r="P222" s="6" t="s">
        <v>123</v>
      </c>
      <c r="Q222" s="6" t="s">
        <v>123</v>
      </c>
      <c r="R222" s="6" t="s">
        <v>123</v>
      </c>
      <c r="S222" s="10" t="str">
        <f aca="false">HYPERLINK("https://www.ncbi.nlm.nih.gov/snp/rs2301724", "rs2301724")</f>
        <v>rs2301724</v>
      </c>
      <c r="T222" s="6" t="s">
        <v>123</v>
      </c>
      <c r="U222" s="6" t="s">
        <v>123</v>
      </c>
      <c r="V222" s="6" t="n">
        <v>0</v>
      </c>
      <c r="W222" s="6" t="n">
        <v>0.03</v>
      </c>
      <c r="X222" s="6" t="n">
        <v>0</v>
      </c>
      <c r="Y222" s="6" t="n">
        <v>0</v>
      </c>
      <c r="Z222" s="6" t="n">
        <v>-38</v>
      </c>
      <c r="AA222" s="6" t="n">
        <v>-36</v>
      </c>
      <c r="AB222" s="6" t="n">
        <v>-36</v>
      </c>
      <c r="AC222" s="6" t="n">
        <v>8</v>
      </c>
      <c r="AD222" s="6" t="n">
        <v>1.543</v>
      </c>
      <c r="AE222" s="6" t="s">
        <v>2961</v>
      </c>
      <c r="AF222" s="6" t="s">
        <v>123</v>
      </c>
      <c r="AG222" s="6" t="s">
        <v>123</v>
      </c>
      <c r="AH222" s="6" t="s">
        <v>123</v>
      </c>
      <c r="AI222" s="6" t="s">
        <v>123</v>
      </c>
      <c r="AJ222" s="8"/>
      <c r="AK222" s="8"/>
      <c r="AL222" s="8"/>
      <c r="AM222" s="8"/>
      <c r="AN222" s="8"/>
      <c r="AO222" s="8"/>
      <c r="AP222" s="9" t="s">
        <v>2962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63.75" hidden="false" customHeight="true" outlineLevel="0" collapsed="false">
      <c r="A223" s="6" t="s">
        <v>1</v>
      </c>
      <c r="B223" s="6" t="s">
        <v>145</v>
      </c>
      <c r="C223" s="6" t="n">
        <v>15803712</v>
      </c>
      <c r="D223" s="6" t="s">
        <v>1802</v>
      </c>
      <c r="E223" s="6" t="s">
        <v>6</v>
      </c>
      <c r="F223" s="6" t="s">
        <v>1803</v>
      </c>
      <c r="G223" s="6" t="s">
        <v>2343</v>
      </c>
      <c r="H223" s="6" t="s">
        <v>2963</v>
      </c>
      <c r="I223" s="6" t="s">
        <v>2964</v>
      </c>
      <c r="J223" s="6" t="s">
        <v>2965</v>
      </c>
      <c r="K223" s="6" t="s">
        <v>1813</v>
      </c>
      <c r="L223" s="6" t="s">
        <v>2966</v>
      </c>
      <c r="M223" s="6" t="n">
        <v>2038</v>
      </c>
      <c r="N223" s="7" t="n">
        <v>0.106</v>
      </c>
      <c r="O223" s="6"/>
      <c r="P223" s="6" t="s">
        <v>123</v>
      </c>
      <c r="Q223" s="6" t="s">
        <v>123</v>
      </c>
      <c r="R223" s="6" t="s">
        <v>123</v>
      </c>
      <c r="S223" s="6" t="s">
        <v>123</v>
      </c>
      <c r="T223" s="6" t="s">
        <v>123</v>
      </c>
      <c r="U223" s="6" t="s">
        <v>123</v>
      </c>
      <c r="V223" s="6" t="n">
        <v>0</v>
      </c>
      <c r="W223" s="6" t="n">
        <v>0.01</v>
      </c>
      <c r="X223" s="6" t="n">
        <v>0</v>
      </c>
      <c r="Y223" s="6" t="n">
        <v>0</v>
      </c>
      <c r="Z223" s="6" t="n">
        <v>-30</v>
      </c>
      <c r="AA223" s="6" t="n">
        <v>-24</v>
      </c>
      <c r="AB223" s="6" t="n">
        <v>-24</v>
      </c>
      <c r="AC223" s="6" t="n">
        <v>33</v>
      </c>
      <c r="AD223" s="6" t="n">
        <v>6.225</v>
      </c>
      <c r="AE223" s="6" t="s">
        <v>124</v>
      </c>
      <c r="AF223" s="6" t="s">
        <v>123</v>
      </c>
      <c r="AG223" s="6" t="s">
        <v>123</v>
      </c>
      <c r="AH223" s="6" t="s">
        <v>123</v>
      </c>
      <c r="AI223" s="6" t="s">
        <v>123</v>
      </c>
      <c r="AJ223" s="8"/>
      <c r="AK223" s="8"/>
      <c r="AL223" s="8"/>
      <c r="AM223" s="8"/>
      <c r="AN223" s="8"/>
      <c r="AO223" s="8"/>
      <c r="AP223" s="9" t="s">
        <v>2967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</row>
  </sheetData>
  <sheetProtection sheet="true" password="c8bf" formatCells="false" formatColumns="false" formatRows="false" autoFilter="false"/>
  <autoFilter ref="A1:AP223"/>
  <dataValidations count="5">
    <dataValidation allowBlank="true" errorStyle="stop" operator="between" prompt="Choose Somatic or Unknown" promptTitle="Variant allele origin?" showDropDown="false" showErrorMessage="true" showInputMessage="true" sqref="AJ2:AJ223" type="list">
      <formula1>"Somatic,Unknown"</formula1>
      <formula2>0</formula2>
    </dataValidation>
    <dataValidation allowBlank="true" errorStyle="stop" operator="between" prompt="Choose YES or NO" promptTitle="Variant interpreted or not?" showDropDown="false" showErrorMessage="true" showInputMessage="true" sqref="AK2:AK223" type="list">
      <formula1>"YES,NO"</formula1>
      <formula2>0</formula2>
    </dataValidation>
    <dataValidation allowBlank="true" errorStyle="stop" operator="between" prompt="Choose YES or NO" promptTitle="Variant reported or not?" showDropDown="false" showErrorMessage="true" showInputMessage="true" sqref="AL2:AL223" type="list">
      <formula1>"YES,NO"</formula1>
      <formula2>0</formula2>
    </dataValidation>
    <dataValidation allowBlank="true" errorStyle="stop" operator="between" prompt="Choose variant classification" promptTitle="Variant classification?" showDropDown="false" showErrorMessage="true" showInputMessage="true" sqref="AN2:AN223" type="list">
      <formula1>"Oncogenic,Likely_oncogenic,Uncertain_significance,Likely_benign,Benign"</formula1>
      <formula2>0</formula2>
    </dataValidation>
    <dataValidation allowBlank="true" errorStyle="stop" operator="between" prompt="Choose YES or NO" promptTitle="Variant is an MNV?" showDropDown="false" showErrorMessage="true" showInputMessage="true" sqref="AO2:AO2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H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7"/>
    <col collapsed="false" customWidth="true" hidden="false" outlineLevel="0" max="6" min="6" style="0" width="14.9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7"/>
    <col collapsed="false" customWidth="true" hidden="false" outlineLevel="0" max="11" min="11" style="0" width="17"/>
    <col collapsed="false" customWidth="true" hidden="false" outlineLevel="0" max="12" min="12" style="0" width="27"/>
    <col collapsed="false" customWidth="true" hidden="false" outlineLevel="0" max="13" min="13" style="0" width="13"/>
    <col collapsed="false" customWidth="true" hidden="false" outlineLevel="0" max="16" min="14" style="0" width="10"/>
    <col collapsed="false" customWidth="true" hidden="false" outlineLevel="0" max="18" min="17" style="0" width="18"/>
    <col collapsed="false" customWidth="true" hidden="false" outlineLevel="0" max="19" min="19" style="0" width="10"/>
    <col collapsed="false" customWidth="true" hidden="false" outlineLevel="0" max="21" min="20" style="0" width="16"/>
    <col collapsed="false" customWidth="true" hidden="false" outlineLevel="0" max="29" min="22" style="0" width="18"/>
    <col collapsed="false" customWidth="true" hidden="false" outlineLevel="0" max="31" min="30" style="0" width="13"/>
    <col collapsed="false" customWidth="true" hidden="false" outlineLevel="0" max="32" min="32" style="0" width="24.15"/>
    <col collapsed="false" customWidth="true" hidden="false" outlineLevel="0" max="33" min="33" style="0" width="29.9"/>
    <col collapsed="false" customWidth="true" hidden="false" outlineLevel="0" max="34" min="34" style="0" width="20.7"/>
    <col collapsed="false" customWidth="true" hidden="false" outlineLevel="0" max="35" min="35" style="0" width="24.15"/>
    <col collapsed="false" customWidth="true" hidden="false" outlineLevel="0" max="36" min="36" style="0" width="14.94"/>
    <col collapsed="false" customWidth="true" hidden="false" outlineLevel="0" max="37" min="37" style="0" width="13"/>
    <col collapsed="false" customWidth="true" hidden="false" outlineLevel="0" max="38" min="38" style="0" width="17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0"/>
    <col collapsed="false" customWidth="true" hidden="false" outlineLevel="0" max="42" min="42" style="0" width="35"/>
  </cols>
  <sheetData>
    <row r="1" customFormat="false" ht="1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6" t="s">
        <v>60</v>
      </c>
      <c r="AH1" s="6" t="s">
        <v>61</v>
      </c>
      <c r="AI1" s="6" t="s">
        <v>62</v>
      </c>
      <c r="AJ1" s="6" t="s">
        <v>63</v>
      </c>
      <c r="AK1" s="6" t="s">
        <v>64</v>
      </c>
      <c r="AL1" s="6" t="s">
        <v>65</v>
      </c>
      <c r="AM1" s="6" t="s">
        <v>66</v>
      </c>
      <c r="AN1" s="6" t="s">
        <v>67</v>
      </c>
      <c r="AO1" s="6" t="s">
        <v>68</v>
      </c>
      <c r="AP1" s="6" t="s">
        <v>69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</row>
    <row r="2" customFormat="false" ht="76.5" hidden="false" customHeight="true" outlineLevel="0" collapsed="false">
      <c r="A2" s="6" t="s">
        <v>1</v>
      </c>
      <c r="B2" s="6" t="n">
        <v>19</v>
      </c>
      <c r="C2" s="6" t="n">
        <v>12943790</v>
      </c>
      <c r="D2" s="6" t="s">
        <v>438</v>
      </c>
      <c r="E2" s="6" t="s">
        <v>439</v>
      </c>
      <c r="F2" s="6" t="s">
        <v>440</v>
      </c>
      <c r="G2" s="6" t="s">
        <v>1072</v>
      </c>
      <c r="H2" s="6" t="s">
        <v>2968</v>
      </c>
      <c r="I2" s="6" t="s">
        <v>2969</v>
      </c>
      <c r="J2" s="6" t="s">
        <v>2970</v>
      </c>
      <c r="K2" s="6" t="s">
        <v>326</v>
      </c>
      <c r="L2" s="6" t="s">
        <v>2971</v>
      </c>
      <c r="M2" s="6" t="n">
        <v>4799</v>
      </c>
      <c r="N2" s="7" t="n">
        <v>0.00062513</v>
      </c>
      <c r="O2" s="6" t="s">
        <v>122</v>
      </c>
      <c r="P2" s="6" t="s">
        <v>123</v>
      </c>
      <c r="Q2" s="6" t="s">
        <v>123</v>
      </c>
      <c r="R2" s="6" t="s">
        <v>123</v>
      </c>
      <c r="S2" s="10" t="str">
        <f aca="false">HYPERLINK("https://www.ncbi.nlm.nih.gov/snp/rs573652087", "rs573652087")</f>
        <v>rs573652087</v>
      </c>
      <c r="T2" s="10" t="n">
        <f aca="false">HYPERLINK("https://gnomad.broadinstitute.org/variant/19-12943790-AGAG-A?dataset=gnomad_r4", 0.000138045)</f>
        <v>0.000138045</v>
      </c>
      <c r="U2" s="10" t="n">
        <f aca="false">HYPERLINK("https://gnomad.broadinstitute.org/variant/19-12943790-AGAG-A?dataset=gnomad_r4", 0.000122612)</f>
        <v>0.000122612</v>
      </c>
      <c r="V2" s="6" t="n">
        <v>0.03</v>
      </c>
      <c r="W2" s="6" t="n">
        <v>0</v>
      </c>
      <c r="X2" s="6" t="n">
        <v>0</v>
      </c>
      <c r="Y2" s="6" t="n">
        <v>0</v>
      </c>
      <c r="Z2" s="6" t="n">
        <v>-47</v>
      </c>
      <c r="AA2" s="6" t="n">
        <v>2</v>
      </c>
      <c r="AB2" s="6" t="n">
        <v>-47</v>
      </c>
      <c r="AC2" s="6" t="n">
        <v>8</v>
      </c>
      <c r="AD2" s="6" t="n">
        <v>20.9</v>
      </c>
      <c r="AE2" s="6" t="s">
        <v>124</v>
      </c>
      <c r="AF2" s="6" t="s">
        <v>1187</v>
      </c>
      <c r="AG2" s="6" t="s">
        <v>2972</v>
      </c>
      <c r="AH2" s="6" t="s">
        <v>2973</v>
      </c>
      <c r="AI2" s="6" t="s">
        <v>2974</v>
      </c>
      <c r="AJ2" s="8"/>
      <c r="AK2" s="8"/>
      <c r="AL2" s="8"/>
      <c r="AM2" s="8"/>
      <c r="AN2" s="8"/>
      <c r="AO2" s="8"/>
      <c r="AP2" s="9" t="s">
        <v>2975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76.5" hidden="false" customHeight="true" outlineLevel="0" collapsed="false">
      <c r="A3" s="6" t="s">
        <v>1</v>
      </c>
      <c r="B3" s="6" t="n">
        <v>19</v>
      </c>
      <c r="C3" s="6" t="n">
        <v>33301825</v>
      </c>
      <c r="D3" s="6" t="s">
        <v>2060</v>
      </c>
      <c r="E3" s="6" t="s">
        <v>6</v>
      </c>
      <c r="F3" s="6" t="s">
        <v>2061</v>
      </c>
      <c r="G3" s="6" t="s">
        <v>2062</v>
      </c>
      <c r="H3" s="6" t="s">
        <v>2976</v>
      </c>
      <c r="I3" s="6" t="s">
        <v>2977</v>
      </c>
      <c r="J3" s="6" t="s">
        <v>2978</v>
      </c>
      <c r="K3" s="6" t="s">
        <v>326</v>
      </c>
      <c r="L3" s="6" t="s">
        <v>2979</v>
      </c>
      <c r="M3" s="6" t="n">
        <v>2488</v>
      </c>
      <c r="N3" s="7" t="n">
        <v>0.00120579</v>
      </c>
      <c r="O3" s="6" t="s">
        <v>122</v>
      </c>
      <c r="P3" s="10" t="n">
        <f aca="false">HYPERLINK("https://www.ncbi.nlm.nih.gov/clinvar/variation/408757", 408757)</f>
        <v>408757</v>
      </c>
      <c r="Q3" s="6" t="s">
        <v>253</v>
      </c>
      <c r="R3" s="6" t="s">
        <v>2980</v>
      </c>
      <c r="S3" s="10" t="str">
        <f aca="false">HYPERLINK("https://www.ncbi.nlm.nih.gov/snp/rs762459325", "rs762459325")</f>
        <v>rs762459325</v>
      </c>
      <c r="T3" s="10" t="n">
        <f aca="false">HYPERLINK("https://gnomad.broadinstitute.org/variant/19-33301825-GGCGGGT-G?dataset=gnomad_r4", 0.000168616)</f>
        <v>0.000168616</v>
      </c>
      <c r="U3" s="10" t="n">
        <f aca="false">HYPERLINK("https://gnomad.broadinstitute.org/variant/19-33301825-GGCGGGT-G?dataset=gnomad_r4", 0.000290543)</f>
        <v>0.000290543</v>
      </c>
      <c r="V3" s="6" t="s">
        <v>123</v>
      </c>
      <c r="W3" s="6" t="s">
        <v>123</v>
      </c>
      <c r="X3" s="6" t="s">
        <v>123</v>
      </c>
      <c r="Y3" s="6" t="s">
        <v>123</v>
      </c>
      <c r="Z3" s="6" t="s">
        <v>123</v>
      </c>
      <c r="AA3" s="6" t="s">
        <v>123</v>
      </c>
      <c r="AB3" s="6" t="s">
        <v>123</v>
      </c>
      <c r="AC3" s="6" t="s">
        <v>123</v>
      </c>
      <c r="AD3" s="6" t="n">
        <v>18.45</v>
      </c>
      <c r="AE3" s="6" t="s">
        <v>124</v>
      </c>
      <c r="AF3" s="6" t="s">
        <v>123</v>
      </c>
      <c r="AG3" s="6" t="s">
        <v>123</v>
      </c>
      <c r="AH3" s="6" t="s">
        <v>123</v>
      </c>
      <c r="AI3" s="6" t="s">
        <v>123</v>
      </c>
      <c r="AJ3" s="8"/>
      <c r="AK3" s="8"/>
      <c r="AL3" s="8"/>
      <c r="AM3" s="8"/>
      <c r="AN3" s="8"/>
      <c r="AO3" s="8"/>
      <c r="AP3" s="9" t="s">
        <v>2981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 customFormat="false" ht="76.5" hidden="false" customHeight="true" outlineLevel="0" collapsed="false">
      <c r="A4" s="6" t="s">
        <v>1</v>
      </c>
      <c r="B4" s="6" t="n">
        <v>19</v>
      </c>
      <c r="C4" s="6" t="n">
        <v>33301848</v>
      </c>
      <c r="D4" s="6" t="s">
        <v>2060</v>
      </c>
      <c r="E4" s="6" t="s">
        <v>6</v>
      </c>
      <c r="F4" s="6" t="s">
        <v>2061</v>
      </c>
      <c r="G4" s="6" t="s">
        <v>2062</v>
      </c>
      <c r="H4" s="6" t="s">
        <v>2063</v>
      </c>
      <c r="I4" s="6" t="s">
        <v>2064</v>
      </c>
      <c r="J4" s="6" t="s">
        <v>2065</v>
      </c>
      <c r="K4" s="6" t="s">
        <v>326</v>
      </c>
      <c r="L4" s="6" t="s">
        <v>2066</v>
      </c>
      <c r="M4" s="6" t="n">
        <v>2179</v>
      </c>
      <c r="N4" s="7" t="n">
        <v>0.0321248</v>
      </c>
      <c r="O4" s="6" t="s">
        <v>122</v>
      </c>
      <c r="P4" s="10" t="n">
        <f aca="false">HYPERLINK("https://www.ncbi.nlm.nih.gov/clinvar/variation/641289", 641289)</f>
        <v>641289</v>
      </c>
      <c r="Q4" s="6" t="s">
        <v>409</v>
      </c>
      <c r="R4" s="6" t="s">
        <v>2067</v>
      </c>
      <c r="S4" s="10" t="str">
        <f aca="false">HYPERLINK("https://www.ncbi.nlm.nih.gov/snp/rs746430067", "rs746430067")</f>
        <v>rs746430067</v>
      </c>
      <c r="T4" s="10" t="n">
        <f aca="false">HYPERLINK("https://gnomad.broadinstitute.org/variant/19-33301848-GGGC-G?dataset=gnomad_r4", 0.0000270168)</f>
        <v>2.70168E-005</v>
      </c>
      <c r="U4" s="10" t="n">
        <f aca="false">HYPERLINK("https://gnomad.broadinstitute.org/variant/19-33301848-GGGC-G?dataset=gnomad_r4", 0.00203479)</f>
        <v>0.00203479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20</v>
      </c>
      <c r="AA4" s="6" t="n">
        <v>37</v>
      </c>
      <c r="AB4" s="6" t="n">
        <v>-44</v>
      </c>
      <c r="AC4" s="6" t="n">
        <v>-14</v>
      </c>
      <c r="AD4" s="6" t="n">
        <v>16.09</v>
      </c>
      <c r="AE4" s="6" t="s">
        <v>2068</v>
      </c>
      <c r="AF4" s="6" t="s">
        <v>123</v>
      </c>
      <c r="AG4" s="6" t="s">
        <v>123</v>
      </c>
      <c r="AH4" s="6" t="s">
        <v>123</v>
      </c>
      <c r="AI4" s="6" t="s">
        <v>123</v>
      </c>
      <c r="AJ4" s="8"/>
      <c r="AK4" s="8"/>
      <c r="AL4" s="8"/>
      <c r="AM4" s="8"/>
      <c r="AN4" s="8"/>
      <c r="AO4" s="8"/>
      <c r="AP4" s="9" t="s">
        <v>2982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 customFormat="false" ht="76.5" hidden="false" customHeight="true" outlineLevel="0" collapsed="false">
      <c r="A5" s="6" t="s">
        <v>1</v>
      </c>
      <c r="B5" s="6" t="n">
        <v>19</v>
      </c>
      <c r="C5" s="6" t="n">
        <v>33302101</v>
      </c>
      <c r="D5" s="6" t="s">
        <v>2060</v>
      </c>
      <c r="E5" s="6" t="s">
        <v>6</v>
      </c>
      <c r="F5" s="6" t="s">
        <v>2061</v>
      </c>
      <c r="G5" s="6" t="s">
        <v>2062</v>
      </c>
      <c r="H5" s="6" t="s">
        <v>2983</v>
      </c>
      <c r="I5" s="6" t="s">
        <v>2984</v>
      </c>
      <c r="J5" s="6" t="s">
        <v>2985</v>
      </c>
      <c r="K5" s="6" t="s">
        <v>326</v>
      </c>
      <c r="L5" s="6" t="s">
        <v>2986</v>
      </c>
      <c r="M5" s="6" t="n">
        <v>2357</v>
      </c>
      <c r="N5" s="7" t="n">
        <v>0.0118795</v>
      </c>
      <c r="O5" s="6" t="s">
        <v>122</v>
      </c>
      <c r="P5" s="10" t="n">
        <f aca="false">HYPERLINK("https://www.ncbi.nlm.nih.gov/clinvar/variation/1009372", 1009372)</f>
        <v>1009372</v>
      </c>
      <c r="Q5" s="6" t="s">
        <v>409</v>
      </c>
      <c r="R5" s="6" t="s">
        <v>2987</v>
      </c>
      <c r="S5" s="10" t="str">
        <f aca="false">HYPERLINK("https://www.ncbi.nlm.nih.gov/snp/rs780345232", "rs780345232")</f>
        <v>rs780345232</v>
      </c>
      <c r="T5" s="10" t="n">
        <f aca="false">HYPERLINK("https://gnomad.broadinstitute.org/variant/19-33302101-TCGC-T?dataset=gnomad_r4", 0.00000699408)</f>
        <v>6.99408E-006</v>
      </c>
      <c r="U5" s="10" t="n">
        <f aca="false">HYPERLINK("https://gnomad.broadinstitute.org/variant/19-33302101-TCGC-T?dataset=gnomad_r4", 0.000137555)</f>
        <v>0.000137555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49</v>
      </c>
      <c r="AA5" s="6" t="n">
        <v>46</v>
      </c>
      <c r="AB5" s="6" t="n">
        <v>50</v>
      </c>
      <c r="AC5" s="6" t="n">
        <v>4</v>
      </c>
      <c r="AD5" s="6" t="n">
        <v>18.66</v>
      </c>
      <c r="AE5" s="6" t="s">
        <v>933</v>
      </c>
      <c r="AF5" s="6" t="s">
        <v>123</v>
      </c>
      <c r="AG5" s="6" t="s">
        <v>123</v>
      </c>
      <c r="AH5" s="6" t="s">
        <v>123</v>
      </c>
      <c r="AI5" s="6" t="s">
        <v>123</v>
      </c>
      <c r="AJ5" s="8"/>
      <c r="AK5" s="8"/>
      <c r="AL5" s="8"/>
      <c r="AM5" s="8"/>
      <c r="AN5" s="8"/>
      <c r="AO5" s="8"/>
      <c r="AP5" s="9" t="s">
        <v>2988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</row>
  </sheetData>
  <sheetProtection sheet="true" password="c8bf" formatCells="false" formatColumns="false" formatRows="false" autoFilter="false"/>
  <autoFilter ref="A1:AP5"/>
  <dataValidations count="5">
    <dataValidation allowBlank="true" errorStyle="stop" operator="between" prompt="Choose Somatic or Unknown" promptTitle="Variant allele origin?" showDropDown="false" showErrorMessage="true" showInputMessage="true" sqref="AJ2:AJ5" type="list">
      <formula1>"Somatic,Unknown"</formula1>
      <formula2>0</formula2>
    </dataValidation>
    <dataValidation allowBlank="true" errorStyle="stop" operator="between" prompt="Choose YES or NO" promptTitle="Variant interpreted or not?" showDropDown="false" showErrorMessage="true" showInputMessage="true" sqref="AK2:AK5" type="list">
      <formula1>"YES,NO"</formula1>
      <formula2>0</formula2>
    </dataValidation>
    <dataValidation allowBlank="true" errorStyle="stop" operator="between" prompt="Choose YES or NO" promptTitle="Variant reported or not?" showDropDown="false" showErrorMessage="true" showInputMessage="true" sqref="AL2:AL5" type="list">
      <formula1>"YES,NO"</formula1>
      <formula2>0</formula2>
    </dataValidation>
    <dataValidation allowBlank="true" errorStyle="stop" operator="between" prompt="Choose variant classification" promptTitle="Variant classification?" showDropDown="false" showErrorMessage="true" showInputMessage="true" sqref="AN2:AN5" type="list">
      <formula1>"Oncogenic,Likely_oncogenic,Uncertain_significance,Likely_benign,Benign"</formula1>
      <formula2>0</formula2>
    </dataValidation>
    <dataValidation allowBlank="true" errorStyle="stop" operator="between" prompt="Choose YES or NO" promptTitle="Variant is an MNV?" showDropDown="false" showErrorMessage="true" showInputMessage="true" sqref="AO2:AO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2026-03-11T21:57:31Z</dcterms:created>
  <dc:creator>openpyxl</dc:creator>
  <dc:description/>
  <dc:language>en-GB</dc:language>
  <cp:lastModifiedBy/>
  <dcterms:modified xsi:type="dcterms:W3CDTF">2026-03-16T21:25:40Z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